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8.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brookingsinstitution-my.sharepoint.com/personal/gnabors_brookings_edu/Documents/Documents/GitHub/fim/data/"/>
    </mc:Choice>
  </mc:AlternateContent>
  <xr:revisionPtr revIDLastSave="3" documentId="11_BDF2674090A232247661450AC89C6D434388ED75" xr6:coauthVersionLast="47" xr6:coauthVersionMax="47" xr10:uidLastSave="{C984D477-8B00-41EE-A5EC-9F53B29F91C5}"/>
  <bookViews>
    <workbookView xWindow="-60" yWindow="-16380" windowWidth="29040" windowHeight="15720" firstSheet="3" activeTab="6" xr2:uid="{00000000-000D-0000-FFFF-FFFF00000000}"/>
  </bookViews>
  <sheets>
    <sheet name="Guide to the FIM Spreadsheet" sheetId="54" r:id="rId1"/>
    <sheet name="Checklist (New Quarter Release)" sheetId="53" r:id="rId2"/>
    <sheet name="Checklist (Monthly Revision)" sheetId="51" r:id="rId3"/>
    <sheet name="Revisions" sheetId="46" r:id="rId4"/>
    <sheet name="Checklist (CBO Budget Release)" sheetId="19" r:id="rId5"/>
    <sheet name="Haver Pivoted" sheetId="24" r:id="rId6"/>
    <sheet name="forecast comparison" sheetId="55" r:id="rId7"/>
    <sheet name="forecast" sheetId="35" r:id="rId8"/>
    <sheet name="April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2" i="55" l="1"/>
  <c r="M92" i="55"/>
  <c r="L93" i="55"/>
  <c r="M93" i="55"/>
  <c r="L94" i="55"/>
  <c r="M94" i="55"/>
  <c r="L95" i="55"/>
  <c r="M95" i="55"/>
  <c r="L96" i="55"/>
  <c r="M96" i="55"/>
  <c r="K69" i="55"/>
  <c r="L69" i="55"/>
  <c r="M69" i="55"/>
  <c r="K70" i="55"/>
  <c r="L70" i="55"/>
  <c r="M70" i="55"/>
  <c r="K71" i="55"/>
  <c r="L71" i="55"/>
  <c r="M71" i="55"/>
  <c r="K72" i="55"/>
  <c r="L72" i="55"/>
  <c r="M72" i="55"/>
  <c r="K73" i="55"/>
  <c r="L73" i="55"/>
  <c r="M73" i="55"/>
  <c r="K74" i="55"/>
  <c r="L74" i="55"/>
  <c r="M74" i="55"/>
  <c r="K75" i="55"/>
  <c r="L75" i="55"/>
  <c r="M75" i="55"/>
  <c r="K76" i="55"/>
  <c r="L76" i="55"/>
  <c r="M76" i="55"/>
  <c r="K77" i="55"/>
  <c r="L77" i="55"/>
  <c r="M77" i="55"/>
  <c r="K78" i="55"/>
  <c r="L78" i="55"/>
  <c r="M78" i="55"/>
  <c r="K79" i="55"/>
  <c r="L79" i="55"/>
  <c r="M79" i="55"/>
  <c r="K80" i="55"/>
  <c r="L80" i="55"/>
  <c r="M80" i="55"/>
  <c r="K81" i="55"/>
  <c r="L81" i="55"/>
  <c r="M81" i="55"/>
  <c r="K82" i="55"/>
  <c r="L82" i="55"/>
  <c r="M82" i="55"/>
  <c r="K83" i="55"/>
  <c r="L83" i="55"/>
  <c r="M83" i="55"/>
  <c r="K84" i="55"/>
  <c r="L84" i="55"/>
  <c r="M84" i="55"/>
  <c r="K85" i="55"/>
  <c r="L85" i="55"/>
  <c r="M85" i="55"/>
  <c r="K86" i="55"/>
  <c r="L86" i="55"/>
  <c r="M86" i="55"/>
  <c r="K87" i="55"/>
  <c r="L87" i="55"/>
  <c r="M87" i="55"/>
  <c r="K88" i="55"/>
  <c r="L88" i="55"/>
  <c r="M88" i="55"/>
  <c r="K89" i="55"/>
  <c r="L89" i="55"/>
  <c r="M89" i="55"/>
  <c r="L68" i="55"/>
  <c r="M68" i="55"/>
  <c r="F82" i="21"/>
  <c r="G81" i="21"/>
  <c r="D81" i="21"/>
  <c r="D80" i="21"/>
  <c r="G79" i="21"/>
  <c r="G78" i="21"/>
  <c r="F78" i="21"/>
  <c r="E78" i="21"/>
  <c r="V53" i="21"/>
  <c r="U53" i="21"/>
  <c r="T53" i="21"/>
  <c r="S53" i="21"/>
  <c r="R53" i="21"/>
  <c r="Q53" i="21"/>
  <c r="P53" i="21"/>
  <c r="O53" i="21"/>
  <c r="N53" i="21"/>
  <c r="M53" i="21"/>
  <c r="L53" i="21"/>
  <c r="K53" i="21"/>
  <c r="J53" i="21"/>
  <c r="I53" i="21"/>
  <c r="U51"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R49" i="21"/>
  <c r="Q49" i="21"/>
  <c r="P49" i="21"/>
  <c r="O49" i="21"/>
  <c r="N49" i="21"/>
  <c r="M49" i="21"/>
  <c r="L49" i="21"/>
  <c r="K49" i="21"/>
  <c r="J49" i="21"/>
  <c r="I49" i="21"/>
  <c r="H49" i="21"/>
  <c r="G49" i="21"/>
  <c r="F49" i="21"/>
  <c r="E49" i="21"/>
  <c r="S44" i="21"/>
  <c r="U43" i="21"/>
  <c r="S43" i="21"/>
  <c r="O40" i="21"/>
  <c r="T37" i="21"/>
  <c r="R37" i="21"/>
  <c r="P37" i="21"/>
  <c r="Q36" i="21"/>
  <c r="S35" i="21"/>
  <c r="Q35" i="21"/>
  <c r="O35" i="21"/>
  <c r="T34" i="21"/>
  <c r="R34" i="21"/>
  <c r="P34" i="21"/>
  <c r="V33" i="21"/>
  <c r="T33" i="21"/>
  <c r="R33" i="21"/>
  <c r="J33" i="21"/>
  <c r="H33" i="21"/>
  <c r="U32" i="21"/>
  <c r="M32" i="21"/>
  <c r="K32" i="21"/>
  <c r="I32" i="21"/>
  <c r="O31" i="21"/>
  <c r="M31" i="21"/>
  <c r="L29" i="21"/>
  <c r="C23" i="21"/>
  <c r="O13" i="21"/>
  <c r="O14" i="21" s="1"/>
  <c r="O15" i="21" s="1"/>
  <c r="M13" i="21"/>
  <c r="M14" i="21" s="1"/>
  <c r="M15" i="21" s="1"/>
  <c r="K13" i="21"/>
  <c r="K14" i="21" s="1"/>
  <c r="K15" i="21" s="1"/>
  <c r="C13" i="21"/>
  <c r="V12" i="21"/>
  <c r="U12" i="21"/>
  <c r="T12" i="21"/>
  <c r="S12" i="21"/>
  <c r="R12" i="21"/>
  <c r="Q12" i="21"/>
  <c r="P12" i="21"/>
  <c r="O12" i="21"/>
  <c r="N12" i="21"/>
  <c r="M12" i="21"/>
  <c r="L12" i="21"/>
  <c r="K12" i="21"/>
  <c r="J12" i="21"/>
  <c r="E82" i="21" s="1"/>
  <c r="I12" i="21"/>
  <c r="H12" i="21"/>
  <c r="D82" i="21" s="1"/>
  <c r="G12" i="21"/>
  <c r="F12" i="21"/>
  <c r="D12" i="21"/>
  <c r="C12" i="21"/>
  <c r="V11" i="21"/>
  <c r="U11" i="21"/>
  <c r="T11" i="21"/>
  <c r="S11" i="21"/>
  <c r="R11" i="21"/>
  <c r="Q11" i="21"/>
  <c r="P11" i="21"/>
  <c r="O11" i="21"/>
  <c r="F81" i="21" s="1"/>
  <c r="N11" i="21"/>
  <c r="M11" i="21"/>
  <c r="L11" i="21"/>
  <c r="K11" i="21"/>
  <c r="J11" i="21"/>
  <c r="E81" i="21" s="1"/>
  <c r="I11" i="21"/>
  <c r="H11" i="21"/>
  <c r="G11" i="21"/>
  <c r="F11" i="21"/>
  <c r="D11" i="21"/>
  <c r="C11" i="21"/>
  <c r="V10" i="21"/>
  <c r="U10" i="21"/>
  <c r="T10" i="21"/>
  <c r="S10" i="21"/>
  <c r="R10" i="21"/>
  <c r="G80" i="21" s="1"/>
  <c r="Q10" i="21"/>
  <c r="P10" i="21"/>
  <c r="V41" i="21" s="1"/>
  <c r="O10" i="21"/>
  <c r="N10" i="21"/>
  <c r="F80" i="21" s="1"/>
  <c r="M10" i="21"/>
  <c r="L10" i="21"/>
  <c r="K10" i="21"/>
  <c r="J10" i="21"/>
  <c r="E80" i="21" s="1"/>
  <c r="I10" i="21"/>
  <c r="H10" i="21"/>
  <c r="G10" i="21"/>
  <c r="F10" i="21"/>
  <c r="Q31" i="21" s="1"/>
  <c r="D10" i="21"/>
  <c r="N29" i="21" s="1"/>
  <c r="C10" i="21"/>
  <c r="V9" i="21"/>
  <c r="U9" i="21"/>
  <c r="T9" i="21"/>
  <c r="S9" i="21"/>
  <c r="V44" i="21" s="1"/>
  <c r="R9" i="21"/>
  <c r="R43" i="21" s="1"/>
  <c r="Q9" i="21"/>
  <c r="V42" i="21" s="1"/>
  <c r="P9" i="21"/>
  <c r="O9" i="21"/>
  <c r="V40" i="21" s="1"/>
  <c r="N9" i="21"/>
  <c r="F79" i="21" s="1"/>
  <c r="M9" i="21"/>
  <c r="R38" i="21" s="1"/>
  <c r="L9" i="21"/>
  <c r="O37" i="21" s="1"/>
  <c r="K9" i="21"/>
  <c r="J9" i="21"/>
  <c r="N35" i="21" s="1"/>
  <c r="I9" i="21"/>
  <c r="O34" i="21" s="1"/>
  <c r="H9" i="21"/>
  <c r="Q33" i="21" s="1"/>
  <c r="G9" i="21"/>
  <c r="T32" i="21" s="1"/>
  <c r="F9" i="21"/>
  <c r="L31" i="21" s="1"/>
  <c r="D9" i="21"/>
  <c r="C9" i="21"/>
  <c r="C8" i="21"/>
  <c r="P7" i="21"/>
  <c r="N7" i="21"/>
  <c r="L7" i="21"/>
  <c r="V6" i="21"/>
  <c r="U6" i="21"/>
  <c r="T6" i="21"/>
  <c r="S6" i="21"/>
  <c r="R6" i="21"/>
  <c r="D6" i="21"/>
  <c r="C6" i="21"/>
  <c r="C18" i="21" s="1"/>
  <c r="E1" i="21"/>
  <c r="D1" i="21"/>
  <c r="C19" i="6"/>
  <c r="B19" i="6"/>
  <c r="T17" i="6"/>
  <c r="S17" i="6"/>
  <c r="V50" i="21" s="1"/>
  <c r="R17" i="6"/>
  <c r="U50" i="21" s="1"/>
  <c r="U16" i="6"/>
  <c r="T16" i="6"/>
  <c r="S16" i="6"/>
  <c r="R16" i="6"/>
  <c r="Q16" i="6"/>
  <c r="P16" i="6"/>
  <c r="S49" i="21" s="1"/>
  <c r="O16" i="6"/>
  <c r="N16" i="6"/>
  <c r="D9" i="6"/>
  <c r="C9" i="6"/>
  <c r="U6" i="6"/>
  <c r="T6" i="6"/>
  <c r="S6" i="6"/>
  <c r="R6" i="6"/>
  <c r="Q6" i="6"/>
  <c r="P6" i="6"/>
  <c r="O6" i="6"/>
  <c r="P3" i="21" s="1"/>
  <c r="N6" i="6"/>
  <c r="M6" i="6"/>
  <c r="L6" i="6"/>
  <c r="K6" i="6"/>
  <c r="J6" i="6"/>
  <c r="I6" i="6"/>
  <c r="H6" i="6"/>
  <c r="G6" i="6"/>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L16" i="5"/>
  <c r="J16" i="5"/>
  <c r="G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C12" i="5"/>
  <c r="F12" i="5" s="1"/>
  <c r="B12" i="5"/>
  <c r="N11" i="5"/>
  <c r="M11" i="5"/>
  <c r="K11" i="5"/>
  <c r="J11" i="5"/>
  <c r="I11" i="5"/>
  <c r="H11" i="5"/>
  <c r="G11" i="5"/>
  <c r="E11" i="5"/>
  <c r="D11" i="5"/>
  <c r="C11" i="5"/>
  <c r="F11" i="5" s="1"/>
  <c r="B11" i="5"/>
  <c r="N10" i="5"/>
  <c r="M10" i="5"/>
  <c r="K10" i="5"/>
  <c r="J10" i="5"/>
  <c r="I10" i="5"/>
  <c r="H10" i="5"/>
  <c r="V7" i="21" s="1"/>
  <c r="G10" i="5"/>
  <c r="E10" i="5"/>
  <c r="V4" i="21" s="1"/>
  <c r="D10" i="5"/>
  <c r="C10" i="5"/>
  <c r="B10" i="5"/>
  <c r="N9" i="5"/>
  <c r="M9" i="5"/>
  <c r="K9" i="5"/>
  <c r="J9" i="5"/>
  <c r="I9" i="5"/>
  <c r="H9" i="5"/>
  <c r="U7" i="21" s="1"/>
  <c r="G9" i="5"/>
  <c r="E9" i="5"/>
  <c r="D9" i="5"/>
  <c r="C9" i="5"/>
  <c r="B9" i="5"/>
  <c r="N8" i="5"/>
  <c r="M8" i="5"/>
  <c r="K8" i="5"/>
  <c r="J8" i="5"/>
  <c r="I8" i="5"/>
  <c r="H8" i="5"/>
  <c r="Q7" i="21" s="1"/>
  <c r="G8" i="5"/>
  <c r="E8" i="5"/>
  <c r="D8" i="5"/>
  <c r="C8" i="5"/>
  <c r="N3" i="21" s="1"/>
  <c r="B8" i="5"/>
  <c r="N7" i="5"/>
  <c r="V13" i="21" s="1"/>
  <c r="V14" i="21" s="1"/>
  <c r="V15" i="21" s="1"/>
  <c r="M7" i="5"/>
  <c r="K7" i="5"/>
  <c r="J7" i="5"/>
  <c r="I7" i="5"/>
  <c r="H7" i="5"/>
  <c r="K7" i="21" s="1"/>
  <c r="G7" i="5"/>
  <c r="K6" i="21" s="1"/>
  <c r="E7" i="5"/>
  <c r="D7" i="5"/>
  <c r="C7" i="5"/>
  <c r="L3" i="21" s="1"/>
  <c r="B7" i="5"/>
  <c r="N6" i="5"/>
  <c r="I13" i="21" s="1"/>
  <c r="I14" i="21" s="1"/>
  <c r="M6" i="5"/>
  <c r="K6" i="5"/>
  <c r="J6" i="5"/>
  <c r="I6" i="5"/>
  <c r="H6" i="5"/>
  <c r="I7" i="21" s="1"/>
  <c r="G6" i="5"/>
  <c r="I6" i="21" s="1"/>
  <c r="E6" i="5"/>
  <c r="G4" i="21" s="1"/>
  <c r="D6" i="5"/>
  <c r="C6" i="5"/>
  <c r="B6" i="5"/>
  <c r="B16" i="5" s="1"/>
  <c r="N5" i="5"/>
  <c r="E13" i="21" s="1"/>
  <c r="E14" i="21" s="1"/>
  <c r="E15" i="21" s="1"/>
  <c r="M5" i="5"/>
  <c r="L5" i="5"/>
  <c r="K5" i="5"/>
  <c r="J5" i="5"/>
  <c r="I5" i="5"/>
  <c r="I16" i="5" s="1"/>
  <c r="H5" i="5"/>
  <c r="G5" i="5"/>
  <c r="F5" i="5"/>
  <c r="D5" i="5"/>
  <c r="D16" i="5" s="1"/>
  <c r="C5" i="5"/>
  <c r="B5" i="5"/>
  <c r="D8" i="21" s="1"/>
  <c r="L48" i="21" s="1"/>
  <c r="F17" i="27"/>
  <c r="F16" i="27"/>
  <c r="F15" i="27"/>
  <c r="F14" i="27"/>
  <c r="F13" i="27"/>
  <c r="F12" i="27"/>
  <c r="F11" i="27"/>
  <c r="F9" i="27"/>
  <c r="F8" i="27"/>
  <c r="F7" i="27"/>
  <c r="F6" i="27"/>
  <c r="F5" i="27"/>
  <c r="B3" i="27"/>
  <c r="O194" i="65"/>
  <c r="P194" i="65" s="1"/>
  <c r="Q194" i="65" s="1"/>
  <c r="K194" i="65"/>
  <c r="L194" i="65" s="1"/>
  <c r="M194" i="65" s="1"/>
  <c r="E193" i="65"/>
  <c r="K191" i="65"/>
  <c r="L191" i="65" s="1"/>
  <c r="M191" i="65" s="1"/>
  <c r="E190" i="65"/>
  <c r="S188" i="65"/>
  <c r="R188" i="65"/>
  <c r="O188" i="65"/>
  <c r="P188" i="65" s="1"/>
  <c r="Q188" i="65" s="1"/>
  <c r="N188" i="65"/>
  <c r="M188" i="65"/>
  <c r="K188" i="65"/>
  <c r="L188" i="65" s="1"/>
  <c r="J188" i="65"/>
  <c r="G188" i="65"/>
  <c r="H188" i="65" s="1"/>
  <c r="I188" i="65" s="1"/>
  <c r="F188" i="65"/>
  <c r="D188" i="65"/>
  <c r="E188" i="65" s="1"/>
  <c r="O187" i="65"/>
  <c r="P187" i="65" s="1"/>
  <c r="Q187" i="65" s="1"/>
  <c r="E187" i="65"/>
  <c r="K186" i="65"/>
  <c r="L186" i="65" s="1"/>
  <c r="M186" i="65" s="1"/>
  <c r="O184" i="65"/>
  <c r="P184" i="65" s="1"/>
  <c r="Q184" i="65" s="1"/>
  <c r="E184" i="65"/>
  <c r="O179" i="65"/>
  <c r="G179" i="65"/>
  <c r="N194" i="65" s="1"/>
  <c r="O177" i="65"/>
  <c r="O176" i="65"/>
  <c r="O175" i="65"/>
  <c r="G175" i="65"/>
  <c r="N190" i="65" s="1"/>
  <c r="O190" i="65" s="1"/>
  <c r="P190" i="65" s="1"/>
  <c r="Q190" i="65" s="1"/>
  <c r="O172" i="65"/>
  <c r="O171" i="65"/>
  <c r="O170" i="65"/>
  <c r="G170" i="65"/>
  <c r="N185" i="65" s="1"/>
  <c r="O185" i="65" s="1"/>
  <c r="P185" i="65" s="1"/>
  <c r="Q185" i="65" s="1"/>
  <c r="O169" i="65"/>
  <c r="N169" i="65"/>
  <c r="M169" i="65"/>
  <c r="L169" i="65"/>
  <c r="K169" i="65"/>
  <c r="J169" i="65"/>
  <c r="I169" i="65"/>
  <c r="H169" i="65"/>
  <c r="R184" i="65" s="1"/>
  <c r="S184" i="65" s="1"/>
  <c r="G169" i="65"/>
  <c r="N184" i="65" s="1"/>
  <c r="F169" i="65"/>
  <c r="J184" i="65" s="1"/>
  <c r="K184" i="65" s="1"/>
  <c r="L184" i="65" s="1"/>
  <c r="M184" i="65" s="1"/>
  <c r="E169" i="65"/>
  <c r="F184" i="65" s="1"/>
  <c r="G184" i="65" s="1"/>
  <c r="H184" i="65" s="1"/>
  <c r="I184" i="65" s="1"/>
  <c r="D169" i="65"/>
  <c r="D184" i="65" s="1"/>
  <c r="O85" i="65"/>
  <c r="O178" i="65" s="1"/>
  <c r="N85" i="65"/>
  <c r="N178" i="65" s="1"/>
  <c r="M85" i="65"/>
  <c r="M178" i="65" s="1"/>
  <c r="L85" i="65"/>
  <c r="L178" i="65" s="1"/>
  <c r="K85" i="65"/>
  <c r="K178" i="65" s="1"/>
  <c r="J85" i="65"/>
  <c r="J178" i="65" s="1"/>
  <c r="I85" i="65"/>
  <c r="I178" i="65" s="1"/>
  <c r="H85" i="65"/>
  <c r="H178" i="65" s="1"/>
  <c r="R193" i="65" s="1"/>
  <c r="S193" i="65" s="1"/>
  <c r="G85" i="65"/>
  <c r="G178" i="65" s="1"/>
  <c r="N193" i="65" s="1"/>
  <c r="O193" i="65" s="1"/>
  <c r="P193" i="65" s="1"/>
  <c r="Q193" i="65" s="1"/>
  <c r="F85" i="65"/>
  <c r="F178" i="65" s="1"/>
  <c r="J193" i="65" s="1"/>
  <c r="K193" i="65" s="1"/>
  <c r="L193" i="65" s="1"/>
  <c r="M193" i="65" s="1"/>
  <c r="E85" i="65"/>
  <c r="E178" i="65" s="1"/>
  <c r="F193" i="65" s="1"/>
  <c r="G193" i="65" s="1"/>
  <c r="H193" i="65" s="1"/>
  <c r="I193" i="65" s="1"/>
  <c r="D85" i="65"/>
  <c r="D178" i="65" s="1"/>
  <c r="D193" i="65" s="1"/>
  <c r="O84" i="65"/>
  <c r="N84" i="65"/>
  <c r="N177" i="65" s="1"/>
  <c r="M84" i="65"/>
  <c r="M177" i="65" s="1"/>
  <c r="L84" i="65"/>
  <c r="L177" i="65" s="1"/>
  <c r="K84" i="65"/>
  <c r="K177" i="65" s="1"/>
  <c r="J84" i="65"/>
  <c r="J177" i="65" s="1"/>
  <c r="I84" i="65"/>
  <c r="I177" i="65" s="1"/>
  <c r="H84" i="65"/>
  <c r="H177" i="65" s="1"/>
  <c r="R192" i="65" s="1"/>
  <c r="S192" i="65" s="1"/>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D192" i="65" s="1"/>
  <c r="E192" i="65" s="1"/>
  <c r="O83" i="65"/>
  <c r="N83" i="65"/>
  <c r="N179" i="65" s="1"/>
  <c r="M83" i="65"/>
  <c r="M179" i="65" s="1"/>
  <c r="L83" i="65"/>
  <c r="L179" i="65" s="1"/>
  <c r="K83" i="65"/>
  <c r="K179" i="65" s="1"/>
  <c r="J83" i="65"/>
  <c r="J179" i="65" s="1"/>
  <c r="I83" i="65"/>
  <c r="I179" i="65" s="1"/>
  <c r="H83" i="65"/>
  <c r="H179" i="65" s="1"/>
  <c r="R194" i="65" s="1"/>
  <c r="S194" i="65" s="1"/>
  <c r="G83" i="65"/>
  <c r="F83" i="65"/>
  <c r="F179" i="65" s="1"/>
  <c r="J194" i="65" s="1"/>
  <c r="E83" i="65"/>
  <c r="E179" i="65" s="1"/>
  <c r="F194" i="65" s="1"/>
  <c r="G194" i="65" s="1"/>
  <c r="H194" i="65" s="1"/>
  <c r="I194" i="65" s="1"/>
  <c r="D83" i="65"/>
  <c r="D179" i="65" s="1"/>
  <c r="D194" i="65" s="1"/>
  <c r="E194" i="65" s="1"/>
  <c r="O74" i="65"/>
  <c r="N74" i="65"/>
  <c r="N172" i="65" s="1"/>
  <c r="M74" i="65"/>
  <c r="M172" i="65" s="1"/>
  <c r="L74" i="65"/>
  <c r="L172" i="65" s="1"/>
  <c r="K74" i="65"/>
  <c r="K172" i="65" s="1"/>
  <c r="J74" i="65"/>
  <c r="J172" i="65" s="1"/>
  <c r="I74" i="65"/>
  <c r="I172" i="65" s="1"/>
  <c r="H74" i="65"/>
  <c r="H172" i="65" s="1"/>
  <c r="R187" i="65" s="1"/>
  <c r="S187" i="65" s="1"/>
  <c r="G74" i="65"/>
  <c r="G172" i="65" s="1"/>
  <c r="N187" i="65" s="1"/>
  <c r="F74" i="65"/>
  <c r="F172" i="65" s="1"/>
  <c r="J187" i="65" s="1"/>
  <c r="K187" i="65" s="1"/>
  <c r="L187" i="65" s="1"/>
  <c r="M187" i="65" s="1"/>
  <c r="E74" i="65"/>
  <c r="E172" i="65" s="1"/>
  <c r="F187" i="65" s="1"/>
  <c r="G187" i="65" s="1"/>
  <c r="H187" i="65" s="1"/>
  <c r="I187" i="65" s="1"/>
  <c r="D74" i="65"/>
  <c r="D172" i="65" s="1"/>
  <c r="D187" i="65" s="1"/>
  <c r="O73" i="65"/>
  <c r="N73" i="65"/>
  <c r="N176" i="65" s="1"/>
  <c r="M73" i="65"/>
  <c r="M176" i="65" s="1"/>
  <c r="L73" i="65"/>
  <c r="L176" i="65" s="1"/>
  <c r="K73" i="65"/>
  <c r="K176" i="65" s="1"/>
  <c r="J73" i="65"/>
  <c r="J176" i="65" s="1"/>
  <c r="I73" i="65"/>
  <c r="I176" i="65" s="1"/>
  <c r="H73" i="65"/>
  <c r="H176" i="65" s="1"/>
  <c r="R191" i="65" s="1"/>
  <c r="S191" i="65" s="1"/>
  <c r="G73" i="65"/>
  <c r="G176" i="65" s="1"/>
  <c r="N191" i="65" s="1"/>
  <c r="O191" i="65" s="1"/>
  <c r="P191" i="65" s="1"/>
  <c r="Q191" i="65" s="1"/>
  <c r="F73" i="65"/>
  <c r="F176" i="65" s="1"/>
  <c r="J191" i="65" s="1"/>
  <c r="E73" i="65"/>
  <c r="E176" i="65" s="1"/>
  <c r="F191" i="65" s="1"/>
  <c r="G191" i="65" s="1"/>
  <c r="H191" i="65" s="1"/>
  <c r="I191" i="65" s="1"/>
  <c r="D73" i="65"/>
  <c r="D176" i="65" s="1"/>
  <c r="D191" i="65" s="1"/>
  <c r="E191" i="65" s="1"/>
  <c r="O72" i="65"/>
  <c r="N72" i="65"/>
  <c r="N175" i="65" s="1"/>
  <c r="M72" i="65"/>
  <c r="M175" i="65" s="1"/>
  <c r="L72" i="65"/>
  <c r="L175" i="65" s="1"/>
  <c r="K72" i="65"/>
  <c r="K175" i="65" s="1"/>
  <c r="J72" i="65"/>
  <c r="J175" i="65" s="1"/>
  <c r="I72" i="65"/>
  <c r="I175" i="65" s="1"/>
  <c r="H72" i="65"/>
  <c r="H175" i="65" s="1"/>
  <c r="R190" i="65" s="1"/>
  <c r="S190" i="65" s="1"/>
  <c r="G72" i="65"/>
  <c r="F72" i="65"/>
  <c r="F175" i="65" s="1"/>
  <c r="J190" i="65" s="1"/>
  <c r="K190" i="65" s="1"/>
  <c r="L190" i="65" s="1"/>
  <c r="M190" i="65" s="1"/>
  <c r="E72" i="65"/>
  <c r="E175" i="65" s="1"/>
  <c r="F190" i="65" s="1"/>
  <c r="G190" i="65" s="1"/>
  <c r="H190" i="65" s="1"/>
  <c r="I190" i="65" s="1"/>
  <c r="D72" i="65"/>
  <c r="D175" i="65" s="1"/>
  <c r="D190" i="65" s="1"/>
  <c r="O71" i="65"/>
  <c r="O174" i="65" s="1"/>
  <c r="N71" i="65"/>
  <c r="N174" i="65" s="1"/>
  <c r="M71" i="65"/>
  <c r="M174" i="65" s="1"/>
  <c r="L71" i="65"/>
  <c r="L174" i="65" s="1"/>
  <c r="K71" i="65"/>
  <c r="K174" i="65" s="1"/>
  <c r="J71" i="65"/>
  <c r="J174" i="65" s="1"/>
  <c r="I71" i="65"/>
  <c r="I174" i="65" s="1"/>
  <c r="H71" i="65"/>
  <c r="H174" i="65" s="1"/>
  <c r="R189" i="65" s="1"/>
  <c r="S189" i="65" s="1"/>
  <c r="G71" i="65"/>
  <c r="G174" i="65" s="1"/>
  <c r="N189" i="65" s="1"/>
  <c r="O189" i="65" s="1"/>
  <c r="P189" i="65" s="1"/>
  <c r="Q189" i="65" s="1"/>
  <c r="F71" i="65"/>
  <c r="F174" i="65" s="1"/>
  <c r="J189" i="65" s="1"/>
  <c r="K189" i="65" s="1"/>
  <c r="L189" i="65" s="1"/>
  <c r="M189" i="65" s="1"/>
  <c r="E71" i="65"/>
  <c r="E174" i="65" s="1"/>
  <c r="F189" i="65" s="1"/>
  <c r="G189" i="65" s="1"/>
  <c r="H189" i="65" s="1"/>
  <c r="I189" i="65" s="1"/>
  <c r="D71" i="65"/>
  <c r="D174" i="65" s="1"/>
  <c r="D189" i="65" s="1"/>
  <c r="E189" i="65" s="1"/>
  <c r="O70" i="65"/>
  <c r="N70" i="65"/>
  <c r="N170" i="65" s="1"/>
  <c r="M70" i="65"/>
  <c r="M170" i="65" s="1"/>
  <c r="L70" i="65"/>
  <c r="L170" i="65" s="1"/>
  <c r="K70" i="65"/>
  <c r="K170" i="65" s="1"/>
  <c r="J70" i="65"/>
  <c r="J170" i="65" s="1"/>
  <c r="I70" i="65"/>
  <c r="I170" i="65" s="1"/>
  <c r="H70" i="65"/>
  <c r="H170" i="65" s="1"/>
  <c r="R185" i="65" s="1"/>
  <c r="S185" i="65" s="1"/>
  <c r="G70" i="65"/>
  <c r="F70" i="65"/>
  <c r="F170" i="65" s="1"/>
  <c r="J185" i="65" s="1"/>
  <c r="K185" i="65" s="1"/>
  <c r="L185" i="65" s="1"/>
  <c r="M185" i="65" s="1"/>
  <c r="E70" i="65"/>
  <c r="E170" i="65" s="1"/>
  <c r="F185" i="65" s="1"/>
  <c r="G185" i="65" s="1"/>
  <c r="H185" i="65" s="1"/>
  <c r="I185" i="65" s="1"/>
  <c r="D70" i="65"/>
  <c r="D170" i="65" s="1"/>
  <c r="D185" i="65" s="1"/>
  <c r="E185" i="65" s="1"/>
  <c r="O69" i="65"/>
  <c r="N69" i="65"/>
  <c r="N171" i="65" s="1"/>
  <c r="M69" i="65"/>
  <c r="M171" i="65" s="1"/>
  <c r="L69" i="65"/>
  <c r="L171" i="65" s="1"/>
  <c r="K69" i="65"/>
  <c r="K171" i="65" s="1"/>
  <c r="J69" i="65"/>
  <c r="J171" i="65" s="1"/>
  <c r="I69" i="65"/>
  <c r="I171" i="65" s="1"/>
  <c r="H69" i="65"/>
  <c r="H171" i="65" s="1"/>
  <c r="R186" i="65" s="1"/>
  <c r="S186" i="65" s="1"/>
  <c r="G69" i="65"/>
  <c r="G171" i="65" s="1"/>
  <c r="N186" i="65" s="1"/>
  <c r="O186" i="65" s="1"/>
  <c r="P186" i="65" s="1"/>
  <c r="Q186" i="65" s="1"/>
  <c r="F69" i="65"/>
  <c r="F171" i="65" s="1"/>
  <c r="J186" i="65" s="1"/>
  <c r="E69" i="65"/>
  <c r="E171" i="65" s="1"/>
  <c r="F186" i="65" s="1"/>
  <c r="G186" i="65" s="1"/>
  <c r="H186" i="65" s="1"/>
  <c r="I186" i="65" s="1"/>
  <c r="D69" i="65"/>
  <c r="D171" i="65" s="1"/>
  <c r="D186" i="65" s="1"/>
  <c r="E186" i="65" s="1"/>
  <c r="D75" i="76"/>
  <c r="D74" i="76"/>
  <c r="D73" i="76"/>
  <c r="D72" i="76"/>
  <c r="D71" i="76"/>
  <c r="D70" i="76"/>
  <c r="D61" i="76"/>
  <c r="D60" i="76"/>
  <c r="D59" i="76"/>
  <c r="D58" i="76"/>
  <c r="D57" i="76"/>
  <c r="D56" i="76"/>
  <c r="D55" i="76"/>
  <c r="D54" i="76"/>
  <c r="D53" i="76"/>
  <c r="D52" i="76"/>
  <c r="D51" i="76"/>
  <c r="B46" i="76"/>
  <c r="D45" i="76"/>
  <c r="D44" i="76"/>
  <c r="D43" i="76"/>
  <c r="D42" i="76"/>
  <c r="G41" i="76"/>
  <c r="D41" i="76"/>
  <c r="G32" i="76" s="1"/>
  <c r="H32" i="76" s="1"/>
  <c r="H40" i="76"/>
  <c r="G40" i="76"/>
  <c r="D40" i="76"/>
  <c r="I39" i="76"/>
  <c r="H39" i="76"/>
  <c r="D39" i="76"/>
  <c r="G31" i="76" s="1"/>
  <c r="H31" i="76" s="1"/>
  <c r="I31" i="76" s="1"/>
  <c r="I38" i="76"/>
  <c r="H38" i="76"/>
  <c r="J38" i="76" s="1"/>
  <c r="D38" i="76"/>
  <c r="I37" i="76"/>
  <c r="J37" i="76" s="1"/>
  <c r="H37" i="76"/>
  <c r="D37" i="76"/>
  <c r="I36" i="76"/>
  <c r="G36" i="76"/>
  <c r="H36" i="76" s="1"/>
  <c r="D36" i="76"/>
  <c r="D35" i="76"/>
  <c r="D34" i="76"/>
  <c r="M33" i="76"/>
  <c r="D33" i="76"/>
  <c r="M32" i="76"/>
  <c r="D32" i="76"/>
  <c r="D31" i="76"/>
  <c r="G30" i="76"/>
  <c r="H30" i="76" s="1"/>
  <c r="D30" i="76"/>
  <c r="D29" i="76"/>
  <c r="G28" i="76" s="1"/>
  <c r="H28" i="76" s="1"/>
  <c r="D28" i="76"/>
  <c r="G27" i="76" s="1"/>
  <c r="H27" i="76" s="1"/>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Q14" i="76"/>
  <c r="P14" i="76"/>
  <c r="B14" i="76"/>
  <c r="M11" i="29"/>
  <c r="L11" i="29"/>
  <c r="K11" i="29"/>
  <c r="J11" i="29"/>
  <c r="T10" i="29"/>
  <c r="Q10" i="29"/>
  <c r="N10" i="29"/>
  <c r="T9" i="29"/>
  <c r="S9" i="29"/>
  <c r="S10" i="29" s="1"/>
  <c r="R9" i="29"/>
  <c r="R10" i="29" s="1"/>
  <c r="Q9" i="29"/>
  <c r="P9" i="29"/>
  <c r="P10" i="29" s="1"/>
  <c r="O9" i="29"/>
  <c r="O10" i="29" s="1"/>
  <c r="N9" i="29"/>
  <c r="M9" i="29"/>
  <c r="M10" i="29" s="1"/>
  <c r="L9" i="29"/>
  <c r="K9" i="29"/>
  <c r="J9" i="29"/>
  <c r="R16" i="40"/>
  <c r="R14" i="40"/>
  <c r="R15" i="40" s="1"/>
  <c r="Q14" i="40"/>
  <c r="M14" i="40"/>
  <c r="M15" i="40" s="1"/>
  <c r="T13" i="40"/>
  <c r="S13" i="40"/>
  <c r="S14" i="40" s="1"/>
  <c r="S16" i="40" s="1"/>
  <c r="R13" i="40"/>
  <c r="R17" i="40" s="1"/>
  <c r="Q13" i="40"/>
  <c r="P13" i="40"/>
  <c r="O13" i="40"/>
  <c r="N13" i="40"/>
  <c r="M13" i="40"/>
  <c r="L13" i="40"/>
  <c r="K13" i="40"/>
  <c r="J13" i="40"/>
  <c r="T12" i="40"/>
  <c r="T14" i="40" s="1"/>
  <c r="S12" i="40"/>
  <c r="R12" i="40"/>
  <c r="Q12" i="40"/>
  <c r="P12" i="40"/>
  <c r="O12" i="40"/>
  <c r="N12" i="40"/>
  <c r="M12" i="40"/>
  <c r="L12" i="40"/>
  <c r="K12" i="40"/>
  <c r="J12" i="40"/>
  <c r="T11" i="40"/>
  <c r="S11" i="40"/>
  <c r="S15" i="40" s="1"/>
  <c r="R11" i="40"/>
  <c r="Q11" i="40"/>
  <c r="P11" i="40"/>
  <c r="O11" i="40"/>
  <c r="N11" i="40"/>
  <c r="M11" i="40"/>
  <c r="L11" i="40"/>
  <c r="K11" i="40"/>
  <c r="J11" i="40"/>
  <c r="L70" i="38"/>
  <c r="L69" i="38"/>
  <c r="L66" i="38"/>
  <c r="L71" i="38" s="1"/>
  <c r="L65" i="38"/>
  <c r="I65" i="38"/>
  <c r="I70" i="38" s="1"/>
  <c r="L64" i="38"/>
  <c r="L67" i="38" s="1"/>
  <c r="M56" i="38"/>
  <c r="P55" i="38"/>
  <c r="P56" i="38" s="1"/>
  <c r="M55" i="38"/>
  <c r="I67" i="38" s="1"/>
  <c r="P54" i="38"/>
  <c r="O54" i="38"/>
  <c r="O55" i="38" s="1"/>
  <c r="K67" i="38" s="1"/>
  <c r="N54" i="38"/>
  <c r="N55" i="38" s="1"/>
  <c r="M54" i="38"/>
  <c r="L54" i="38"/>
  <c r="L55" i="38" s="1"/>
  <c r="N48" i="38" s="1"/>
  <c r="K54" i="38"/>
  <c r="K55" i="38" s="1"/>
  <c r="J54" i="38"/>
  <c r="P53" i="38"/>
  <c r="O53" i="38"/>
  <c r="K65" i="38" s="1"/>
  <c r="N53" i="38"/>
  <c r="J65" i="38" s="1"/>
  <c r="M53" i="38"/>
  <c r="L53" i="38"/>
  <c r="K53" i="38"/>
  <c r="J53" i="38"/>
  <c r="J45" i="38"/>
  <c r="Q44" i="38"/>
  <c r="J44" i="38"/>
  <c r="J43" i="38"/>
  <c r="Q42" i="38"/>
  <c r="J42" i="38"/>
  <c r="J41" i="38"/>
  <c r="Q40" i="38"/>
  <c r="J40" i="38"/>
  <c r="T39" i="38"/>
  <c r="J39" i="38"/>
  <c r="T38" i="38"/>
  <c r="S38" i="38"/>
  <c r="S39" i="38" s="1"/>
  <c r="S40" i="38" s="1"/>
  <c r="S41" i="38" s="1"/>
  <c r="S42" i="38" s="1"/>
  <c r="S43" i="38" s="1"/>
  <c r="S44" i="38" s="1"/>
  <c r="S45" i="38" s="1"/>
  <c r="Q38" i="38"/>
  <c r="R38" i="38" s="1"/>
  <c r="P38" i="38"/>
  <c r="J38" i="38"/>
  <c r="J37" i="38"/>
  <c r="Q37" i="38" s="1"/>
  <c r="J36" i="38"/>
  <c r="J35" i="38"/>
  <c r="P35" i="38" s="1"/>
  <c r="J34" i="38"/>
  <c r="J33" i="38"/>
  <c r="P33" i="38" s="1"/>
  <c r="J32" i="38"/>
  <c r="J31" i="38"/>
  <c r="P31" i="38" s="1"/>
  <c r="J30" i="38"/>
  <c r="J29" i="38"/>
  <c r="P29" i="38" s="1"/>
  <c r="T28" i="38"/>
  <c r="T29" i="38" s="1"/>
  <c r="T30" i="38" s="1"/>
  <c r="T31" i="38" s="1"/>
  <c r="T32" i="38" s="1"/>
  <c r="T33" i="38" s="1"/>
  <c r="T34" i="38" s="1"/>
  <c r="T35" i="38" s="1"/>
  <c r="T36" i="38" s="1"/>
  <c r="S28" i="38"/>
  <c r="J28" i="38"/>
  <c r="O27" i="38"/>
  <c r="J27" i="38"/>
  <c r="P27" i="38" s="1"/>
  <c r="N26" i="38"/>
  <c r="J26" i="38"/>
  <c r="N25" i="38"/>
  <c r="J25" i="38"/>
  <c r="S24" i="38"/>
  <c r="J24" i="38"/>
  <c r="S23" i="38"/>
  <c r="J23" i="38"/>
  <c r="J22" i="38"/>
  <c r="J21" i="38"/>
  <c r="J20" i="38"/>
  <c r="M20" i="38" s="1"/>
  <c r="J19" i="38"/>
  <c r="M19" i="38" s="1"/>
  <c r="M18" i="38"/>
  <c r="J18" i="38"/>
  <c r="M17" i="38"/>
  <c r="J17" i="38"/>
  <c r="S16" i="38"/>
  <c r="J16" i="38"/>
  <c r="S15" i="38"/>
  <c r="L15" i="38" s="1"/>
  <c r="J15" i="38"/>
  <c r="S14" i="38"/>
  <c r="L14" i="38" s="1"/>
  <c r="M14" i="38"/>
  <c r="J14" i="38"/>
  <c r="N14" i="38" s="1"/>
  <c r="M13" i="38"/>
  <c r="L13" i="38"/>
  <c r="N13" i="38" s="1"/>
  <c r="J13" i="38"/>
  <c r="M12" i="38"/>
  <c r="L12" i="38"/>
  <c r="N12" i="38" s="1"/>
  <c r="J12" i="38"/>
  <c r="M11" i="38"/>
  <c r="J11" i="38"/>
  <c r="AG73" i="70"/>
  <c r="AF73" i="70"/>
  <c r="AE73" i="70"/>
  <c r="AF49" i="70" s="1"/>
  <c r="AD73" i="70"/>
  <c r="AC73" i="70"/>
  <c r="AD49" i="70" s="1"/>
  <c r="AB73" i="70"/>
  <c r="AA73" i="70"/>
  <c r="AB49" i="70" s="1"/>
  <c r="AB16" i="70" s="1"/>
  <c r="AB25" i="70" s="1"/>
  <c r="Z73" i="70"/>
  <c r="Y73" i="70"/>
  <c r="Z49" i="70" s="1"/>
  <c r="X73" i="70"/>
  <c r="W73" i="70"/>
  <c r="V73" i="70"/>
  <c r="U73" i="70"/>
  <c r="T73" i="70"/>
  <c r="S73" i="70"/>
  <c r="AG72" i="70"/>
  <c r="AF72" i="70"/>
  <c r="AF48" i="70" s="1"/>
  <c r="AF14" i="70" s="1"/>
  <c r="AF24" i="70" s="1"/>
  <c r="AE72" i="70"/>
  <c r="AD72" i="70"/>
  <c r="AE48" i="70" s="1"/>
  <c r="AC72" i="70"/>
  <c r="AB72" i="70"/>
  <c r="AA72" i="70"/>
  <c r="AA48" i="70" s="1"/>
  <c r="AA14" i="70" s="1"/>
  <c r="AA24" i="70" s="1"/>
  <c r="Z72" i="70"/>
  <c r="Y72" i="70"/>
  <c r="X72" i="70"/>
  <c r="W72" i="70"/>
  <c r="V72" i="70"/>
  <c r="U72" i="70"/>
  <c r="T72" i="70"/>
  <c r="S72" i="70"/>
  <c r="AG71" i="70"/>
  <c r="AG46" i="70" s="1"/>
  <c r="AF71" i="70"/>
  <c r="AE71" i="70"/>
  <c r="AD71" i="70"/>
  <c r="AD46" i="70" s="1"/>
  <c r="AD45" i="70" s="1"/>
  <c r="AD12" i="70" s="1"/>
  <c r="AD23" i="70" s="1"/>
  <c r="AC71" i="70"/>
  <c r="AB71" i="70"/>
  <c r="AA71" i="70"/>
  <c r="Z71" i="70"/>
  <c r="Y71" i="70"/>
  <c r="Z46" i="70" s="1"/>
  <c r="Z45" i="70" s="1"/>
  <c r="Z12" i="70" s="1"/>
  <c r="Z23" i="70" s="1"/>
  <c r="X71" i="70"/>
  <c r="W71" i="70"/>
  <c r="V71" i="70"/>
  <c r="U71" i="70"/>
  <c r="T71" i="70"/>
  <c r="S71" i="70"/>
  <c r="AG52" i="70"/>
  <c r="AG20" i="70" s="1"/>
  <c r="AG27" i="70" s="1"/>
  <c r="Y52" i="70"/>
  <c r="X52" i="70"/>
  <c r="X20" i="70" s="1"/>
  <c r="W52" i="70"/>
  <c r="V52" i="70"/>
  <c r="V20" i="70" s="1"/>
  <c r="V27" i="70" s="1"/>
  <c r="U52" i="70"/>
  <c r="U20" i="70" s="1"/>
  <c r="U27" i="70" s="1"/>
  <c r="T52" i="70"/>
  <c r="S52" i="70"/>
  <c r="R52" i="70"/>
  <c r="Q52" i="70"/>
  <c r="P52" i="70"/>
  <c r="P20" i="70" s="1"/>
  <c r="P27" i="70" s="1"/>
  <c r="O52" i="70"/>
  <c r="N52" i="70"/>
  <c r="N20" i="70" s="1"/>
  <c r="N27" i="70" s="1"/>
  <c r="M52" i="70"/>
  <c r="L52" i="70"/>
  <c r="L20" i="70" s="1"/>
  <c r="L27" i="70" s="1"/>
  <c r="K52" i="70"/>
  <c r="J52" i="70"/>
  <c r="J20" i="70" s="1"/>
  <c r="J27" i="70" s="1"/>
  <c r="I52" i="70"/>
  <c r="I20" i="70" s="1"/>
  <c r="I27" i="70" s="1"/>
  <c r="H52" i="70"/>
  <c r="G52" i="70"/>
  <c r="F52" i="70"/>
  <c r="E52" i="70"/>
  <c r="D52" i="70"/>
  <c r="D20" i="70" s="1"/>
  <c r="D27" i="70" s="1"/>
  <c r="AD51" i="70"/>
  <c r="Y51" i="70"/>
  <c r="X51" i="70"/>
  <c r="W51" i="70"/>
  <c r="V51" i="70"/>
  <c r="V18" i="70" s="1"/>
  <c r="V26" i="70" s="1"/>
  <c r="U51" i="70"/>
  <c r="T51" i="70"/>
  <c r="T18" i="70" s="1"/>
  <c r="T26" i="70" s="1"/>
  <c r="S51" i="70"/>
  <c r="R51" i="70"/>
  <c r="R18" i="70" s="1"/>
  <c r="Q51" i="70"/>
  <c r="P51" i="70"/>
  <c r="P18" i="70" s="1"/>
  <c r="P26" i="70" s="1"/>
  <c r="O51" i="70"/>
  <c r="N51" i="70"/>
  <c r="M51" i="70"/>
  <c r="L51" i="70"/>
  <c r="K51" i="70"/>
  <c r="J51" i="70"/>
  <c r="J18" i="70" s="1"/>
  <c r="J26" i="70" s="1"/>
  <c r="I51" i="70"/>
  <c r="H51" i="70"/>
  <c r="H18" i="70" s="1"/>
  <c r="H26" i="70" s="1"/>
  <c r="G51" i="70"/>
  <c r="F51" i="70"/>
  <c r="F18" i="70" s="1"/>
  <c r="E51" i="70"/>
  <c r="D51" i="70"/>
  <c r="D18" i="70" s="1"/>
  <c r="D26" i="70" s="1"/>
  <c r="AB50" i="70"/>
  <c r="AA50" i="70"/>
  <c r="Z50" i="70"/>
  <c r="AG49" i="70"/>
  <c r="AG51" i="70" s="1"/>
  <c r="AG18" i="70" s="1"/>
  <c r="AE49" i="70"/>
  <c r="AE51" i="70" s="1"/>
  <c r="AE52" i="70" s="1"/>
  <c r="AE20" i="70" s="1"/>
  <c r="AE27" i="70" s="1"/>
  <c r="AC49" i="70"/>
  <c r="AC51" i="70" s="1"/>
  <c r="AC52" i="70" s="1"/>
  <c r="AC20" i="70" s="1"/>
  <c r="AC27" i="70" s="1"/>
  <c r="Y49" i="70"/>
  <c r="X49" i="70"/>
  <c r="X16" i="70" s="1"/>
  <c r="X25" i="70" s="1"/>
  <c r="W49" i="70"/>
  <c r="V49" i="70"/>
  <c r="U49" i="70"/>
  <c r="T49" i="70"/>
  <c r="S49" i="70"/>
  <c r="S16" i="70" s="1"/>
  <c r="S25" i="70" s="1"/>
  <c r="R49" i="70"/>
  <c r="Q49" i="70"/>
  <c r="Q16" i="70" s="1"/>
  <c r="P49" i="70"/>
  <c r="P16" i="70" s="1"/>
  <c r="P25" i="70" s="1"/>
  <c r="O49" i="70"/>
  <c r="O16" i="70" s="1"/>
  <c r="N49" i="70"/>
  <c r="M49" i="70"/>
  <c r="M16" i="70" s="1"/>
  <c r="M25" i="70" s="1"/>
  <c r="L49" i="70"/>
  <c r="L16" i="70" s="1"/>
  <c r="K49" i="70"/>
  <c r="J49" i="70"/>
  <c r="I49" i="70"/>
  <c r="H49" i="70"/>
  <c r="G49" i="70"/>
  <c r="G16" i="70" s="1"/>
  <c r="G25" i="70" s="1"/>
  <c r="F49" i="70"/>
  <c r="E49" i="70"/>
  <c r="E16" i="70" s="1"/>
  <c r="D49" i="70"/>
  <c r="D16" i="70" s="1"/>
  <c r="D25" i="70" s="1"/>
  <c r="AG48" i="70"/>
  <c r="AG14" i="70" s="1"/>
  <c r="AD48" i="70"/>
  <c r="AD14" i="70" s="1"/>
  <c r="AD24" i="70" s="1"/>
  <c r="Z48" i="70"/>
  <c r="Y48" i="70"/>
  <c r="Y14" i="70" s="1"/>
  <c r="Y24" i="70" s="1"/>
  <c r="X48" i="70"/>
  <c r="W48" i="70"/>
  <c r="W14" i="70" s="1"/>
  <c r="W24" i="70" s="1"/>
  <c r="V48" i="70"/>
  <c r="V14" i="70" s="1"/>
  <c r="V24" i="70" s="1"/>
  <c r="U48" i="70"/>
  <c r="U14" i="70" s="1"/>
  <c r="U24" i="70" s="1"/>
  <c r="T48" i="70"/>
  <c r="S48" i="70"/>
  <c r="R48" i="70"/>
  <c r="R14" i="70" s="1"/>
  <c r="Q48" i="70"/>
  <c r="P48" i="70"/>
  <c r="O48" i="70"/>
  <c r="N48" i="70"/>
  <c r="M48" i="70"/>
  <c r="L48" i="70"/>
  <c r="K48" i="70"/>
  <c r="K14" i="70" s="1"/>
  <c r="K24" i="70" s="1"/>
  <c r="J48" i="70"/>
  <c r="J14" i="70" s="1"/>
  <c r="J24" i="70" s="1"/>
  <c r="I48" i="70"/>
  <c r="I14" i="70" s="1"/>
  <c r="I24" i="70" s="1"/>
  <c r="H48" i="70"/>
  <c r="G48" i="70"/>
  <c r="F48" i="70"/>
  <c r="F14" i="70" s="1"/>
  <c r="E48" i="70"/>
  <c r="D48" i="70"/>
  <c r="AC46" i="70"/>
  <c r="AC45" i="70" s="1"/>
  <c r="AC12" i="70" s="1"/>
  <c r="AC23" i="70" s="1"/>
  <c r="AB46" i="70"/>
  <c r="AB45" i="70" s="1"/>
  <c r="AB12" i="70" s="1"/>
  <c r="AB23" i="70" s="1"/>
  <c r="AA46" i="70"/>
  <c r="AA45" i="70" s="1"/>
  <c r="AA12" i="70" s="1"/>
  <c r="AA23" i="70" s="1"/>
  <c r="Y46" i="70"/>
  <c r="X46" i="70"/>
  <c r="W46" i="70"/>
  <c r="V46" i="70"/>
  <c r="U46" i="70"/>
  <c r="T46" i="70"/>
  <c r="S46" i="70"/>
  <c r="R46" i="70"/>
  <c r="Q46" i="70"/>
  <c r="P46" i="70"/>
  <c r="O46" i="70"/>
  <c r="N46" i="70"/>
  <c r="M46" i="70"/>
  <c r="L46" i="70"/>
  <c r="K46" i="70"/>
  <c r="J46" i="70"/>
  <c r="I46" i="70"/>
  <c r="H46" i="70"/>
  <c r="G46" i="70"/>
  <c r="F46" i="70"/>
  <c r="E46" i="70"/>
  <c r="D46" i="70"/>
  <c r="AG45" i="70"/>
  <c r="Y45" i="70"/>
  <c r="X45" i="70"/>
  <c r="W45" i="70"/>
  <c r="V45" i="70"/>
  <c r="U45" i="70"/>
  <c r="U12" i="70" s="1"/>
  <c r="U23" i="70" s="1"/>
  <c r="T45" i="70"/>
  <c r="C13" i="76" s="1"/>
  <c r="S45" i="70"/>
  <c r="R45" i="70"/>
  <c r="R12" i="70" s="1"/>
  <c r="R23" i="70" s="1"/>
  <c r="Q45" i="70"/>
  <c r="P45" i="70"/>
  <c r="O45" i="70"/>
  <c r="N45" i="70"/>
  <c r="M45" i="70"/>
  <c r="L45" i="70"/>
  <c r="K45" i="70"/>
  <c r="J45" i="70"/>
  <c r="I45" i="70"/>
  <c r="I12" i="70" s="1"/>
  <c r="I23" i="70" s="1"/>
  <c r="H45" i="70"/>
  <c r="G45" i="70"/>
  <c r="F45" i="70"/>
  <c r="F12" i="70" s="1"/>
  <c r="F23" i="70" s="1"/>
  <c r="E45" i="70"/>
  <c r="D45" i="70"/>
  <c r="X27" i="70"/>
  <c r="Q27" i="70"/>
  <c r="O27" i="70"/>
  <c r="M27" i="70"/>
  <c r="G27" i="70"/>
  <c r="E27" i="70"/>
  <c r="AG26" i="70"/>
  <c r="AE26" i="70"/>
  <c r="W26" i="70"/>
  <c r="U26" i="70"/>
  <c r="R26" i="70"/>
  <c r="M26" i="70"/>
  <c r="K26" i="70"/>
  <c r="I26" i="70"/>
  <c r="F26" i="70"/>
  <c r="AE25" i="70"/>
  <c r="Q25" i="70"/>
  <c r="O25" i="70"/>
  <c r="L25" i="70"/>
  <c r="E25" i="70"/>
  <c r="AG24" i="70"/>
  <c r="S24" i="70"/>
  <c r="R24" i="70"/>
  <c r="G24" i="70"/>
  <c r="F24" i="70"/>
  <c r="X23" i="70"/>
  <c r="S23" i="70"/>
  <c r="Q23" i="70"/>
  <c r="P23" i="70"/>
  <c r="O23" i="70"/>
  <c r="L23" i="70"/>
  <c r="G23" i="70"/>
  <c r="E23" i="70"/>
  <c r="D23" i="70"/>
  <c r="Y20" i="70"/>
  <c r="Y27" i="70" s="1"/>
  <c r="W20" i="70"/>
  <c r="W27" i="70" s="1"/>
  <c r="T20" i="70"/>
  <c r="T27" i="70" s="1"/>
  <c r="S20" i="70"/>
  <c r="S27" i="70" s="1"/>
  <c r="R20" i="70"/>
  <c r="R27" i="70" s="1"/>
  <c r="Q20" i="70"/>
  <c r="O20" i="70"/>
  <c r="M20" i="70"/>
  <c r="K20" i="70"/>
  <c r="K27" i="70" s="1"/>
  <c r="H20" i="70"/>
  <c r="H27" i="70" s="1"/>
  <c r="G20" i="70"/>
  <c r="F20" i="70"/>
  <c r="F27" i="70" s="1"/>
  <c r="E20" i="70"/>
  <c r="AE18" i="70"/>
  <c r="Y18" i="70"/>
  <c r="Y26" i="70" s="1"/>
  <c r="X18" i="70"/>
  <c r="X26" i="70" s="1"/>
  <c r="W18" i="70"/>
  <c r="U18" i="70"/>
  <c r="S18" i="70"/>
  <c r="S26" i="70" s="1"/>
  <c r="Q18" i="70"/>
  <c r="Q26" i="70" s="1"/>
  <c r="O18" i="70"/>
  <c r="O26" i="70" s="1"/>
  <c r="N18" i="70"/>
  <c r="N26" i="70" s="1"/>
  <c r="M18" i="70"/>
  <c r="L18" i="70"/>
  <c r="L26" i="70" s="1"/>
  <c r="K18" i="70"/>
  <c r="I18" i="70"/>
  <c r="G18" i="70"/>
  <c r="G26" i="70" s="1"/>
  <c r="E18" i="70"/>
  <c r="E26" i="70" s="1"/>
  <c r="AG16" i="70"/>
  <c r="AG25" i="70" s="1"/>
  <c r="AE16" i="70"/>
  <c r="AD16" i="70"/>
  <c r="AD25" i="70" s="1"/>
  <c r="Y16" i="70"/>
  <c r="Y25" i="70" s="1"/>
  <c r="W16" i="70"/>
  <c r="W25" i="70" s="1"/>
  <c r="V16" i="70"/>
  <c r="V25" i="70" s="1"/>
  <c r="U16" i="70"/>
  <c r="U25" i="70" s="1"/>
  <c r="T16" i="70"/>
  <c r="T25" i="70" s="1"/>
  <c r="R16" i="70"/>
  <c r="R25" i="70" s="1"/>
  <c r="N16" i="70"/>
  <c r="N25" i="70" s="1"/>
  <c r="K16" i="70"/>
  <c r="K25" i="70" s="1"/>
  <c r="J16" i="70"/>
  <c r="J25" i="70" s="1"/>
  <c r="I16" i="70"/>
  <c r="I25" i="70" s="1"/>
  <c r="H16" i="70"/>
  <c r="H25" i="70" s="1"/>
  <c r="F16" i="70"/>
  <c r="F25" i="70" s="1"/>
  <c r="AE14" i="70"/>
  <c r="AE24" i="70" s="1"/>
  <c r="Z14" i="70"/>
  <c r="Z24" i="70" s="1"/>
  <c r="X14" i="70"/>
  <c r="X24" i="70" s="1"/>
  <c r="T14" i="70"/>
  <c r="T24" i="70" s="1"/>
  <c r="S14" i="70"/>
  <c r="Q14" i="70"/>
  <c r="Q24" i="70" s="1"/>
  <c r="P14" i="70"/>
  <c r="P24" i="70" s="1"/>
  <c r="O14" i="70"/>
  <c r="O24" i="70" s="1"/>
  <c r="N14" i="70"/>
  <c r="N24" i="70" s="1"/>
  <c r="M14" i="70"/>
  <c r="M24" i="70" s="1"/>
  <c r="L14" i="70"/>
  <c r="L24" i="70" s="1"/>
  <c r="H14" i="70"/>
  <c r="H24" i="70" s="1"/>
  <c r="G14" i="70"/>
  <c r="E14" i="70"/>
  <c r="E24" i="70" s="1"/>
  <c r="D14" i="70"/>
  <c r="D24" i="70" s="1"/>
  <c r="AG12" i="70"/>
  <c r="AG23" i="70" s="1"/>
  <c r="Y12" i="70"/>
  <c r="Y23" i="70" s="1"/>
  <c r="X12" i="70"/>
  <c r="W12" i="70"/>
  <c r="W23" i="70" s="1"/>
  <c r="V12" i="70"/>
  <c r="V23" i="70" s="1"/>
  <c r="T12" i="70"/>
  <c r="T23" i="70" s="1"/>
  <c r="S12" i="70"/>
  <c r="Q12" i="70"/>
  <c r="P12" i="70"/>
  <c r="O12" i="70"/>
  <c r="N12" i="70"/>
  <c r="N23" i="70" s="1"/>
  <c r="M12" i="70"/>
  <c r="M23" i="70" s="1"/>
  <c r="L12" i="70"/>
  <c r="K12" i="70"/>
  <c r="K23" i="70" s="1"/>
  <c r="J12" i="70"/>
  <c r="J23" i="70" s="1"/>
  <c r="H12" i="70"/>
  <c r="H23" i="70" s="1"/>
  <c r="G12" i="70"/>
  <c r="E12" i="70"/>
  <c r="D12" i="70"/>
  <c r="N144" i="48"/>
  <c r="K144" i="48"/>
  <c r="P143" i="48"/>
  <c r="N141" i="48"/>
  <c r="M141" i="48"/>
  <c r="O140" i="48"/>
  <c r="Q138" i="48"/>
  <c r="Y131" i="48"/>
  <c r="Z131" i="48" s="1"/>
  <c r="AA131" i="48" s="1"/>
  <c r="AB131" i="48" s="1"/>
  <c r="AC131" i="48" s="1"/>
  <c r="AD131" i="48" s="1"/>
  <c r="AE131" i="48" s="1"/>
  <c r="AF131" i="48" s="1"/>
  <c r="AG131" i="48" s="1"/>
  <c r="AG25" i="48" s="1"/>
  <c r="T131" i="48"/>
  <c r="M131" i="48"/>
  <c r="H131" i="48"/>
  <c r="X130" i="48"/>
  <c r="O130" i="48"/>
  <c r="AA129" i="48"/>
  <c r="V128" i="48"/>
  <c r="Y126" i="48"/>
  <c r="X126" i="48"/>
  <c r="W126" i="48"/>
  <c r="V126" i="48"/>
  <c r="U126" i="48"/>
  <c r="T126" i="48"/>
  <c r="S126" i="48"/>
  <c r="R126" i="48"/>
  <c r="R144" i="48" s="1"/>
  <c r="Q126" i="48"/>
  <c r="Q144" i="48" s="1"/>
  <c r="P126" i="48"/>
  <c r="O126" i="48"/>
  <c r="O144" i="48" s="1"/>
  <c r="N126" i="48"/>
  <c r="M126" i="48"/>
  <c r="L126" i="48"/>
  <c r="M144" i="48" s="1"/>
  <c r="K126" i="48"/>
  <c r="J126" i="48"/>
  <c r="I126" i="48"/>
  <c r="I144" i="48" s="1"/>
  <c r="H126" i="48"/>
  <c r="G126" i="48"/>
  <c r="F126" i="48"/>
  <c r="Y125" i="48"/>
  <c r="X125" i="48"/>
  <c r="W125" i="48"/>
  <c r="V125" i="48"/>
  <c r="U125" i="48"/>
  <c r="T125" i="48"/>
  <c r="S125" i="48"/>
  <c r="S143" i="48" s="1"/>
  <c r="R125" i="48"/>
  <c r="Q125" i="48"/>
  <c r="Q143" i="48" s="1"/>
  <c r="P125" i="48"/>
  <c r="O125" i="48"/>
  <c r="N125" i="48"/>
  <c r="M125" i="48"/>
  <c r="M143" i="48" s="1"/>
  <c r="L125" i="48"/>
  <c r="K125" i="48"/>
  <c r="J125" i="48"/>
  <c r="J143" i="48" s="1"/>
  <c r="I125" i="48"/>
  <c r="H125" i="48"/>
  <c r="G125" i="48"/>
  <c r="G143" i="48" s="1"/>
  <c r="F125" i="48"/>
  <c r="Y124" i="48"/>
  <c r="V124" i="48"/>
  <c r="S124" i="48"/>
  <c r="P124" i="48"/>
  <c r="O124" i="48"/>
  <c r="O114" i="48" s="1"/>
  <c r="M124" i="48"/>
  <c r="J124" i="48"/>
  <c r="G124" i="48"/>
  <c r="Y123" i="48"/>
  <c r="X123" i="48"/>
  <c r="W123" i="48"/>
  <c r="V123" i="48"/>
  <c r="U123" i="48"/>
  <c r="T123" i="48"/>
  <c r="S123" i="48"/>
  <c r="R123" i="48"/>
  <c r="R141" i="48" s="1"/>
  <c r="Q123" i="48"/>
  <c r="Q141" i="48" s="1"/>
  <c r="P123" i="48"/>
  <c r="P141" i="48" s="1"/>
  <c r="O123" i="48"/>
  <c r="O141" i="48" s="1"/>
  <c r="N123" i="48"/>
  <c r="M123" i="48"/>
  <c r="L123" i="48"/>
  <c r="K123" i="48"/>
  <c r="K141" i="48" s="1"/>
  <c r="J123" i="48"/>
  <c r="I123" i="48"/>
  <c r="I141" i="48" s="1"/>
  <c r="H123" i="48"/>
  <c r="H141" i="48" s="1"/>
  <c r="G123" i="48"/>
  <c r="F123" i="48"/>
  <c r="Y122" i="48"/>
  <c r="X122" i="48"/>
  <c r="W122" i="48"/>
  <c r="V122" i="48"/>
  <c r="U122" i="48"/>
  <c r="T122" i="48"/>
  <c r="S122" i="48"/>
  <c r="S140" i="48" s="1"/>
  <c r="R122" i="48"/>
  <c r="Q122" i="48"/>
  <c r="P122" i="48"/>
  <c r="O122" i="48"/>
  <c r="N122" i="48"/>
  <c r="N140" i="48" s="1"/>
  <c r="M122" i="48"/>
  <c r="M140" i="48" s="1"/>
  <c r="L122" i="48"/>
  <c r="K122" i="48"/>
  <c r="K140" i="48" s="1"/>
  <c r="J122" i="48"/>
  <c r="J140" i="48" s="1"/>
  <c r="I122" i="48"/>
  <c r="I140" i="48" s="1"/>
  <c r="H122" i="48"/>
  <c r="G122" i="48"/>
  <c r="G140" i="48" s="1"/>
  <c r="F122" i="48"/>
  <c r="Y121" i="48"/>
  <c r="Y119" i="48" s="1"/>
  <c r="X121" i="48"/>
  <c r="W121" i="48"/>
  <c r="V121" i="48"/>
  <c r="V119" i="48" s="1"/>
  <c r="U121" i="48"/>
  <c r="T121" i="48"/>
  <c r="S121" i="48"/>
  <c r="S139" i="48" s="1"/>
  <c r="R121" i="48"/>
  <c r="R139" i="48" s="1"/>
  <c r="Q121" i="48"/>
  <c r="P121" i="48"/>
  <c r="O121" i="48"/>
  <c r="O139" i="48" s="1"/>
  <c r="N121" i="48"/>
  <c r="M121" i="48"/>
  <c r="L121" i="48"/>
  <c r="K121" i="48"/>
  <c r="J121" i="48"/>
  <c r="I121" i="48"/>
  <c r="I139" i="48" s="1"/>
  <c r="H121" i="48"/>
  <c r="G121" i="48"/>
  <c r="G139" i="48" s="1"/>
  <c r="F121" i="48"/>
  <c r="Y120" i="48"/>
  <c r="X120" i="48"/>
  <c r="X119" i="48" s="1"/>
  <c r="W120" i="48"/>
  <c r="W124" i="48" s="1"/>
  <c r="V120" i="48"/>
  <c r="U120" i="48"/>
  <c r="T120" i="48"/>
  <c r="T124" i="48" s="1"/>
  <c r="S120" i="48"/>
  <c r="R120" i="48"/>
  <c r="Q120" i="48"/>
  <c r="Q124" i="48" s="1"/>
  <c r="Q142" i="48" s="1"/>
  <c r="P120" i="48"/>
  <c r="O120" i="48"/>
  <c r="N120" i="48"/>
  <c r="N138" i="48" s="1"/>
  <c r="M120" i="48"/>
  <c r="L120" i="48"/>
  <c r="L124" i="48" s="1"/>
  <c r="M142" i="48" s="1"/>
  <c r="K120" i="48"/>
  <c r="J120" i="48"/>
  <c r="I120" i="48"/>
  <c r="H120" i="48"/>
  <c r="H124" i="48" s="1"/>
  <c r="H142" i="48" s="1"/>
  <c r="G120" i="48"/>
  <c r="F120" i="48"/>
  <c r="T119" i="48"/>
  <c r="K119" i="48"/>
  <c r="H119" i="48"/>
  <c r="G119" i="48"/>
  <c r="K116" i="48"/>
  <c r="I116" i="48"/>
  <c r="W115" i="48"/>
  <c r="T115" i="48"/>
  <c r="K115" i="48"/>
  <c r="H115"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95" i="48"/>
  <c r="F94" i="48"/>
  <c r="M88" i="48"/>
  <c r="L88" i="48"/>
  <c r="K88" i="48"/>
  <c r="J88" i="48"/>
  <c r="I88" i="48"/>
  <c r="H88" i="48"/>
  <c r="G88" i="48"/>
  <c r="F88" i="48"/>
  <c r="F96" i="48" s="1"/>
  <c r="E88" i="48"/>
  <c r="E96" i="48" s="1"/>
  <c r="L87" i="48"/>
  <c r="H87" i="48"/>
  <c r="F87" i="48"/>
  <c r="F95" i="48" s="1"/>
  <c r="E87" i="48"/>
  <c r="M86" i="48"/>
  <c r="L86" i="48"/>
  <c r="K86" i="48"/>
  <c r="J86" i="48"/>
  <c r="I86" i="48"/>
  <c r="H86" i="48"/>
  <c r="G86" i="48"/>
  <c r="F86" i="48"/>
  <c r="E86" i="48"/>
  <c r="E94" i="48" s="1"/>
  <c r="M85" i="48"/>
  <c r="L85" i="48"/>
  <c r="K85" i="48"/>
  <c r="J85" i="48"/>
  <c r="I85" i="48"/>
  <c r="H85" i="48"/>
  <c r="G85" i="48"/>
  <c r="F85" i="48"/>
  <c r="E85" i="48"/>
  <c r="E93" i="48" s="1"/>
  <c r="G73" i="48"/>
  <c r="F73" i="48"/>
  <c r="E73" i="48"/>
  <c r="E72" i="48"/>
  <c r="F71" i="48"/>
  <c r="E71" i="48"/>
  <c r="F70" i="48"/>
  <c r="F93" i="48" s="1"/>
  <c r="E70" i="48"/>
  <c r="M57" i="48"/>
  <c r="M87" i="48" s="1"/>
  <c r="L57" i="48"/>
  <c r="K57" i="48"/>
  <c r="K87" i="48" s="1"/>
  <c r="J57" i="48"/>
  <c r="J87" i="48" s="1"/>
  <c r="I57" i="48"/>
  <c r="I87" i="48" s="1"/>
  <c r="H57" i="48"/>
  <c r="G57" i="48"/>
  <c r="G87" i="48" s="1"/>
  <c r="F57" i="48"/>
  <c r="F72" i="48" s="1"/>
  <c r="E57" i="48"/>
  <c r="AG47" i="48"/>
  <c r="AF47" i="48"/>
  <c r="AE47" i="48"/>
  <c r="AD47" i="48"/>
  <c r="AC47" i="48"/>
  <c r="AB47" i="48"/>
  <c r="AA47" i="48"/>
  <c r="Z47" i="48"/>
  <c r="Y47" i="48"/>
  <c r="I32" i="48"/>
  <c r="U28" i="48"/>
  <c r="S28" i="48"/>
  <c r="P28" i="48"/>
  <c r="I28" i="48"/>
  <c r="Y27" i="48"/>
  <c r="W27" i="48"/>
  <c r="T27" i="48"/>
  <c r="H27" i="48"/>
  <c r="AE25" i="48"/>
  <c r="AB25" i="48"/>
  <c r="Y25" i="48"/>
  <c r="X25" i="48"/>
  <c r="X131" i="48" s="1"/>
  <c r="W25" i="48"/>
  <c r="W131" i="48" s="1"/>
  <c r="V25" i="48"/>
  <c r="V131" i="48" s="1"/>
  <c r="U25" i="48"/>
  <c r="T25" i="48"/>
  <c r="S25" i="48"/>
  <c r="S131" i="48" s="1"/>
  <c r="R25" i="48"/>
  <c r="Q25" i="48"/>
  <c r="P25" i="48"/>
  <c r="P131" i="48" s="1"/>
  <c r="O25" i="48"/>
  <c r="O131" i="48" s="1"/>
  <c r="N25" i="48"/>
  <c r="N131" i="48" s="1"/>
  <c r="M25" i="48"/>
  <c r="L25" i="48"/>
  <c r="L131" i="48" s="1"/>
  <c r="K25" i="48"/>
  <c r="K131" i="48" s="1"/>
  <c r="J25" i="48"/>
  <c r="J131" i="48" s="1"/>
  <c r="I25" i="48"/>
  <c r="I131" i="48" s="1"/>
  <c r="H25" i="48"/>
  <c r="G25" i="48"/>
  <c r="G131" i="48" s="1"/>
  <c r="F25" i="48"/>
  <c r="Y24" i="48"/>
  <c r="Y130" i="48" s="1"/>
  <c r="Z130" i="48" s="1"/>
  <c r="AA130" i="48" s="1"/>
  <c r="AB130" i="48" s="1"/>
  <c r="AC130" i="48" s="1"/>
  <c r="X24" i="48"/>
  <c r="W24" i="48"/>
  <c r="W130" i="48" s="1"/>
  <c r="V24" i="48"/>
  <c r="V130" i="48" s="1"/>
  <c r="U24" i="48"/>
  <c r="U130" i="48" s="1"/>
  <c r="T24" i="48"/>
  <c r="T130" i="48" s="1"/>
  <c r="S24" i="48"/>
  <c r="S130" i="48" s="1"/>
  <c r="R24" i="48"/>
  <c r="R130" i="48" s="1"/>
  <c r="Q24" i="48"/>
  <c r="Q130" i="48" s="1"/>
  <c r="P24" i="48"/>
  <c r="P130" i="48" s="1"/>
  <c r="O24" i="48"/>
  <c r="N24" i="48"/>
  <c r="M24" i="48"/>
  <c r="M130" i="48" s="1"/>
  <c r="L24" i="48"/>
  <c r="L130" i="48" s="1"/>
  <c r="K24" i="48"/>
  <c r="K130" i="48" s="1"/>
  <c r="J24" i="48"/>
  <c r="J130" i="48" s="1"/>
  <c r="I24" i="48"/>
  <c r="I130" i="48" s="1"/>
  <c r="H24" i="48"/>
  <c r="H130" i="48" s="1"/>
  <c r="G24" i="48"/>
  <c r="G130" i="48" s="1"/>
  <c r="F24" i="48"/>
  <c r="F130" i="48" s="1"/>
  <c r="Y23" i="48"/>
  <c r="Y129" i="48" s="1"/>
  <c r="Z129" i="48" s="1"/>
  <c r="Z23" i="48" s="1"/>
  <c r="X23" i="48"/>
  <c r="W23" i="48"/>
  <c r="W129" i="48" s="1"/>
  <c r="V23" i="48"/>
  <c r="U23" i="48"/>
  <c r="T23" i="48"/>
  <c r="S23" i="48"/>
  <c r="R23" i="48"/>
  <c r="R28" i="48" s="1"/>
  <c r="Q23" i="48"/>
  <c r="Q129" i="48" s="1"/>
  <c r="P23" i="48"/>
  <c r="P129" i="48" s="1"/>
  <c r="O23" i="48"/>
  <c r="N23" i="48"/>
  <c r="M23" i="48"/>
  <c r="M129" i="48" s="1"/>
  <c r="L23" i="48"/>
  <c r="L129" i="48" s="1"/>
  <c r="K23" i="48"/>
  <c r="J23" i="48"/>
  <c r="J129" i="48" s="1"/>
  <c r="I23" i="48"/>
  <c r="H23" i="48"/>
  <c r="G23" i="48"/>
  <c r="G129" i="48" s="1"/>
  <c r="F23" i="48"/>
  <c r="F28" i="48" s="1"/>
  <c r="Y21" i="48"/>
  <c r="X21" i="48"/>
  <c r="X19" i="48" s="1"/>
  <c r="W21" i="48"/>
  <c r="V21" i="48"/>
  <c r="V27" i="48" s="1"/>
  <c r="U21" i="48"/>
  <c r="T21" i="48"/>
  <c r="T128" i="48" s="1"/>
  <c r="S21" i="48"/>
  <c r="S27" i="48" s="1"/>
  <c r="R21" i="48"/>
  <c r="Q21" i="48"/>
  <c r="P21" i="48"/>
  <c r="O21" i="48"/>
  <c r="N21" i="48"/>
  <c r="M21" i="48"/>
  <c r="L21" i="48"/>
  <c r="L19" i="48" s="1"/>
  <c r="K21" i="48"/>
  <c r="J21" i="48"/>
  <c r="J27" i="48" s="1"/>
  <c r="I21" i="48"/>
  <c r="H21" i="48"/>
  <c r="H128" i="48" s="1"/>
  <c r="G21" i="48"/>
  <c r="G128" i="48" s="1"/>
  <c r="F21" i="48"/>
  <c r="Y19" i="48"/>
  <c r="V19" i="48"/>
  <c r="U19" i="48"/>
  <c r="T19" i="48"/>
  <c r="S19" i="48"/>
  <c r="N19" i="48"/>
  <c r="M19" i="48"/>
  <c r="J19" i="48"/>
  <c r="I19" i="48"/>
  <c r="H19" i="48"/>
  <c r="Y16" i="48"/>
  <c r="X16" i="48"/>
  <c r="X116" i="48" s="1"/>
  <c r="W16" i="48"/>
  <c r="W116" i="48" s="1"/>
  <c r="V16" i="48"/>
  <c r="V116" i="48" s="1"/>
  <c r="U16" i="48"/>
  <c r="U116" i="48" s="1"/>
  <c r="T16" i="48"/>
  <c r="T116" i="48" s="1"/>
  <c r="S16" i="48"/>
  <c r="S116" i="48" s="1"/>
  <c r="R16" i="48"/>
  <c r="Q16" i="48"/>
  <c r="I34" i="48" s="1"/>
  <c r="P16" i="48"/>
  <c r="P116" i="48" s="1"/>
  <c r="O16" i="48"/>
  <c r="O116" i="48" s="1"/>
  <c r="N16" i="48"/>
  <c r="N116" i="48" s="1"/>
  <c r="I96" i="48" s="1"/>
  <c r="J96" i="48" s="1"/>
  <c r="K96" i="48" s="1"/>
  <c r="L96" i="48" s="1"/>
  <c r="M16" i="48"/>
  <c r="M116" i="48" s="1"/>
  <c r="H96" i="48" s="1"/>
  <c r="L16" i="48"/>
  <c r="K16" i="48"/>
  <c r="J16" i="48"/>
  <c r="J116" i="48" s="1"/>
  <c r="I16" i="48"/>
  <c r="G34" i="48" s="1"/>
  <c r="G66" i="48" s="1"/>
  <c r="H16" i="48"/>
  <c r="H116" i="48" s="1"/>
  <c r="G16" i="48"/>
  <c r="F16" i="48"/>
  <c r="Y14" i="48"/>
  <c r="Y115" i="48" s="1"/>
  <c r="Z115" i="48" s="1"/>
  <c r="AA115" i="48" s="1"/>
  <c r="AB115" i="48" s="1"/>
  <c r="AC115" i="48" s="1"/>
  <c r="AD115" i="48" s="1"/>
  <c r="AE115" i="48" s="1"/>
  <c r="AF115" i="48" s="1"/>
  <c r="AG115" i="48" s="1"/>
  <c r="X14" i="48"/>
  <c r="X115" i="48" s="1"/>
  <c r="W14" i="48"/>
  <c r="V14" i="48"/>
  <c r="V115" i="48" s="1"/>
  <c r="U14" i="48"/>
  <c r="U115" i="48" s="1"/>
  <c r="T14" i="48"/>
  <c r="S14" i="48"/>
  <c r="S115" i="48" s="1"/>
  <c r="R14" i="48"/>
  <c r="R115" i="48" s="1"/>
  <c r="Q14" i="48"/>
  <c r="Q115" i="48" s="1"/>
  <c r="P14" i="48"/>
  <c r="O14" i="48"/>
  <c r="O115" i="48" s="1"/>
  <c r="N14" i="48"/>
  <c r="M14" i="48"/>
  <c r="M115" i="48" s="1"/>
  <c r="L14" i="48"/>
  <c r="L115" i="48" s="1"/>
  <c r="K14" i="48"/>
  <c r="J14" i="48"/>
  <c r="J115" i="48" s="1"/>
  <c r="I14" i="48"/>
  <c r="I115" i="48" s="1"/>
  <c r="H14" i="48"/>
  <c r="G14" i="48"/>
  <c r="F14" i="48"/>
  <c r="Y12" i="48"/>
  <c r="X12" i="48"/>
  <c r="X28" i="48" s="1"/>
  <c r="W12" i="48"/>
  <c r="V12" i="48"/>
  <c r="V114" i="48" s="1"/>
  <c r="U12" i="48"/>
  <c r="T12" i="48"/>
  <c r="S12" i="48"/>
  <c r="R12" i="48"/>
  <c r="Q12" i="48"/>
  <c r="P12" i="48"/>
  <c r="P114" i="48" s="1"/>
  <c r="O12" i="48"/>
  <c r="N12" i="48"/>
  <c r="M12" i="48"/>
  <c r="M28" i="48" s="1"/>
  <c r="L12" i="48"/>
  <c r="L28" i="48" s="1"/>
  <c r="K12" i="48"/>
  <c r="J12" i="48"/>
  <c r="J28" i="48" s="1"/>
  <c r="I12" i="48"/>
  <c r="H12" i="48"/>
  <c r="G12" i="48"/>
  <c r="G28" i="48" s="1"/>
  <c r="F12" i="48"/>
  <c r="Z10" i="48"/>
  <c r="Y10" i="48"/>
  <c r="X10" i="48"/>
  <c r="W10" i="48"/>
  <c r="V10" i="48"/>
  <c r="U10" i="48"/>
  <c r="U27" i="48" s="1"/>
  <c r="T10" i="48"/>
  <c r="T112" i="48" s="1"/>
  <c r="S10" i="48"/>
  <c r="R10" i="48"/>
  <c r="Q10" i="48"/>
  <c r="P10" i="48"/>
  <c r="O10" i="48"/>
  <c r="O27" i="48" s="1"/>
  <c r="N10" i="48"/>
  <c r="N27" i="48" s="1"/>
  <c r="M10" i="48"/>
  <c r="M27" i="48" s="1"/>
  <c r="L10" i="48"/>
  <c r="K10" i="48"/>
  <c r="K112" i="48" s="1"/>
  <c r="J10" i="48"/>
  <c r="I10" i="48"/>
  <c r="I27" i="48" s="1"/>
  <c r="H10" i="48"/>
  <c r="H112" i="48" s="1"/>
  <c r="G10" i="48"/>
  <c r="F10" i="48"/>
  <c r="F27" i="48" s="1"/>
  <c r="U9" i="48"/>
  <c r="U26" i="48" s="1"/>
  <c r="S9" i="48"/>
  <c r="P9" i="48"/>
  <c r="O9" i="48"/>
  <c r="J9" i="48"/>
  <c r="J26" i="48" s="1"/>
  <c r="I9" i="48"/>
  <c r="I26" i="48" s="1"/>
  <c r="G9" i="48"/>
  <c r="Z23" i="78"/>
  <c r="AA23" i="78" s="1"/>
  <c r="Y23" i="78"/>
  <c r="X23" i="78"/>
  <c r="W23" i="78"/>
  <c r="V23" i="78"/>
  <c r="U23" i="78"/>
  <c r="T23" i="78"/>
  <c r="S23" i="78"/>
  <c r="AF22" i="78"/>
  <c r="AD22" i="78"/>
  <c r="AB22" i="78"/>
  <c r="Z22" i="78"/>
  <c r="X21" i="78"/>
  <c r="W21" i="78"/>
  <c r="V21" i="78"/>
  <c r="AG16" i="78"/>
  <c r="AG22" i="78" s="1"/>
  <c r="AF16" i="78"/>
  <c r="AE16" i="78"/>
  <c r="AE22" i="78" s="1"/>
  <c r="AD16" i="78"/>
  <c r="AC16" i="78"/>
  <c r="AC22" i="78" s="1"/>
  <c r="AB16" i="78"/>
  <c r="AA16" i="78"/>
  <c r="AA22" i="78" s="1"/>
  <c r="Z16" i="78"/>
  <c r="AJ14" i="78"/>
  <c r="AI14" i="78"/>
  <c r="AH14" i="78"/>
  <c r="AG14" i="78"/>
  <c r="AB14" i="78"/>
  <c r="AA14" i="78"/>
  <c r="Z14" i="78"/>
  <c r="X14" i="78"/>
  <c r="V14" i="78"/>
  <c r="U14" i="78"/>
  <c r="AH13" i="78"/>
  <c r="AG13" i="78"/>
  <c r="AF13" i="78"/>
  <c r="AF14" i="78" s="1"/>
  <c r="AE13" i="78"/>
  <c r="AE14" i="78" s="1"/>
  <c r="AD13" i="78"/>
  <c r="AD14" i="78" s="1"/>
  <c r="AC13" i="78"/>
  <c r="AC14" i="78" s="1"/>
  <c r="AB13" i="78"/>
  <c r="AA13" i="78"/>
  <c r="Z13" i="78"/>
  <c r="Y13" i="78"/>
  <c r="Y21" i="78" s="1"/>
  <c r="X13" i="78"/>
  <c r="W13" i="78"/>
  <c r="W14" i="78" s="1"/>
  <c r="V13" i="78"/>
  <c r="U13" i="78"/>
  <c r="U21" i="78" s="1"/>
  <c r="T13" i="78"/>
  <c r="T21" i="78" s="1"/>
  <c r="S13" i="78"/>
  <c r="AA19" i="77"/>
  <c r="Z19" i="77"/>
  <c r="X16" i="77"/>
  <c r="X19" i="77" s="1"/>
  <c r="X15" i="77"/>
  <c r="AA7" i="77"/>
  <c r="Z7" i="77"/>
  <c r="X7" i="77"/>
  <c r="Q7" i="77"/>
  <c r="G130" i="75"/>
  <c r="F130" i="75"/>
  <c r="W106" i="75"/>
  <c r="W105" i="75" s="1"/>
  <c r="V106" i="75"/>
  <c r="V105" i="75"/>
  <c r="W104" i="75" s="1"/>
  <c r="U105" i="75"/>
  <c r="T105" i="75"/>
  <c r="U104" i="75" s="1"/>
  <c r="U106" i="75" s="1"/>
  <c r="S105" i="75"/>
  <c r="R105" i="75"/>
  <c r="Q105" i="75"/>
  <c r="P105" i="75"/>
  <c r="O105" i="75"/>
  <c r="N105" i="75"/>
  <c r="M105" i="75"/>
  <c r="L105" i="75"/>
  <c r="K105" i="75"/>
  <c r="J105" i="75"/>
  <c r="I105" i="75"/>
  <c r="H105" i="75"/>
  <c r="G105" i="75"/>
  <c r="F105" i="75"/>
  <c r="E105" i="75"/>
  <c r="D105" i="75"/>
  <c r="V104" i="75"/>
  <c r="AG99" i="75"/>
  <c r="AF99" i="75"/>
  <c r="AE99" i="75"/>
  <c r="AD99" i="75"/>
  <c r="F99" i="75"/>
  <c r="E99" i="75"/>
  <c r="V96" i="75"/>
  <c r="U96" i="75"/>
  <c r="T96" i="75"/>
  <c r="S96" i="75"/>
  <c r="R96" i="75"/>
  <c r="Q96" i="75"/>
  <c r="P96" i="75"/>
  <c r="O96" i="75"/>
  <c r="N96" i="75"/>
  <c r="M96" i="75"/>
  <c r="L96" i="75"/>
  <c r="K96" i="75"/>
  <c r="J96" i="75"/>
  <c r="I96" i="75"/>
  <c r="H96" i="75"/>
  <c r="G96" i="75"/>
  <c r="F96" i="75"/>
  <c r="E96" i="75"/>
  <c r="D96" i="75"/>
  <c r="V87" i="75"/>
  <c r="U87" i="75"/>
  <c r="T87" i="75"/>
  <c r="R87" i="75"/>
  <c r="O87" i="75"/>
  <c r="M87" i="75"/>
  <c r="J87" i="75"/>
  <c r="V86" i="75"/>
  <c r="V85" i="75" s="1"/>
  <c r="U86" i="75"/>
  <c r="U85" i="75" s="1"/>
  <c r="T86" i="75"/>
  <c r="S86" i="75"/>
  <c r="S87" i="75" s="1"/>
  <c r="R86" i="75"/>
  <c r="Q86" i="75"/>
  <c r="Q87" i="75" s="1"/>
  <c r="P86" i="75"/>
  <c r="P87" i="75" s="1"/>
  <c r="O86" i="75"/>
  <c r="N86" i="75"/>
  <c r="N85" i="75" s="1"/>
  <c r="N34" i="75" s="1"/>
  <c r="M86" i="75"/>
  <c r="L86" i="75"/>
  <c r="L85" i="75" s="1"/>
  <c r="L34" i="75" s="1"/>
  <c r="K86" i="75"/>
  <c r="J86" i="75"/>
  <c r="J85" i="75" s="1"/>
  <c r="I86" i="75"/>
  <c r="I85" i="75" s="1"/>
  <c r="H86" i="75"/>
  <c r="G86" i="75"/>
  <c r="R85" i="75" s="1"/>
  <c r="F86" i="75"/>
  <c r="E86" i="75"/>
  <c r="T85" i="75" s="1"/>
  <c r="D86" i="75"/>
  <c r="Q85" i="75"/>
  <c r="Q34" i="75" s="1"/>
  <c r="P85" i="75"/>
  <c r="P34" i="75" s="1"/>
  <c r="O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J38" i="75"/>
  <c r="I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R34" i="75"/>
  <c r="M34" i="75"/>
  <c r="H34" i="75"/>
  <c r="G34" i="75"/>
  <c r="F34" i="75"/>
  <c r="E34" i="75"/>
  <c r="D34" i="75"/>
  <c r="D99" i="75" s="1"/>
  <c r="Q33" i="75"/>
  <c r="H28" i="75"/>
  <c r="F28" i="75"/>
  <c r="E28" i="75"/>
  <c r="V25" i="75"/>
  <c r="U25" i="75"/>
  <c r="T25" i="75"/>
  <c r="S25" i="75"/>
  <c r="R25" i="75"/>
  <c r="Q25" i="75"/>
  <c r="P25" i="75"/>
  <c r="O25" i="75"/>
  <c r="N25" i="75"/>
  <c r="M25" i="75"/>
  <c r="L25" i="75"/>
  <c r="K25" i="75"/>
  <c r="J25" i="75"/>
  <c r="I25" i="75"/>
  <c r="H25" i="75"/>
  <c r="G25" i="75"/>
  <c r="F25" i="75"/>
  <c r="E25" i="75"/>
  <c r="D25" i="75"/>
  <c r="R24" i="75"/>
  <c r="Q24" i="75"/>
  <c r="Q28" i="75" s="1"/>
  <c r="P24" i="75"/>
  <c r="M24" i="75"/>
  <c r="H24" i="75"/>
  <c r="G24" i="75"/>
  <c r="G28" i="75" s="1"/>
  <c r="F24" i="75"/>
  <c r="E24" i="75"/>
  <c r="D24" i="75"/>
  <c r="D28" i="75" s="1"/>
  <c r="Q23" i="75"/>
  <c r="AC22" i="75"/>
  <c r="AB22" i="75"/>
  <c r="AA22" i="75"/>
  <c r="Z22" i="75"/>
  <c r="Y22" i="75"/>
  <c r="X22" i="75"/>
  <c r="W22" i="75"/>
  <c r="V22" i="75"/>
  <c r="U22" i="75"/>
  <c r="T22" i="75"/>
  <c r="S22" i="75"/>
  <c r="R22" i="75"/>
  <c r="Q22" i="75"/>
  <c r="P22" i="75"/>
  <c r="O22" i="75"/>
  <c r="N22" i="75"/>
  <c r="M22" i="75"/>
  <c r="L22" i="75"/>
  <c r="K22" i="75"/>
  <c r="J22" i="75"/>
  <c r="T21" i="75"/>
  <c r="S21" i="75"/>
  <c r="R21" i="75"/>
  <c r="Q21" i="75"/>
  <c r="Q38" i="75" s="1"/>
  <c r="P21" i="75"/>
  <c r="O21" i="75"/>
  <c r="N21" i="75"/>
  <c r="M21" i="75"/>
  <c r="L21" i="75"/>
  <c r="L38" i="75" s="1"/>
  <c r="K21" i="75"/>
  <c r="K38" i="75" s="1"/>
  <c r="J21" i="75"/>
  <c r="I21" i="75"/>
  <c r="H21" i="75"/>
  <c r="H38" i="75" s="1"/>
  <c r="G21" i="75"/>
  <c r="F21" i="75"/>
  <c r="F38" i="75" s="1"/>
  <c r="E21" i="75"/>
  <c r="E38" i="75" s="1"/>
  <c r="D21" i="75"/>
  <c r="D38" i="75" s="1"/>
  <c r="AC18" i="75"/>
  <c r="AB18" i="75"/>
  <c r="AA18" i="75"/>
  <c r="Z18" i="75"/>
  <c r="Y18" i="75"/>
  <c r="X18" i="75"/>
  <c r="W18" i="75"/>
  <c r="V18" i="75"/>
  <c r="U18" i="75"/>
  <c r="T18" i="75"/>
  <c r="S18" i="75"/>
  <c r="R18" i="75"/>
  <c r="Q18" i="75"/>
  <c r="P18" i="75"/>
  <c r="O18" i="75"/>
  <c r="N18" i="75"/>
  <c r="M18" i="75"/>
  <c r="L18" i="75"/>
  <c r="K18" i="75"/>
  <c r="J18" i="75"/>
  <c r="I18" i="75"/>
  <c r="H18" i="75"/>
  <c r="G17" i="75"/>
  <c r="E17" i="75"/>
  <c r="V15"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F95" i="59"/>
  <c r="G95" i="59" s="1"/>
  <c r="D84" i="59"/>
  <c r="R76" i="59"/>
  <c r="Y70" i="59"/>
  <c r="X70" i="59"/>
  <c r="W70" i="59"/>
  <c r="V70" i="59"/>
  <c r="U70" i="59"/>
  <c r="T70" i="59"/>
  <c r="U69" i="59" s="1"/>
  <c r="U71" i="59" s="1"/>
  <c r="S70" i="59"/>
  <c r="R70" i="59"/>
  <c r="Q70" i="59"/>
  <c r="P70" i="59"/>
  <c r="N76" i="59" s="1"/>
  <c r="O70" i="59"/>
  <c r="N70" i="59"/>
  <c r="M70" i="59"/>
  <c r="L70" i="59"/>
  <c r="K70" i="59"/>
  <c r="J70" i="59"/>
  <c r="I70" i="59"/>
  <c r="H70" i="59"/>
  <c r="G70" i="59"/>
  <c r="F70" i="59"/>
  <c r="E70" i="59"/>
  <c r="D70" i="59"/>
  <c r="Z69" i="59"/>
  <c r="Z71" i="59" s="1"/>
  <c r="Z70" i="59" s="1"/>
  <c r="Y69" i="59"/>
  <c r="Y71" i="59" s="1"/>
  <c r="X69" i="59"/>
  <c r="X71" i="59" s="1"/>
  <c r="W69" i="59"/>
  <c r="W71" i="59" s="1"/>
  <c r="V69" i="59"/>
  <c r="V71" i="59" s="1"/>
  <c r="Y61" i="59"/>
  <c r="X61" i="59"/>
  <c r="W61" i="59"/>
  <c r="V61" i="59"/>
  <c r="U61" i="59"/>
  <c r="T61" i="59"/>
  <c r="S61" i="59"/>
  <c r="R61" i="59"/>
  <c r="Q61" i="59"/>
  <c r="P61" i="59"/>
  <c r="O61" i="59"/>
  <c r="N61" i="59"/>
  <c r="M61" i="59"/>
  <c r="L61" i="59"/>
  <c r="K61" i="59"/>
  <c r="J61" i="59"/>
  <c r="I61" i="59"/>
  <c r="H61" i="59"/>
  <c r="G61" i="59"/>
  <c r="F61" i="59"/>
  <c r="E61" i="59"/>
  <c r="D61" i="59"/>
  <c r="W52" i="59"/>
  <c r="U52" i="59"/>
  <c r="K52" i="59"/>
  <c r="Y51" i="59"/>
  <c r="X51" i="59"/>
  <c r="W51" i="59"/>
  <c r="V51" i="59"/>
  <c r="U51" i="59"/>
  <c r="T51" i="59"/>
  <c r="S51" i="59"/>
  <c r="R51" i="59"/>
  <c r="Q51" i="59"/>
  <c r="Q50" i="59" s="1"/>
  <c r="Q26" i="59" s="1"/>
  <c r="P51" i="59"/>
  <c r="P50" i="59" s="1"/>
  <c r="P26" i="59" s="1"/>
  <c r="O51" i="59"/>
  <c r="N51" i="59"/>
  <c r="M51" i="59"/>
  <c r="L51" i="59"/>
  <c r="K51" i="59"/>
  <c r="J51" i="59"/>
  <c r="I51" i="59"/>
  <c r="H51" i="59"/>
  <c r="I50" i="59" s="1"/>
  <c r="I26" i="59" s="1"/>
  <c r="G51" i="59"/>
  <c r="F51" i="59"/>
  <c r="E51" i="59"/>
  <c r="X50" i="59" s="1"/>
  <c r="X26" i="59" s="1"/>
  <c r="D51" i="59"/>
  <c r="Y36" i="59"/>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G30" i="59"/>
  <c r="AF30" i="59"/>
  <c r="K30" i="59"/>
  <c r="J30" i="59"/>
  <c r="I30" i="59"/>
  <c r="H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F64" i="59" s="1"/>
  <c r="E26" i="59"/>
  <c r="E64" i="59" s="1"/>
  <c r="D26" i="59"/>
  <c r="AF25" i="59"/>
  <c r="Q25" i="59"/>
  <c r="Q30" i="59" s="1"/>
  <c r="T21" i="59"/>
  <c r="S21" i="59"/>
  <c r="R21" i="59"/>
  <c r="Q21" i="59"/>
  <c r="P21" i="59"/>
  <c r="O21" i="59"/>
  <c r="N21" i="59"/>
  <c r="M21" i="59"/>
  <c r="L21" i="59"/>
  <c r="K21" i="59"/>
  <c r="J21" i="59"/>
  <c r="I21" i="59"/>
  <c r="H21" i="59"/>
  <c r="G21" i="59"/>
  <c r="G30" i="59" s="1"/>
  <c r="F21" i="59"/>
  <c r="F30" i="59" s="1"/>
  <c r="E21" i="59"/>
  <c r="E30" i="59" s="1"/>
  <c r="D21" i="59"/>
  <c r="AC18" i="59"/>
  <c r="AB18" i="59"/>
  <c r="AA18" i="59"/>
  <c r="Z18" i="59"/>
  <c r="Y18" i="59"/>
  <c r="X18" i="59"/>
  <c r="W18" i="59"/>
  <c r="V18" i="59"/>
  <c r="U18" i="59"/>
  <c r="T18" i="59"/>
  <c r="S18" i="59"/>
  <c r="R18" i="59"/>
  <c r="Q18" i="59"/>
  <c r="P18" i="59"/>
  <c r="O18" i="59"/>
  <c r="N18" i="59"/>
  <c r="M18" i="59"/>
  <c r="L18" i="59"/>
  <c r="K18" i="59"/>
  <c r="J18" i="59"/>
  <c r="I18" i="59"/>
  <c r="H18" i="59"/>
  <c r="H64" i="59" s="1"/>
  <c r="S17" i="59"/>
  <c r="P17" i="59"/>
  <c r="N17" i="59"/>
  <c r="W15" i="59"/>
  <c r="V15" i="59"/>
  <c r="Y12" i="59"/>
  <c r="X12" i="59"/>
  <c r="W12" i="59"/>
  <c r="V12" i="59"/>
  <c r="U12" i="59"/>
  <c r="T12" i="59"/>
  <c r="F98" i="59" s="1"/>
  <c r="F102" i="59" s="1"/>
  <c r="S12" i="59"/>
  <c r="R12" i="59"/>
  <c r="Q12" i="59"/>
  <c r="P12" i="59"/>
  <c r="E98" i="59" s="1"/>
  <c r="E102"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K24" i="33"/>
  <c r="K26" i="33" s="1"/>
  <c r="AJ13" i="33" s="1"/>
  <c r="J24" i="33"/>
  <c r="J26" i="33" s="1"/>
  <c r="I24" i="33"/>
  <c r="H24" i="33"/>
  <c r="H26" i="33" s="1"/>
  <c r="G24" i="33"/>
  <c r="F24" i="33"/>
  <c r="G26" i="33" s="1"/>
  <c r="W13" i="33" s="1"/>
  <c r="E24" i="33"/>
  <c r="J23" i="33"/>
  <c r="F22" i="33"/>
  <c r="R15" i="33"/>
  <c r="Q15" i="33"/>
  <c r="O15" i="33"/>
  <c r="F15" i="33"/>
  <c r="AH13" i="33"/>
  <c r="AG13" i="33"/>
  <c r="V13" i="33"/>
  <c r="U13" i="33"/>
  <c r="T13" i="33"/>
  <c r="O13" i="33"/>
  <c r="N13" i="33"/>
  <c r="Y11" i="33"/>
  <c r="Z11" i="33" s="1"/>
  <c r="X11" i="33"/>
  <c r="W11" i="33"/>
  <c r="V11" i="33"/>
  <c r="U11" i="33"/>
  <c r="T11" i="33"/>
  <c r="S11" i="33"/>
  <c r="R11" i="33"/>
  <c r="Q11" i="33"/>
  <c r="P11" i="33"/>
  <c r="O11" i="33"/>
  <c r="N11" i="33"/>
  <c r="M11" i="33"/>
  <c r="L11" i="33"/>
  <c r="K11" i="33"/>
  <c r="J11" i="33"/>
  <c r="Y10" i="33"/>
  <c r="X10" i="33"/>
  <c r="W10" i="33"/>
  <c r="V10" i="33"/>
  <c r="U10" i="33"/>
  <c r="T10" i="33"/>
  <c r="S10" i="33"/>
  <c r="R10" i="33"/>
  <c r="Q10" i="33"/>
  <c r="P10" i="33"/>
  <c r="O10" i="33"/>
  <c r="O17" i="75" s="1"/>
  <c r="N10" i="33"/>
  <c r="M10" i="33"/>
  <c r="L10" i="33"/>
  <c r="K10" i="33"/>
  <c r="J10" i="33"/>
  <c r="I10" i="33"/>
  <c r="I15" i="33" s="1"/>
  <c r="H10" i="33"/>
  <c r="H15" i="33" s="1"/>
  <c r="G10" i="33"/>
  <c r="F10" i="33"/>
  <c r="E10" i="33"/>
  <c r="E17" i="59" s="1"/>
  <c r="D10" i="33"/>
  <c r="D17" i="75"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Q29" i="49"/>
  <c r="W27" i="49"/>
  <c r="U27" i="49"/>
  <c r="K27" i="49"/>
  <c r="I27" i="49"/>
  <c r="Q12" i="49"/>
  <c r="P12" i="49"/>
  <c r="E12" i="49"/>
  <c r="E29" i="49" s="1"/>
  <c r="D12" i="49"/>
  <c r="D29" i="49" s="1"/>
  <c r="Y11" i="49"/>
  <c r="X11" i="49"/>
  <c r="W11" i="49"/>
  <c r="W12" i="49" s="1"/>
  <c r="V11" i="49"/>
  <c r="V12" i="49" s="1"/>
  <c r="U11" i="49"/>
  <c r="U12" i="49" s="1"/>
  <c r="T11" i="49"/>
  <c r="T12" i="49" s="1"/>
  <c r="S11" i="49"/>
  <c r="S12" i="49" s="1"/>
  <c r="R11" i="49"/>
  <c r="Q11" i="49"/>
  <c r="P11" i="49"/>
  <c r="O11" i="49"/>
  <c r="O12" i="49" s="1"/>
  <c r="O29" i="49" s="1"/>
  <c r="N11" i="49"/>
  <c r="N12" i="49" s="1"/>
  <c r="M11" i="49"/>
  <c r="L11" i="49"/>
  <c r="K11" i="49"/>
  <c r="K12" i="49" s="1"/>
  <c r="J11" i="49"/>
  <c r="J12" i="49" s="1"/>
  <c r="I11" i="49"/>
  <c r="I12" i="49" s="1"/>
  <c r="H11" i="49"/>
  <c r="H12" i="49" s="1"/>
  <c r="G11" i="49"/>
  <c r="G12" i="49" s="1"/>
  <c r="F11" i="49"/>
  <c r="E11" i="49"/>
  <c r="D11" i="49"/>
  <c r="Y10" i="49"/>
  <c r="Y27" i="49" s="1"/>
  <c r="X10" i="49"/>
  <c r="X27" i="49" s="1"/>
  <c r="W10" i="49"/>
  <c r="V10" i="49"/>
  <c r="V27" i="49" s="1"/>
  <c r="U10" i="49"/>
  <c r="T10" i="49"/>
  <c r="T27" i="49" s="1"/>
  <c r="S10" i="49"/>
  <c r="S27" i="49" s="1"/>
  <c r="R10" i="49"/>
  <c r="R27" i="49" s="1"/>
  <c r="Q10" i="49"/>
  <c r="Q27" i="49" s="1"/>
  <c r="P10" i="49"/>
  <c r="P27" i="49" s="1"/>
  <c r="O10" i="49"/>
  <c r="O27" i="49" s="1"/>
  <c r="N10" i="49"/>
  <c r="M10" i="49"/>
  <c r="L10" i="49"/>
  <c r="K10" i="49"/>
  <c r="J10" i="49"/>
  <c r="I10" i="49"/>
  <c r="I29" i="49" s="1"/>
  <c r="H10" i="49"/>
  <c r="H27" i="49" s="1"/>
  <c r="G10" i="49"/>
  <c r="G27" i="49" s="1"/>
  <c r="F10" i="49"/>
  <c r="F27" i="49" s="1"/>
  <c r="E10" i="49"/>
  <c r="E27" i="49" s="1"/>
  <c r="D10" i="49"/>
  <c r="D27" i="49" s="1"/>
  <c r="AD81" i="30"/>
  <c r="AD79" i="30"/>
  <c r="AD72" i="30"/>
  <c r="AD71" i="30"/>
  <c r="AD70" i="30"/>
  <c r="AD69" i="30"/>
  <c r="AD68" i="30"/>
  <c r="AD67" i="30"/>
  <c r="AD66" i="30"/>
  <c r="AD65" i="30"/>
  <c r="AD60" i="30"/>
  <c r="AD56" i="30"/>
  <c r="AD54" i="30"/>
  <c r="AD48" i="30"/>
  <c r="S46" i="30"/>
  <c r="J46" i="30"/>
  <c r="G46" i="30"/>
  <c r="F46" i="30"/>
  <c r="AF45" i="30"/>
  <c r="AE45" i="30"/>
  <c r="AD45" i="30"/>
  <c r="AC45" i="30"/>
  <c r="AB45" i="30"/>
  <c r="U45" i="30"/>
  <c r="AD82" i="30" s="1"/>
  <c r="S45" i="30"/>
  <c r="N45" i="30"/>
  <c r="M45" i="30"/>
  <c r="AC43" i="30"/>
  <c r="AB43" i="30"/>
  <c r="AC41" i="30"/>
  <c r="AB41" i="30"/>
  <c r="M41" i="30"/>
  <c r="AC40" i="30"/>
  <c r="AB40" i="30"/>
  <c r="AA40" i="30"/>
  <c r="Z40" i="30"/>
  <c r="Y40" i="30"/>
  <c r="X40" i="30"/>
  <c r="M40" i="30"/>
  <c r="AC39" i="30"/>
  <c r="AB39" i="30"/>
  <c r="AA39" i="30"/>
  <c r="Z39" i="30"/>
  <c r="Y39" i="30"/>
  <c r="X39" i="30"/>
  <c r="AC38" i="30"/>
  <c r="AB38" i="30"/>
  <c r="AA38" i="30"/>
  <c r="Z38" i="30"/>
  <c r="Y38" i="30"/>
  <c r="X38" i="30"/>
  <c r="AC37" i="30"/>
  <c r="AB37" i="30"/>
  <c r="AB20" i="30" s="1"/>
  <c r="AA37" i="30"/>
  <c r="Z37" i="30"/>
  <c r="Y37" i="30"/>
  <c r="AC36" i="30"/>
  <c r="AB36" i="30"/>
  <c r="AA36" i="30"/>
  <c r="Z36" i="30"/>
  <c r="Y36" i="30"/>
  <c r="X36" i="30"/>
  <c r="M36" i="30"/>
  <c r="O34" i="30"/>
  <c r="N34" i="30"/>
  <c r="O33"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Y23" i="30"/>
  <c r="Z23" i="30" s="1"/>
  <c r="AA23" i="30" s="1"/>
  <c r="AB23" i="30" s="1"/>
  <c r="AC23" i="30" s="1"/>
  <c r="AD23" i="30" s="1"/>
  <c r="AE23" i="30" s="1"/>
  <c r="AF23" i="30" s="1"/>
  <c r="AG23" i="30" s="1"/>
  <c r="X23" i="30"/>
  <c r="W23" i="30"/>
  <c r="V23" i="30"/>
  <c r="U23" i="30"/>
  <c r="T23" i="30"/>
  <c r="S23" i="30"/>
  <c r="R23" i="30"/>
  <c r="Q23" i="30"/>
  <c r="P23" i="30"/>
  <c r="O23" i="30"/>
  <c r="N23" i="30"/>
  <c r="Y22" i="30"/>
  <c r="X22" i="30"/>
  <c r="W22" i="30"/>
  <c r="V22" i="30"/>
  <c r="U22" i="30"/>
  <c r="AD59" i="30" s="1"/>
  <c r="T22" i="30"/>
  <c r="S22" i="30"/>
  <c r="R22" i="30"/>
  <c r="Q22" i="30"/>
  <c r="P22" i="30"/>
  <c r="O22" i="30"/>
  <c r="N22" i="30"/>
  <c r="Y21" i="30"/>
  <c r="Z21" i="30" s="1"/>
  <c r="AA21" i="30" s="1"/>
  <c r="AB21" i="30" s="1"/>
  <c r="AC21" i="30" s="1"/>
  <c r="AD21" i="30" s="1"/>
  <c r="AE21" i="30" s="1"/>
  <c r="AF21" i="30" s="1"/>
  <c r="AG21" i="30" s="1"/>
  <c r="X21" i="30"/>
  <c r="W21" i="30"/>
  <c r="V21" i="30"/>
  <c r="U21" i="30"/>
  <c r="AD58" i="30" s="1"/>
  <c r="T21" i="30"/>
  <c r="S21" i="30"/>
  <c r="R21" i="30"/>
  <c r="Q21" i="30"/>
  <c r="P21" i="30"/>
  <c r="O21" i="30"/>
  <c r="N21" i="30"/>
  <c r="M21" i="30"/>
  <c r="L21" i="30"/>
  <c r="K21" i="30"/>
  <c r="J21" i="30"/>
  <c r="I21" i="30"/>
  <c r="H21" i="30"/>
  <c r="AG20" i="30"/>
  <c r="AF20" i="30"/>
  <c r="AE20" i="30"/>
  <c r="AD20" i="30"/>
  <c r="AC20" i="30"/>
  <c r="AA20" i="30"/>
  <c r="Z20" i="30"/>
  <c r="Y20" i="30"/>
  <c r="T20" i="30"/>
  <c r="S20" i="30"/>
  <c r="R20" i="30"/>
  <c r="Q20" i="30"/>
  <c r="P20" i="30"/>
  <c r="O20" i="30"/>
  <c r="N20" i="30"/>
  <c r="M20" i="30"/>
  <c r="L20" i="30"/>
  <c r="K20" i="30"/>
  <c r="J20" i="30"/>
  <c r="I20" i="30"/>
  <c r="H20" i="30"/>
  <c r="Y19" i="30"/>
  <c r="X19" i="30"/>
  <c r="W19" i="30"/>
  <c r="V19" i="30"/>
  <c r="U19" i="30"/>
  <c r="T19" i="30"/>
  <c r="S19" i="30"/>
  <c r="R19" i="30"/>
  <c r="Q19" i="30"/>
  <c r="P19" i="30"/>
  <c r="O19" i="30"/>
  <c r="N19" i="30"/>
  <c r="M19" i="30"/>
  <c r="L19" i="30"/>
  <c r="L13" i="30" s="1"/>
  <c r="K19" i="30"/>
  <c r="K15" i="30" s="1"/>
  <c r="J19" i="30"/>
  <c r="I19" i="30"/>
  <c r="H19" i="30"/>
  <c r="AG18" i="30"/>
  <c r="AF18" i="30"/>
  <c r="AE18" i="30"/>
  <c r="AD18" i="30"/>
  <c r="AC18" i="30"/>
  <c r="AB18" i="30"/>
  <c r="AA18" i="30"/>
  <c r="Z18" i="30"/>
  <c r="Y18" i="30"/>
  <c r="X18" i="30"/>
  <c r="W18" i="30"/>
  <c r="V18" i="30"/>
  <c r="U18" i="30"/>
  <c r="AD55" i="30" s="1"/>
  <c r="T18" i="30"/>
  <c r="S18" i="30"/>
  <c r="R18" i="30"/>
  <c r="Q18" i="30"/>
  <c r="P18" i="30"/>
  <c r="O18" i="30"/>
  <c r="N18" i="30"/>
  <c r="M18" i="30"/>
  <c r="N30" i="30" s="1"/>
  <c r="N29" i="30" s="1"/>
  <c r="L18" i="30"/>
  <c r="K18" i="30"/>
  <c r="J18" i="30"/>
  <c r="I18" i="30"/>
  <c r="H18" i="30"/>
  <c r="Y17" i="30"/>
  <c r="Z17" i="30" s="1"/>
  <c r="X17" i="30"/>
  <c r="W17" i="30"/>
  <c r="V17" i="30"/>
  <c r="U17" i="30"/>
  <c r="T17" i="30"/>
  <c r="S17" i="30"/>
  <c r="R17" i="30"/>
  <c r="Q17" i="30"/>
  <c r="P17" i="30"/>
  <c r="O17" i="30"/>
  <c r="N17" i="30"/>
  <c r="M17" i="30"/>
  <c r="L17" i="30"/>
  <c r="K17" i="30"/>
  <c r="J17" i="30"/>
  <c r="I17" i="30"/>
  <c r="H17" i="30"/>
  <c r="Y16" i="30"/>
  <c r="X16" i="30"/>
  <c r="W16" i="30"/>
  <c r="V16" i="30"/>
  <c r="U16" i="30"/>
  <c r="T16" i="30"/>
  <c r="S16" i="30"/>
  <c r="R16" i="30"/>
  <c r="Q16" i="30"/>
  <c r="P16" i="30"/>
  <c r="O16" i="30"/>
  <c r="N16" i="30"/>
  <c r="M16" i="30"/>
  <c r="L16" i="30"/>
  <c r="K16" i="30"/>
  <c r="J16" i="30"/>
  <c r="I16" i="30"/>
  <c r="H16" i="30"/>
  <c r="H15" i="30"/>
  <c r="Y14" i="30"/>
  <c r="X14" i="30"/>
  <c r="W14" i="30"/>
  <c r="V14" i="30"/>
  <c r="U14" i="30"/>
  <c r="T14" i="30"/>
  <c r="S14" i="30"/>
  <c r="R14" i="30"/>
  <c r="Q14" i="30"/>
  <c r="P14" i="30"/>
  <c r="O14" i="30"/>
  <c r="N14" i="30"/>
  <c r="M14" i="30"/>
  <c r="L14" i="30"/>
  <c r="K14" i="30"/>
  <c r="J14" i="30"/>
  <c r="I14" i="30"/>
  <c r="H14" i="30"/>
  <c r="K13" i="30"/>
  <c r="H13" i="30"/>
  <c r="G12" i="30"/>
  <c r="F12" i="30"/>
  <c r="Y11" i="30"/>
  <c r="X11" i="30"/>
  <c r="W11" i="30"/>
  <c r="V11" i="30"/>
  <c r="U11" i="30"/>
  <c r="U46" i="30" s="1"/>
  <c r="AD83" i="30" s="1"/>
  <c r="T11" i="30"/>
  <c r="S11" i="30"/>
  <c r="R11" i="30"/>
  <c r="Q11" i="30"/>
  <c r="P11" i="30"/>
  <c r="O11" i="30"/>
  <c r="N11" i="30"/>
  <c r="M11" i="30"/>
  <c r="L11" i="30"/>
  <c r="L46" i="30" s="1"/>
  <c r="K11" i="30"/>
  <c r="J11" i="30"/>
  <c r="I11" i="30"/>
  <c r="I46" i="30" s="1"/>
  <c r="H11" i="30"/>
  <c r="H46" i="30" s="1"/>
  <c r="H48" i="20"/>
  <c r="AH41" i="20"/>
  <c r="AH39" i="20"/>
  <c r="AE39" i="20"/>
  <c r="AK38" i="20"/>
  <c r="AK37"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Q35" i="20"/>
  <c r="AP35" i="20"/>
  <c r="AO35" i="20"/>
  <c r="AN35" i="20"/>
  <c r="AN37" i="20" s="1"/>
  <c r="AM35" i="20"/>
  <c r="AL35" i="20"/>
  <c r="AL37" i="20" s="1"/>
  <c r="AK35" i="20"/>
  <c r="AJ35" i="20"/>
  <c r="AI35" i="20"/>
  <c r="AH35" i="20"/>
  <c r="AH38" i="20" s="1"/>
  <c r="AG35" i="20"/>
  <c r="AF35" i="20"/>
  <c r="M85" i="80" s="1"/>
  <c r="AE35" i="20"/>
  <c r="AD35" i="20"/>
  <c r="AC35" i="20"/>
  <c r="AB35" i="20"/>
  <c r="AA35" i="20"/>
  <c r="Z35" i="20"/>
  <c r="Y35" i="20"/>
  <c r="X35" i="20"/>
  <c r="W35" i="20"/>
  <c r="V35" i="20"/>
  <c r="Y27" i="20"/>
  <c r="X27" i="20"/>
  <c r="O27" i="20"/>
  <c r="N27" i="20"/>
  <c r="M27" i="20"/>
  <c r="L27" i="20"/>
  <c r="AG26" i="20"/>
  <c r="AF26" i="20"/>
  <c r="AE26" i="20"/>
  <c r="AD26" i="20"/>
  <c r="AC26" i="20"/>
  <c r="AB26" i="20"/>
  <c r="AA26" i="20"/>
  <c r="Z26" i="20"/>
  <c r="W26" i="20"/>
  <c r="T26" i="20"/>
  <c r="N26" i="20"/>
  <c r="Y23" i="20"/>
  <c r="X23" i="20"/>
  <c r="Y26" i="20" s="1"/>
  <c r="W23" i="20"/>
  <c r="W27" i="20" s="1"/>
  <c r="V23" i="20"/>
  <c r="V27" i="20" s="1"/>
  <c r="U23" i="20"/>
  <c r="T23" i="20"/>
  <c r="T27" i="20" s="1"/>
  <c r="S23" i="20"/>
  <c r="S27" i="20" s="1"/>
  <c r="R23" i="20"/>
  <c r="R26" i="20" s="1"/>
  <c r="Q23" i="20"/>
  <c r="Q27" i="20" s="1"/>
  <c r="P23" i="20"/>
  <c r="P27" i="20" s="1"/>
  <c r="O23" i="20"/>
  <c r="N23" i="20"/>
  <c r="M23" i="20"/>
  <c r="M26" i="20" s="1"/>
  <c r="L23" i="20"/>
  <c r="K23" i="20"/>
  <c r="K27" i="20" s="1"/>
  <c r="J23" i="20"/>
  <c r="J27" i="20" s="1"/>
  <c r="I23" i="20"/>
  <c r="H23" i="20"/>
  <c r="AA11" i="20"/>
  <c r="AB11" i="20" s="1"/>
  <c r="Z11" i="20"/>
  <c r="Y11" i="20"/>
  <c r="X11" i="20"/>
  <c r="W11" i="20"/>
  <c r="V11" i="20"/>
  <c r="U11" i="20"/>
  <c r="T11" i="20"/>
  <c r="S11" i="20"/>
  <c r="R11" i="20"/>
  <c r="Q11" i="20"/>
  <c r="P11" i="20"/>
  <c r="O11" i="20"/>
  <c r="N11" i="20"/>
  <c r="M11" i="20"/>
  <c r="L11" i="20"/>
  <c r="K11" i="20"/>
  <c r="J11" i="20"/>
  <c r="I11" i="20"/>
  <c r="H11" i="20"/>
  <c r="AD97" i="26"/>
  <c r="AC97" i="26"/>
  <c r="AB97" i="26"/>
  <c r="AA97" i="26"/>
  <c r="Z97" i="26"/>
  <c r="Z96" i="26" s="1"/>
  <c r="Z48" i="20" s="1"/>
  <c r="Y97" i="26"/>
  <c r="X97" i="26"/>
  <c r="W97" i="26"/>
  <c r="V97" i="26"/>
  <c r="U97" i="26"/>
  <c r="U96" i="26" s="1"/>
  <c r="U48" i="20" s="1"/>
  <c r="T97" i="26"/>
  <c r="T96" i="26" s="1"/>
  <c r="T48" i="20" s="1"/>
  <c r="S97" i="26"/>
  <c r="AF96" i="26"/>
  <c r="AF48" i="20" s="1"/>
  <c r="Y96" i="26"/>
  <c r="Y48" i="20" s="1"/>
  <c r="Q96" i="26"/>
  <c r="Q48" i="20" s="1"/>
  <c r="P96" i="26"/>
  <c r="O96" i="26"/>
  <c r="O48" i="20" s="1"/>
  <c r="N96" i="26"/>
  <c r="N48" i="20" s="1"/>
  <c r="M96" i="26"/>
  <c r="M48" i="20" s="1"/>
  <c r="L96" i="26"/>
  <c r="L48" i="20" s="1"/>
  <c r="K96" i="26"/>
  <c r="AD96" i="26" s="1"/>
  <c r="AD48" i="20" s="1"/>
  <c r="J96" i="26"/>
  <c r="J48" i="20" s="1"/>
  <c r="I96" i="26"/>
  <c r="I48" i="20" s="1"/>
  <c r="H96" i="26"/>
  <c r="S96" i="26" s="1"/>
  <c r="S48" i="20" s="1"/>
  <c r="P83" i="26"/>
  <c r="N83" i="26"/>
  <c r="AG81" i="26"/>
  <c r="AF81" i="26"/>
  <c r="AE81" i="26"/>
  <c r="AD81" i="26"/>
  <c r="AC81" i="26"/>
  <c r="AB81" i="26"/>
  <c r="AA81" i="26"/>
  <c r="Z81" i="26"/>
  <c r="Y81" i="26"/>
  <c r="X81" i="26"/>
  <c r="W81" i="26"/>
  <c r="V81" i="26"/>
  <c r="U81" i="26"/>
  <c r="T81" i="26"/>
  <c r="S81" i="26"/>
  <c r="AG79" i="26"/>
  <c r="AF79" i="26"/>
  <c r="AE79" i="26"/>
  <c r="AA79" i="26"/>
  <c r="AG78" i="26"/>
  <c r="AF78" i="26"/>
  <c r="AE78" i="26"/>
  <c r="AD78" i="26"/>
  <c r="AC78" i="26"/>
  <c r="AB78" i="26"/>
  <c r="AA78" i="26"/>
  <c r="Z78" i="26"/>
  <c r="Y78" i="26"/>
  <c r="AG77" i="26"/>
  <c r="AF77" i="26"/>
  <c r="AE77" i="26"/>
  <c r="AA77" i="26"/>
  <c r="Y77" i="26"/>
  <c r="U77" i="26"/>
  <c r="O77" i="26"/>
  <c r="M77" i="26"/>
  <c r="C69" i="26"/>
  <c r="C68" i="26"/>
  <c r="C67" i="26"/>
  <c r="C66" i="26"/>
  <c r="C65" i="26"/>
  <c r="C63" i="26"/>
  <c r="C62" i="26"/>
  <c r="C61" i="26"/>
  <c r="S32" i="26" s="1"/>
  <c r="C60" i="26"/>
  <c r="C47" i="26" s="1"/>
  <c r="C59" i="26"/>
  <c r="C49" i="26" s="1"/>
  <c r="C54" i="26"/>
  <c r="C50" i="26"/>
  <c r="E50" i="26" s="1"/>
  <c r="C48" i="26"/>
  <c r="C46" i="26"/>
  <c r="AD39" i="26"/>
  <c r="AC39" i="26"/>
  <c r="AB39" i="26"/>
  <c r="AA39" i="26"/>
  <c r="Z39" i="26"/>
  <c r="Y39" i="26"/>
  <c r="X39" i="26"/>
  <c r="W39" i="26"/>
  <c r="V39" i="26"/>
  <c r="U39" i="26"/>
  <c r="T39" i="26"/>
  <c r="S39" i="26"/>
  <c r="R39" i="26"/>
  <c r="Q39" i="26"/>
  <c r="P39" i="26"/>
  <c r="N39" i="26"/>
  <c r="Y38" i="26"/>
  <c r="Y35" i="26" s="1"/>
  <c r="W38" i="26"/>
  <c r="U38" i="26"/>
  <c r="O38" i="26"/>
  <c r="AD37" i="26"/>
  <c r="AC37" i="26"/>
  <c r="AB37" i="26"/>
  <c r="AA37" i="26"/>
  <c r="Z37" i="26"/>
  <c r="Y37" i="26"/>
  <c r="X37" i="26"/>
  <c r="W37" i="26"/>
  <c r="V37" i="26"/>
  <c r="U37" i="26"/>
  <c r="T37" i="26"/>
  <c r="S37" i="26"/>
  <c r="R37" i="26"/>
  <c r="Q37" i="26"/>
  <c r="P37" i="26"/>
  <c r="N37" i="26"/>
  <c r="N36" i="26"/>
  <c r="T34" i="26"/>
  <c r="T16" i="26" s="1"/>
  <c r="T79" i="26" s="1"/>
  <c r="X33" i="26"/>
  <c r="W33" i="26"/>
  <c r="V33" i="26"/>
  <c r="U33" i="26"/>
  <c r="T33" i="26"/>
  <c r="S33" i="26"/>
  <c r="R33" i="26"/>
  <c r="Q33" i="26"/>
  <c r="P33" i="26"/>
  <c r="O33" i="26"/>
  <c r="N33" i="26"/>
  <c r="M33" i="26"/>
  <c r="W32" i="26"/>
  <c r="V32" i="26"/>
  <c r="U32" i="26"/>
  <c r="T32" i="26"/>
  <c r="R32" i="26"/>
  <c r="Q32" i="26"/>
  <c r="P32" i="26"/>
  <c r="N32" i="26"/>
  <c r="N31" i="26"/>
  <c r="M31" i="26"/>
  <c r="AH31" i="26" s="1"/>
  <c r="AD29" i="26"/>
  <c r="AC29" i="26"/>
  <c r="AB29" i="26"/>
  <c r="AA29" i="26"/>
  <c r="Z29" i="26"/>
  <c r="Y29" i="26"/>
  <c r="AH28" i="26"/>
  <c r="AH27" i="26"/>
  <c r="P25" i="26"/>
  <c r="O25" i="26"/>
  <c r="N25" i="26"/>
  <c r="M25" i="26"/>
  <c r="L25" i="26"/>
  <c r="K25" i="26"/>
  <c r="F20" i="26"/>
  <c r="AD19" i="26"/>
  <c r="AC19" i="26"/>
  <c r="AB19" i="26"/>
  <c r="AA19" i="26"/>
  <c r="Z19" i="26"/>
  <c r="Y19" i="26"/>
  <c r="X19" i="26"/>
  <c r="W19" i="26"/>
  <c r="V19" i="26"/>
  <c r="U19" i="26"/>
  <c r="T19" i="26"/>
  <c r="S19" i="26"/>
  <c r="R19" i="26"/>
  <c r="Q19" i="26"/>
  <c r="P19" i="26"/>
  <c r="O19" i="26"/>
  <c r="N19" i="26"/>
  <c r="M19" i="26"/>
  <c r="L19" i="26"/>
  <c r="K19" i="26"/>
  <c r="AH19" i="26" s="1"/>
  <c r="S18" i="26"/>
  <c r="Q18" i="26"/>
  <c r="P18" i="26"/>
  <c r="AD17" i="26"/>
  <c r="AC17" i="26"/>
  <c r="AB17" i="26"/>
  <c r="AA17" i="26"/>
  <c r="Z17" i="26"/>
  <c r="Y17" i="26"/>
  <c r="X17" i="26"/>
  <c r="W17" i="26"/>
  <c r="V17" i="26"/>
  <c r="U17" i="26"/>
  <c r="T17" i="26"/>
  <c r="S17" i="26"/>
  <c r="R17" i="26"/>
  <c r="Q17" i="26"/>
  <c r="P17" i="26"/>
  <c r="N17" i="26"/>
  <c r="AD16" i="26"/>
  <c r="AC16" i="26"/>
  <c r="AC79" i="26" s="1"/>
  <c r="AB16" i="26"/>
  <c r="AA16" i="26"/>
  <c r="Z16" i="26"/>
  <c r="Z79" i="26" s="1"/>
  <c r="Y16" i="26"/>
  <c r="Y79" i="26" s="1"/>
  <c r="AD15" i="26"/>
  <c r="AC15" i="26"/>
  <c r="AB15" i="26"/>
  <c r="AA15" i="26"/>
  <c r="Z15" i="26"/>
  <c r="Y15" i="26"/>
  <c r="AD14" i="26"/>
  <c r="AD77" i="26" s="1"/>
  <c r="AC14" i="26"/>
  <c r="AC77" i="26" s="1"/>
  <c r="AB14" i="26"/>
  <c r="AB77" i="26" s="1"/>
  <c r="AA14" i="26"/>
  <c r="Z14" i="26"/>
  <c r="Z77" i="26" s="1"/>
  <c r="Y14" i="26"/>
  <c r="X14" i="26"/>
  <c r="X77" i="26" s="1"/>
  <c r="W14" i="26"/>
  <c r="W77" i="26" s="1"/>
  <c r="V14" i="26"/>
  <c r="V77" i="26" s="1"/>
  <c r="U14" i="26"/>
  <c r="T14" i="26"/>
  <c r="T77" i="26" s="1"/>
  <c r="S14" i="26"/>
  <c r="S77" i="26" s="1"/>
  <c r="R14" i="26"/>
  <c r="R77" i="26" s="1"/>
  <c r="Q14" i="26"/>
  <c r="Q77" i="26" s="1"/>
  <c r="P14" i="26"/>
  <c r="P77" i="26" s="1"/>
  <c r="O14" i="26"/>
  <c r="N14" i="26"/>
  <c r="N77" i="26" s="1"/>
  <c r="M14" i="26"/>
  <c r="L14" i="26"/>
  <c r="L77" i="26" s="1"/>
  <c r="K14" i="26"/>
  <c r="K77" i="26" s="1"/>
  <c r="J14" i="26"/>
  <c r="AD13" i="26"/>
  <c r="AB13" i="26"/>
  <c r="AA13" i="26"/>
  <c r="Z13" i="26"/>
  <c r="Y13" i="26"/>
  <c r="Y83" i="26" s="1"/>
  <c r="V13" i="26"/>
  <c r="V83" i="26" s="1"/>
  <c r="T13" i="26"/>
  <c r="T83" i="26" s="1"/>
  <c r="S13" i="26"/>
  <c r="S83" i="26" s="1"/>
  <c r="R13" i="26"/>
  <c r="R83" i="26" s="1"/>
  <c r="Q13" i="26"/>
  <c r="Q83" i="26" s="1"/>
  <c r="P13" i="26"/>
  <c r="O13" i="26"/>
  <c r="O83" i="26" s="1"/>
  <c r="N13" i="26"/>
  <c r="M13" i="26"/>
  <c r="M83" i="26" s="1"/>
  <c r="L13" i="26"/>
  <c r="L83" i="26" s="1"/>
  <c r="K13" i="26"/>
  <c r="K83" i="26" s="1"/>
  <c r="J13" i="26"/>
  <c r="AH12" i="26"/>
  <c r="J12" i="26"/>
  <c r="D46" i="26" s="1"/>
  <c r="V11" i="26"/>
  <c r="T11" i="26"/>
  <c r="R11" i="26"/>
  <c r="J11" i="26"/>
  <c r="H11" i="26"/>
  <c r="H20" i="26" s="1"/>
  <c r="H80" i="26" s="1"/>
  <c r="H75" i="26" s="1"/>
  <c r="H49" i="20" s="1"/>
  <c r="F11" i="26"/>
  <c r="AD10" i="26"/>
  <c r="Y10" i="26"/>
  <c r="X10" i="26"/>
  <c r="W10" i="26"/>
  <c r="W11" i="26" s="1"/>
  <c r="V10" i="26"/>
  <c r="U10" i="26"/>
  <c r="U11" i="26" s="1"/>
  <c r="T10" i="26"/>
  <c r="S10" i="26"/>
  <c r="R10" i="26"/>
  <c r="Q10" i="26"/>
  <c r="P10" i="26"/>
  <c r="O10" i="26"/>
  <c r="N10" i="26"/>
  <c r="M10" i="26"/>
  <c r="L10" i="26"/>
  <c r="K10" i="26"/>
  <c r="K11" i="26" s="1"/>
  <c r="J10" i="26"/>
  <c r="I10" i="26"/>
  <c r="I11" i="26" s="1"/>
  <c r="I20" i="26" s="1"/>
  <c r="I80" i="26" s="1"/>
  <c r="I75" i="26" s="1"/>
  <c r="I49" i="20" s="1"/>
  <c r="H10" i="26"/>
  <c r="G10" i="26"/>
  <c r="F10" i="26"/>
  <c r="E10" i="26"/>
  <c r="D10" i="26"/>
  <c r="Y9" i="26"/>
  <c r="Y11" i="26" s="1"/>
  <c r="Y20" i="26" s="1"/>
  <c r="X9" i="26"/>
  <c r="X11" i="26" s="1"/>
  <c r="W9" i="26"/>
  <c r="V9" i="26"/>
  <c r="U9" i="26"/>
  <c r="T9" i="26"/>
  <c r="S9" i="26"/>
  <c r="S11" i="26" s="1"/>
  <c r="R9" i="26"/>
  <c r="Q9" i="26"/>
  <c r="Q11" i="26" s="1"/>
  <c r="P9" i="26"/>
  <c r="P11" i="26" s="1"/>
  <c r="O9" i="26"/>
  <c r="O11" i="26" s="1"/>
  <c r="N9" i="26"/>
  <c r="N11" i="26" s="1"/>
  <c r="M9" i="26"/>
  <c r="M11" i="26" s="1"/>
  <c r="L9" i="26"/>
  <c r="L11" i="26" s="1"/>
  <c r="L20" i="26" s="1"/>
  <c r="L80" i="26" s="1"/>
  <c r="K9" i="26"/>
  <c r="J9" i="26"/>
  <c r="I9" i="26"/>
  <c r="H9" i="26"/>
  <c r="G9" i="26"/>
  <c r="G11" i="26" s="1"/>
  <c r="G20" i="26" s="1"/>
  <c r="F9" i="26"/>
  <c r="E9" i="26"/>
  <c r="E11" i="26" s="1"/>
  <c r="E20" i="26" s="1"/>
  <c r="D9" i="26"/>
  <c r="D11" i="26" s="1"/>
  <c r="D20" i="26" s="1"/>
  <c r="I20"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I13" i="74" s="1"/>
  <c r="H16" i="74"/>
  <c r="G16" i="74"/>
  <c r="F16" i="74"/>
  <c r="E16" i="74"/>
  <c r="D16" i="74"/>
  <c r="U15" i="74"/>
  <c r="T15" i="74"/>
  <c r="S15" i="74"/>
  <c r="R15" i="74"/>
  <c r="R13" i="74" s="1"/>
  <c r="Q15" i="74"/>
  <c r="P15" i="74"/>
  <c r="O15" i="74"/>
  <c r="N15" i="74"/>
  <c r="M15" i="74"/>
  <c r="L15" i="74"/>
  <c r="K15" i="74"/>
  <c r="K13" i="74" s="1"/>
  <c r="J15" i="74"/>
  <c r="I15" i="74"/>
  <c r="H15" i="74"/>
  <c r="G15" i="74"/>
  <c r="F15" i="74"/>
  <c r="E15" i="74"/>
  <c r="D15" i="74"/>
  <c r="U14" i="74"/>
  <c r="T14" i="74"/>
  <c r="T13" i="74" s="1"/>
  <c r="S14" i="74"/>
  <c r="S13" i="74" s="1"/>
  <c r="R14" i="74"/>
  <c r="Q14" i="74"/>
  <c r="P14" i="74"/>
  <c r="O14" i="74"/>
  <c r="N14" i="74"/>
  <c r="M14" i="74"/>
  <c r="L14" i="74"/>
  <c r="K14" i="74"/>
  <c r="J14" i="74"/>
  <c r="I14" i="74"/>
  <c r="H14" i="74"/>
  <c r="G14" i="74"/>
  <c r="F14" i="74"/>
  <c r="E14" i="74"/>
  <c r="D14" i="74"/>
  <c r="U13" i="74"/>
  <c r="U20" i="74" s="1"/>
  <c r="P13" i="74"/>
  <c r="N13" i="74"/>
  <c r="L13" i="74"/>
  <c r="J13" i="74"/>
  <c r="H13" i="74"/>
  <c r="U12" i="74"/>
  <c r="T12" i="74"/>
  <c r="S12" i="74"/>
  <c r="R12" i="74"/>
  <c r="Q12" i="74"/>
  <c r="P12" i="74"/>
  <c r="O12" i="74"/>
  <c r="N12" i="74"/>
  <c r="M12" i="74"/>
  <c r="L12" i="74"/>
  <c r="K12" i="74"/>
  <c r="J12" i="74"/>
  <c r="I12" i="74"/>
  <c r="H12" i="74"/>
  <c r="G12" i="74"/>
  <c r="F12" i="74"/>
  <c r="E12" i="74"/>
  <c r="D12" i="74"/>
  <c r="U11" i="74"/>
  <c r="T11" i="74"/>
  <c r="S11" i="74"/>
  <c r="R11" i="74"/>
  <c r="Q11" i="74"/>
  <c r="Q20" i="74" s="1"/>
  <c r="Q19" i="74" s="1"/>
  <c r="P11" i="74"/>
  <c r="O11" i="74"/>
  <c r="N11" i="74"/>
  <c r="M11" i="74"/>
  <c r="L11" i="74"/>
  <c r="K11" i="74"/>
  <c r="K20" i="74" s="1"/>
  <c r="K19" i="74" s="1"/>
  <c r="J11" i="74"/>
  <c r="J20" i="74" s="1"/>
  <c r="I11" i="74"/>
  <c r="I19" i="74" s="1"/>
  <c r="H11" i="74"/>
  <c r="G11" i="74"/>
  <c r="G20" i="74" s="1"/>
  <c r="F11" i="74"/>
  <c r="E11" i="74"/>
  <c r="E20" i="74" s="1"/>
  <c r="E19" i="74" s="1"/>
  <c r="D11" i="74"/>
  <c r="D20" i="74" s="1"/>
  <c r="AG23" i="25"/>
  <c r="AF23" i="25"/>
  <c r="AE23" i="25"/>
  <c r="AD23" i="25"/>
  <c r="AC23" i="25"/>
  <c r="AB23" i="25"/>
  <c r="AA23" i="25"/>
  <c r="Z23" i="25"/>
  <c r="Y23" i="25"/>
  <c r="X23" i="25"/>
  <c r="M20" i="25"/>
  <c r="Y18" i="25"/>
  <c r="X18" i="25"/>
  <c r="W18" i="25"/>
  <c r="V18" i="25"/>
  <c r="U18" i="25"/>
  <c r="T18" i="25"/>
  <c r="S18" i="25"/>
  <c r="R18" i="25"/>
  <c r="Q18" i="25"/>
  <c r="P18" i="25"/>
  <c r="O18" i="25"/>
  <c r="N18" i="25"/>
  <c r="M18" i="25"/>
  <c r="L18" i="25"/>
  <c r="K18" i="25"/>
  <c r="J18" i="25"/>
  <c r="I18" i="25"/>
  <c r="H18" i="25"/>
  <c r="G18" i="25"/>
  <c r="F18" i="25"/>
  <c r="E18" i="25"/>
  <c r="D18" i="25"/>
  <c r="Y17" i="25"/>
  <c r="X17" i="25"/>
  <c r="W17" i="25"/>
  <c r="V17" i="25"/>
  <c r="U17" i="25"/>
  <c r="T17" i="25"/>
  <c r="S17" i="25"/>
  <c r="R17" i="25"/>
  <c r="Q17" i="25"/>
  <c r="P17" i="25"/>
  <c r="O17" i="25"/>
  <c r="N17" i="25"/>
  <c r="M17" i="25"/>
  <c r="L17" i="25"/>
  <c r="K17" i="25"/>
  <c r="J17" i="25"/>
  <c r="I17" i="25"/>
  <c r="H17" i="25"/>
  <c r="G17" i="25"/>
  <c r="F17" i="25"/>
  <c r="E17" i="25"/>
  <c r="D17" i="25"/>
  <c r="Y16" i="25"/>
  <c r="X16" i="25"/>
  <c r="W16" i="25"/>
  <c r="V16" i="25"/>
  <c r="U16" i="25"/>
  <c r="T16" i="25"/>
  <c r="S16" i="25"/>
  <c r="R16" i="25"/>
  <c r="Q16" i="25"/>
  <c r="P16" i="25"/>
  <c r="O16" i="25"/>
  <c r="N16" i="25"/>
  <c r="M16" i="25"/>
  <c r="L16" i="25"/>
  <c r="K16" i="25"/>
  <c r="J16" i="25"/>
  <c r="I16" i="25"/>
  <c r="H16" i="25"/>
  <c r="G16" i="25"/>
  <c r="F16" i="25"/>
  <c r="E16" i="25"/>
  <c r="D16" i="25"/>
  <c r="Y15" i="25"/>
  <c r="X15" i="25"/>
  <c r="W15" i="25"/>
  <c r="V15" i="25"/>
  <c r="U15" i="25"/>
  <c r="U13" i="25" s="1"/>
  <c r="T15" i="25"/>
  <c r="S15" i="25"/>
  <c r="R15" i="25"/>
  <c r="Q15" i="25"/>
  <c r="P15" i="25"/>
  <c r="O15" i="25"/>
  <c r="O13" i="25" s="1"/>
  <c r="N15" i="25"/>
  <c r="M15" i="25"/>
  <c r="M13" i="25" s="1"/>
  <c r="L15" i="25"/>
  <c r="K15" i="25"/>
  <c r="J15" i="25"/>
  <c r="I15" i="25"/>
  <c r="I13" i="25" s="1"/>
  <c r="H15" i="25"/>
  <c r="G15" i="25"/>
  <c r="F15" i="25"/>
  <c r="E15" i="25"/>
  <c r="D15" i="25"/>
  <c r="Y14" i="25"/>
  <c r="X14" i="25"/>
  <c r="X13" i="25" s="1"/>
  <c r="W14" i="25"/>
  <c r="V14" i="25"/>
  <c r="V13" i="25" s="1"/>
  <c r="U14" i="25"/>
  <c r="T14" i="25"/>
  <c r="S14" i="25"/>
  <c r="R14" i="25"/>
  <c r="R13" i="25" s="1"/>
  <c r="Q14" i="25"/>
  <c r="P14" i="25"/>
  <c r="P13" i="25" s="1"/>
  <c r="O14" i="25"/>
  <c r="N14" i="25"/>
  <c r="M14" i="25"/>
  <c r="L14" i="25"/>
  <c r="K14" i="25"/>
  <c r="J14" i="25"/>
  <c r="J13" i="25" s="1"/>
  <c r="I14" i="25"/>
  <c r="H14" i="25"/>
  <c r="G14" i="25"/>
  <c r="F14" i="25"/>
  <c r="E14" i="25"/>
  <c r="D14" i="25"/>
  <c r="W13" i="25"/>
  <c r="T13" i="25"/>
  <c r="S13" i="25"/>
  <c r="S20" i="25" s="1"/>
  <c r="N13" i="25"/>
  <c r="L13" i="25"/>
  <c r="K13" i="25"/>
  <c r="H13" i="25"/>
  <c r="Y12" i="25"/>
  <c r="Z12" i="25" s="1"/>
  <c r="X12" i="25"/>
  <c r="W12" i="25"/>
  <c r="V12" i="25"/>
  <c r="U12" i="25"/>
  <c r="T12" i="25"/>
  <c r="S12" i="25"/>
  <c r="R12" i="25"/>
  <c r="Q12" i="25"/>
  <c r="P12" i="25"/>
  <c r="O12" i="25"/>
  <c r="N12" i="25"/>
  <c r="M12" i="25"/>
  <c r="L12" i="25"/>
  <c r="K12" i="25"/>
  <c r="J12" i="25"/>
  <c r="I12" i="25"/>
  <c r="H12" i="25"/>
  <c r="G12" i="25"/>
  <c r="F12" i="25"/>
  <c r="E12" i="25"/>
  <c r="D12" i="25"/>
  <c r="AG11" i="25"/>
  <c r="AF11" i="25"/>
  <c r="AE11" i="25"/>
  <c r="Y11" i="25"/>
  <c r="X11" i="25"/>
  <c r="W11" i="25"/>
  <c r="V11" i="25"/>
  <c r="U11" i="25"/>
  <c r="T11" i="25"/>
  <c r="S11" i="25"/>
  <c r="R11" i="25"/>
  <c r="Q11" i="25"/>
  <c r="P11" i="25"/>
  <c r="O11" i="25"/>
  <c r="N11" i="25"/>
  <c r="M11" i="25"/>
  <c r="L11" i="25"/>
  <c r="K11" i="25"/>
  <c r="J11" i="25"/>
  <c r="I11" i="25"/>
  <c r="H11" i="25"/>
  <c r="H20" i="25" s="1"/>
  <c r="G11" i="25"/>
  <c r="F11" i="25"/>
  <c r="E11" i="25"/>
  <c r="D11" i="25"/>
  <c r="O14" i="56"/>
  <c r="O13" i="56"/>
  <c r="O12" i="56"/>
  <c r="O11" i="56"/>
  <c r="O10" i="56"/>
  <c r="O9" i="56"/>
  <c r="O8" i="56"/>
  <c r="O7" i="56"/>
  <c r="O6" i="56"/>
  <c r="O5" i="56"/>
  <c r="O4" i="56"/>
  <c r="O3" i="56"/>
  <c r="D2" i="56"/>
  <c r="E2" i="56" s="1"/>
  <c r="F2" i="56" s="1"/>
  <c r="G2" i="56" s="1"/>
  <c r="H2" i="56" s="1"/>
  <c r="I2" i="56" s="1"/>
  <c r="J2" i="56" s="1"/>
  <c r="K2" i="56" s="1"/>
  <c r="L2" i="56" s="1"/>
  <c r="M2" i="56" s="1"/>
  <c r="N2" i="56" s="1"/>
  <c r="J6" i="71"/>
  <c r="H6" i="71"/>
  <c r="F6" i="71"/>
  <c r="J5" i="71"/>
  <c r="H5" i="71"/>
  <c r="J4" i="71"/>
  <c r="H4" i="71"/>
  <c r="G4" i="71"/>
  <c r="E4" i="71"/>
  <c r="J3" i="71"/>
  <c r="I3" i="71"/>
  <c r="H3" i="71"/>
  <c r="G3" i="71"/>
  <c r="D3" i="71"/>
  <c r="C3" i="71"/>
  <c r="J2" i="71"/>
  <c r="G2" i="71"/>
  <c r="F2" i="71"/>
  <c r="E2" i="71"/>
  <c r="D2" i="71"/>
  <c r="C2" i="71"/>
  <c r="R11" i="50"/>
  <c r="Q11" i="50"/>
  <c r="P11" i="50"/>
  <c r="O11" i="50"/>
  <c r="N11" i="50"/>
  <c r="M11" i="50"/>
  <c r="L11" i="50"/>
  <c r="K11" i="50"/>
  <c r="J11" i="50"/>
  <c r="I11" i="50"/>
  <c r="H11" i="50"/>
  <c r="G11" i="50"/>
  <c r="F11" i="50"/>
  <c r="E11" i="50"/>
  <c r="D11" i="50"/>
  <c r="C11" i="50"/>
  <c r="Q10" i="50"/>
  <c r="P10" i="50"/>
  <c r="O10" i="50"/>
  <c r="N10" i="50"/>
  <c r="K10" i="50"/>
  <c r="R9" i="50"/>
  <c r="N9" i="50"/>
  <c r="M9" i="50"/>
  <c r="L9" i="50"/>
  <c r="J9" i="50"/>
  <c r="H9" i="50"/>
  <c r="G9" i="50"/>
  <c r="F9" i="50"/>
  <c r="E9" i="50"/>
  <c r="D9" i="50"/>
  <c r="C9" i="50"/>
  <c r="R8" i="50"/>
  <c r="Q8" i="50"/>
  <c r="P8" i="50"/>
  <c r="O8" i="50"/>
  <c r="N8" i="50"/>
  <c r="R7" i="50"/>
  <c r="Q7" i="50"/>
  <c r="P7" i="50"/>
  <c r="O7" i="50"/>
  <c r="N7" i="50"/>
  <c r="M7" i="50"/>
  <c r="L7" i="50"/>
  <c r="K7" i="50"/>
  <c r="J7" i="50"/>
  <c r="I7" i="50"/>
  <c r="H7" i="50"/>
  <c r="G7" i="50"/>
  <c r="F7" i="50"/>
  <c r="E7" i="50"/>
  <c r="D7" i="50"/>
  <c r="C7" i="50"/>
  <c r="N6" i="50"/>
  <c r="L6" i="50"/>
  <c r="G6" i="50"/>
  <c r="F6" i="50"/>
  <c r="E6" i="50"/>
  <c r="D6" i="50"/>
  <c r="C6" i="50"/>
  <c r="J5" i="50"/>
  <c r="D5" i="50"/>
  <c r="C5" i="50"/>
  <c r="M4" i="50"/>
  <c r="E4" i="50"/>
  <c r="D4" i="50"/>
  <c r="C4" i="50"/>
  <c r="X92" i="80"/>
  <c r="R92" i="80"/>
  <c r="O92" i="80"/>
  <c r="O93" i="80" s="1"/>
  <c r="U90" i="80"/>
  <c r="Y89" i="80"/>
  <c r="X94" i="80" s="1"/>
  <c r="X86" i="80"/>
  <c r="W86" i="80"/>
  <c r="V86" i="80"/>
  <c r="U86" i="80"/>
  <c r="T86" i="80"/>
  <c r="S86" i="80"/>
  <c r="R86" i="80"/>
  <c r="Q86" i="80"/>
  <c r="P86" i="80"/>
  <c r="O86" i="80"/>
  <c r="N86" i="80"/>
  <c r="M86" i="80"/>
  <c r="L86" i="80"/>
  <c r="K86" i="80"/>
  <c r="J86" i="80"/>
  <c r="I86" i="80"/>
  <c r="H86" i="80"/>
  <c r="G86" i="80"/>
  <c r="F86" i="80"/>
  <c r="E86" i="80"/>
  <c r="D86" i="80"/>
  <c r="C86" i="80"/>
  <c r="X85" i="80"/>
  <c r="W85" i="80"/>
  <c r="Y85" i="80" s="1"/>
  <c r="V85" i="80"/>
  <c r="U85" i="80"/>
  <c r="T85" i="80"/>
  <c r="S85" i="80"/>
  <c r="R85" i="80"/>
  <c r="Q85" i="80"/>
  <c r="P85" i="80"/>
  <c r="O85" i="80"/>
  <c r="N85" i="80"/>
  <c r="L85" i="80"/>
  <c r="K85" i="80"/>
  <c r="J85" i="80"/>
  <c r="I85" i="80"/>
  <c r="H85" i="80"/>
  <c r="G85" i="80"/>
  <c r="F85" i="80"/>
  <c r="E85" i="80"/>
  <c r="D85" i="80"/>
  <c r="C85" i="80"/>
  <c r="X84" i="80"/>
  <c r="W84" i="80"/>
  <c r="V84" i="80"/>
  <c r="U84" i="80"/>
  <c r="T84" i="80"/>
  <c r="S84" i="80"/>
  <c r="R84" i="80"/>
  <c r="Q84" i="80"/>
  <c r="P84" i="80"/>
  <c r="O84" i="80"/>
  <c r="N84" i="80"/>
  <c r="M84" i="80"/>
  <c r="L84" i="80"/>
  <c r="K84" i="80"/>
  <c r="J84" i="80"/>
  <c r="I84" i="80"/>
  <c r="H84" i="80"/>
  <c r="G84" i="80"/>
  <c r="F84" i="80"/>
  <c r="E84" i="80"/>
  <c r="D84" i="80"/>
  <c r="C84" i="80"/>
  <c r="X83" i="80"/>
  <c r="W83" i="80"/>
  <c r="V83" i="80"/>
  <c r="U83" i="80"/>
  <c r="T83" i="80"/>
  <c r="S83" i="80"/>
  <c r="R83" i="80"/>
  <c r="Q83" i="80"/>
  <c r="P83" i="80"/>
  <c r="O83" i="80"/>
  <c r="N83" i="80"/>
  <c r="M83" i="80"/>
  <c r="L83" i="80"/>
  <c r="K83" i="80"/>
  <c r="J83" i="80"/>
  <c r="I83" i="80"/>
  <c r="H83" i="80"/>
  <c r="G83" i="80"/>
  <c r="F83" i="80"/>
  <c r="E83" i="80"/>
  <c r="D83" i="80"/>
  <c r="C83" i="80"/>
  <c r="Y30" i="80"/>
  <c r="K24" i="35"/>
  <c r="J24" i="35"/>
  <c r="I24" i="35"/>
  <c r="H24" i="35"/>
  <c r="G24" i="35"/>
  <c r="F24" i="35"/>
  <c r="E24" i="35"/>
  <c r="D24" i="35"/>
  <c r="K23" i="35"/>
  <c r="J23" i="35"/>
  <c r="I23" i="35"/>
  <c r="H23" i="35"/>
  <c r="I25" i="55" s="1"/>
  <c r="G23" i="35"/>
  <c r="H25" i="55" s="1"/>
  <c r="F23" i="35"/>
  <c r="G25" i="55" s="1"/>
  <c r="E23" i="35"/>
  <c r="D23" i="35"/>
  <c r="C23" i="35"/>
  <c r="K22" i="35"/>
  <c r="I22" i="35"/>
  <c r="F22" i="35"/>
  <c r="C22" i="35"/>
  <c r="D24" i="55" s="1"/>
  <c r="C21" i="35"/>
  <c r="C20" i="35"/>
  <c r="K16" i="35"/>
  <c r="J16" i="35"/>
  <c r="K15" i="35"/>
  <c r="K14" i="35"/>
  <c r="J14" i="35"/>
  <c r="I14" i="35"/>
  <c r="H14" i="35"/>
  <c r="G14" i="35"/>
  <c r="F14" i="35"/>
  <c r="E14" i="35"/>
  <c r="F16" i="55" s="1"/>
  <c r="D14" i="35"/>
  <c r="E16" i="55" s="1"/>
  <c r="C14" i="35"/>
  <c r="D16" i="55" s="1"/>
  <c r="K13" i="35"/>
  <c r="J13" i="35"/>
  <c r="I13" i="35"/>
  <c r="H13" i="35"/>
  <c r="G13" i="35"/>
  <c r="F13" i="35"/>
  <c r="E13" i="35"/>
  <c r="D13" i="35"/>
  <c r="C13" i="35"/>
  <c r="C12" i="35"/>
  <c r="C11" i="35"/>
  <c r="K9" i="35"/>
  <c r="J9" i="35"/>
  <c r="I9" i="35"/>
  <c r="H9" i="35"/>
  <c r="G9" i="35"/>
  <c r="F9" i="35"/>
  <c r="E9" i="35"/>
  <c r="D9" i="35"/>
  <c r="K8" i="35"/>
  <c r="J8" i="35"/>
  <c r="I8" i="35"/>
  <c r="K7" i="35"/>
  <c r="J7" i="35"/>
  <c r="I7" i="35"/>
  <c r="H7" i="35"/>
  <c r="I9" i="55" s="1"/>
  <c r="G7" i="35"/>
  <c r="H9" i="55" s="1"/>
  <c r="H73" i="55" s="1"/>
  <c r="F7" i="35"/>
  <c r="G9" i="55" s="1"/>
  <c r="G105" i="55" s="1"/>
  <c r="F4" i="35"/>
  <c r="E4" i="35"/>
  <c r="D4" i="35"/>
  <c r="C4" i="35"/>
  <c r="J3" i="35"/>
  <c r="H3" i="35"/>
  <c r="I5" i="55" s="1"/>
  <c r="D3" i="35"/>
  <c r="C3" i="35"/>
  <c r="L128" i="55"/>
  <c r="D128" i="55"/>
  <c r="M127" i="55"/>
  <c r="L127" i="55"/>
  <c r="J127" i="55"/>
  <c r="M126" i="55"/>
  <c r="L126" i="55"/>
  <c r="K126" i="55"/>
  <c r="J126" i="55"/>
  <c r="H126" i="55"/>
  <c r="I125" i="55"/>
  <c r="F125" i="55"/>
  <c r="I124" i="55"/>
  <c r="H124" i="55"/>
  <c r="G124" i="55"/>
  <c r="F124" i="55"/>
  <c r="D124" i="55"/>
  <c r="F121" i="55"/>
  <c r="E121" i="55"/>
  <c r="D121" i="55"/>
  <c r="M119" i="55"/>
  <c r="M113" i="55"/>
  <c r="L113" i="55"/>
  <c r="I111" i="55"/>
  <c r="H111" i="55"/>
  <c r="F111" i="55"/>
  <c r="D110" i="55"/>
  <c r="D109" i="55"/>
  <c r="M107" i="55"/>
  <c r="L107" i="55"/>
  <c r="G107" i="55"/>
  <c r="D102" i="55"/>
  <c r="M101" i="55"/>
  <c r="D96" i="55"/>
  <c r="I95" i="55"/>
  <c r="D95" i="55"/>
  <c r="K94" i="55"/>
  <c r="J94" i="55"/>
  <c r="H94" i="55"/>
  <c r="F93" i="55"/>
  <c r="I92" i="55"/>
  <c r="E92" i="55"/>
  <c r="D92" i="55"/>
  <c r="J89" i="55"/>
  <c r="G88" i="55"/>
  <c r="D87" i="55"/>
  <c r="J80" i="55"/>
  <c r="I79" i="55"/>
  <c r="H79" i="55"/>
  <c r="G79" i="55"/>
  <c r="F79" i="55"/>
  <c r="D79" i="55"/>
  <c r="D78" i="55"/>
  <c r="I75" i="55"/>
  <c r="J74" i="55"/>
  <c r="G70" i="55"/>
  <c r="F70" i="55"/>
  <c r="D70" i="55"/>
  <c r="D69" i="55"/>
  <c r="M32" i="55"/>
  <c r="M128" i="55" s="1"/>
  <c r="L32" i="55"/>
  <c r="K32" i="55"/>
  <c r="K128" i="55" s="1"/>
  <c r="J32" i="55"/>
  <c r="J128" i="55" s="1"/>
  <c r="I32" i="55"/>
  <c r="H32" i="55"/>
  <c r="D32" i="55"/>
  <c r="M31" i="55"/>
  <c r="L31" i="55"/>
  <c r="K31" i="55"/>
  <c r="K127" i="55" s="1"/>
  <c r="J31" i="55"/>
  <c r="J95" i="55" s="1"/>
  <c r="I31" i="55"/>
  <c r="I127" i="55" s="1"/>
  <c r="H31" i="55"/>
  <c r="H127" i="55" s="1"/>
  <c r="D31" i="55"/>
  <c r="D127" i="55" s="1"/>
  <c r="M30" i="55"/>
  <c r="L30" i="55"/>
  <c r="K30" i="55"/>
  <c r="J30" i="55"/>
  <c r="I30" i="55"/>
  <c r="I126" i="55" s="1"/>
  <c r="H30" i="55"/>
  <c r="G30" i="55"/>
  <c r="G126" i="55" s="1"/>
  <c r="E30" i="55"/>
  <c r="D30" i="55"/>
  <c r="M29" i="55"/>
  <c r="M125" i="55" s="1"/>
  <c r="L29" i="55"/>
  <c r="L125" i="55" s="1"/>
  <c r="I29" i="55"/>
  <c r="I93" i="55" s="1"/>
  <c r="F29" i="55"/>
  <c r="E29" i="55"/>
  <c r="E93" i="55" s="1"/>
  <c r="D29" i="55"/>
  <c r="D93" i="55" s="1"/>
  <c r="M28" i="55"/>
  <c r="M124" i="55" s="1"/>
  <c r="L28" i="55"/>
  <c r="L124" i="55" s="1"/>
  <c r="I28" i="55"/>
  <c r="H28" i="55"/>
  <c r="H92" i="55" s="1"/>
  <c r="G28" i="55"/>
  <c r="G92" i="55" s="1"/>
  <c r="F28" i="55"/>
  <c r="F92" i="55" s="1"/>
  <c r="E28" i="55"/>
  <c r="E124" i="55" s="1"/>
  <c r="D28" i="55"/>
  <c r="M25" i="55"/>
  <c r="M121" i="55" s="1"/>
  <c r="L25" i="55"/>
  <c r="L121" i="55" s="1"/>
  <c r="K25" i="55"/>
  <c r="J25" i="55"/>
  <c r="J121" i="55" s="1"/>
  <c r="F25" i="55"/>
  <c r="F89" i="55" s="1"/>
  <c r="E25" i="55"/>
  <c r="E89" i="55" s="1"/>
  <c r="D25" i="55"/>
  <c r="D89" i="55" s="1"/>
  <c r="C25" i="55"/>
  <c r="B25" i="55"/>
  <c r="M24" i="55"/>
  <c r="M120" i="55" s="1"/>
  <c r="L24" i="55"/>
  <c r="L120" i="55" s="1"/>
  <c r="J24" i="55"/>
  <c r="G24" i="55"/>
  <c r="G120" i="55" s="1"/>
  <c r="C24" i="55"/>
  <c r="B24" i="55"/>
  <c r="M23" i="55"/>
  <c r="D23" i="55"/>
  <c r="D119" i="55" s="1"/>
  <c r="C23" i="55"/>
  <c r="B23" i="55"/>
  <c r="M22" i="55"/>
  <c r="M118" i="55" s="1"/>
  <c r="D22" i="55"/>
  <c r="D118" i="55" s="1"/>
  <c r="C22" i="55"/>
  <c r="B22" i="55"/>
  <c r="M21" i="55"/>
  <c r="M117" i="55" s="1"/>
  <c r="C21" i="55"/>
  <c r="B21" i="55"/>
  <c r="M20" i="55"/>
  <c r="M116" i="55" s="1"/>
  <c r="C20" i="55"/>
  <c r="B20" i="55"/>
  <c r="M19" i="55"/>
  <c r="M115" i="55" s="1"/>
  <c r="C19" i="55"/>
  <c r="B19" i="55"/>
  <c r="M18" i="55"/>
  <c r="M114" i="55" s="1"/>
  <c r="L18" i="55"/>
  <c r="L114" i="55" s="1"/>
  <c r="K18" i="55"/>
  <c r="C18" i="55"/>
  <c r="B18" i="55"/>
  <c r="M17" i="55"/>
  <c r="L17" i="55"/>
  <c r="C17" i="55"/>
  <c r="B17" i="55"/>
  <c r="M16" i="55"/>
  <c r="M112" i="55" s="1"/>
  <c r="L16" i="55"/>
  <c r="L112" i="55" s="1"/>
  <c r="K16" i="55"/>
  <c r="K112" i="55" s="1"/>
  <c r="J16" i="55"/>
  <c r="J112" i="55" s="1"/>
  <c r="I16" i="55"/>
  <c r="I112" i="55" s="1"/>
  <c r="H16" i="55"/>
  <c r="H112" i="55" s="1"/>
  <c r="G16" i="55"/>
  <c r="G112" i="55" s="1"/>
  <c r="C16" i="55"/>
  <c r="B16" i="55"/>
  <c r="M15" i="55"/>
  <c r="M111" i="55" s="1"/>
  <c r="L15" i="55"/>
  <c r="L111" i="55" s="1"/>
  <c r="K15" i="55"/>
  <c r="J15" i="55"/>
  <c r="I15" i="55"/>
  <c r="H15" i="55"/>
  <c r="G15" i="55"/>
  <c r="G111" i="55" s="1"/>
  <c r="F15" i="55"/>
  <c r="E15" i="55"/>
  <c r="E79" i="55" s="1"/>
  <c r="D15" i="55"/>
  <c r="D111" i="55" s="1"/>
  <c r="C15" i="55"/>
  <c r="B15" i="55"/>
  <c r="M14" i="55"/>
  <c r="M110" i="55" s="1"/>
  <c r="D14" i="55"/>
  <c r="C14" i="55"/>
  <c r="B14" i="55"/>
  <c r="M13" i="55"/>
  <c r="M109" i="55" s="1"/>
  <c r="D13" i="55"/>
  <c r="D77" i="55" s="1"/>
  <c r="C13" i="55"/>
  <c r="B13" i="55"/>
  <c r="M12" i="55"/>
  <c r="M108" i="55" s="1"/>
  <c r="C12" i="55"/>
  <c r="B12" i="55"/>
  <c r="M11" i="55"/>
  <c r="L11" i="55"/>
  <c r="K11" i="55"/>
  <c r="J11" i="55"/>
  <c r="I11" i="55"/>
  <c r="I107" i="55" s="1"/>
  <c r="H11" i="55"/>
  <c r="H107" i="55" s="1"/>
  <c r="G11" i="55"/>
  <c r="G75" i="55" s="1"/>
  <c r="F11" i="55"/>
  <c r="F107" i="55" s="1"/>
  <c r="E11" i="55"/>
  <c r="E107" i="55" s="1"/>
  <c r="C11" i="55"/>
  <c r="B11" i="55"/>
  <c r="M10" i="55"/>
  <c r="M106" i="55" s="1"/>
  <c r="L10" i="55"/>
  <c r="L106" i="55" s="1"/>
  <c r="K10" i="55"/>
  <c r="K106" i="55" s="1"/>
  <c r="J10" i="55"/>
  <c r="J106" i="55" s="1"/>
  <c r="C10" i="55"/>
  <c r="B10" i="55"/>
  <c r="M9" i="55"/>
  <c r="M105" i="55" s="1"/>
  <c r="L9" i="55"/>
  <c r="L105" i="55" s="1"/>
  <c r="K9" i="55"/>
  <c r="J9" i="55"/>
  <c r="C9" i="55"/>
  <c r="B9" i="55"/>
  <c r="M8" i="55"/>
  <c r="M104" i="55" s="1"/>
  <c r="C8" i="55"/>
  <c r="B8" i="55"/>
  <c r="M7" i="55"/>
  <c r="M103" i="55" s="1"/>
  <c r="C7" i="55"/>
  <c r="B7" i="55"/>
  <c r="M6" i="55"/>
  <c r="M102" i="55" s="1"/>
  <c r="G6" i="55"/>
  <c r="G102" i="55" s="1"/>
  <c r="F6" i="55"/>
  <c r="F102" i="55" s="1"/>
  <c r="E6" i="55"/>
  <c r="E70" i="55" s="1"/>
  <c r="D6" i="55"/>
  <c r="C6" i="55"/>
  <c r="B6" i="55"/>
  <c r="M5" i="55"/>
  <c r="K5" i="55"/>
  <c r="E5" i="55"/>
  <c r="E101" i="55" s="1"/>
  <c r="D5" i="55"/>
  <c r="D101" i="55" s="1"/>
  <c r="C5" i="55"/>
  <c r="B5" i="55"/>
  <c r="M4" i="55"/>
  <c r="M100" i="55" s="1"/>
  <c r="C4" i="55"/>
  <c r="B4" i="55"/>
  <c r="E3" i="55"/>
  <c r="D3" i="55"/>
  <c r="C3" i="55"/>
  <c r="B3" i="55"/>
  <c r="F81" i="46"/>
  <c r="G81" i="46" s="1"/>
  <c r="E81" i="46"/>
  <c r="C81" i="46"/>
  <c r="E80" i="46"/>
  <c r="F80" i="46" s="1"/>
  <c r="G80" i="46" s="1"/>
  <c r="C80" i="46"/>
  <c r="E79" i="46"/>
  <c r="F79" i="46" s="1"/>
  <c r="G79" i="46" s="1"/>
  <c r="C79" i="46"/>
  <c r="F78" i="46"/>
  <c r="G78" i="46" s="1"/>
  <c r="E78" i="46"/>
  <c r="C78" i="46"/>
  <c r="E77" i="46"/>
  <c r="F77" i="46" s="1"/>
  <c r="G77" i="46" s="1"/>
  <c r="C77" i="46"/>
  <c r="E76" i="46"/>
  <c r="F76" i="46" s="1"/>
  <c r="G76" i="46" s="1"/>
  <c r="C76" i="46"/>
  <c r="F75" i="46"/>
  <c r="G75" i="46" s="1"/>
  <c r="E75" i="46"/>
  <c r="C75" i="46"/>
  <c r="E74" i="46"/>
  <c r="F74" i="46" s="1"/>
  <c r="G74" i="46" s="1"/>
  <c r="C74" i="46"/>
  <c r="E73" i="46"/>
  <c r="F73" i="46" s="1"/>
  <c r="G73" i="46" s="1"/>
  <c r="C73" i="46"/>
  <c r="F72" i="46"/>
  <c r="G72" i="46" s="1"/>
  <c r="E72" i="46"/>
  <c r="C72" i="46"/>
  <c r="E71" i="46"/>
  <c r="F71" i="46" s="1"/>
  <c r="G71" i="46" s="1"/>
  <c r="C71" i="46"/>
  <c r="E70" i="46"/>
  <c r="F70" i="46" s="1"/>
  <c r="G70" i="46" s="1"/>
  <c r="C70" i="46"/>
  <c r="F69" i="46"/>
  <c r="G69" i="46" s="1"/>
  <c r="E69" i="46"/>
  <c r="C69" i="46"/>
  <c r="E68" i="46"/>
  <c r="F68" i="46" s="1"/>
  <c r="G68" i="46" s="1"/>
  <c r="C68" i="46"/>
  <c r="E67" i="46"/>
  <c r="F67" i="46" s="1"/>
  <c r="G67" i="46" s="1"/>
  <c r="C67" i="46"/>
  <c r="F66" i="46"/>
  <c r="G66" i="46" s="1"/>
  <c r="E66" i="46"/>
  <c r="C66" i="46"/>
  <c r="E65" i="46"/>
  <c r="F65" i="46" s="1"/>
  <c r="G65" i="46" s="1"/>
  <c r="C65" i="46"/>
  <c r="E64" i="46"/>
  <c r="F64" i="46" s="1"/>
  <c r="G64" i="46" s="1"/>
  <c r="C64" i="46"/>
  <c r="F63" i="46"/>
  <c r="G63" i="46" s="1"/>
  <c r="E63" i="46"/>
  <c r="C63" i="46"/>
  <c r="E62" i="46"/>
  <c r="F62" i="46" s="1"/>
  <c r="G62" i="46" s="1"/>
  <c r="C62" i="46"/>
  <c r="E61" i="46"/>
  <c r="F61" i="46" s="1"/>
  <c r="G61" i="46" s="1"/>
  <c r="C61" i="46"/>
  <c r="F60" i="46"/>
  <c r="G60" i="46" s="1"/>
  <c r="E60" i="46"/>
  <c r="C60" i="46"/>
  <c r="E59" i="46"/>
  <c r="F59" i="46" s="1"/>
  <c r="G59" i="46" s="1"/>
  <c r="C59" i="46"/>
  <c r="E58" i="46"/>
  <c r="F58" i="46" s="1"/>
  <c r="G58" i="46" s="1"/>
  <c r="C58" i="46"/>
  <c r="E57" i="46"/>
  <c r="F57" i="46" s="1"/>
  <c r="C57" i="46"/>
  <c r="F56" i="46"/>
  <c r="G56" i="46" s="1"/>
  <c r="E56" i="46"/>
  <c r="C56" i="46"/>
  <c r="E55" i="46"/>
  <c r="F55" i="46" s="1"/>
  <c r="G55" i="46" s="1"/>
  <c r="C55" i="46"/>
  <c r="E54" i="46"/>
  <c r="F54" i="46" s="1"/>
  <c r="G54" i="46" s="1"/>
  <c r="C54" i="46"/>
  <c r="F53" i="46"/>
  <c r="G53" i="46" s="1"/>
  <c r="E53" i="46"/>
  <c r="C53" i="46"/>
  <c r="E52" i="46"/>
  <c r="F52" i="46" s="1"/>
  <c r="G52" i="46" s="1"/>
  <c r="C52" i="46"/>
  <c r="E51" i="46"/>
  <c r="F51" i="46" s="1"/>
  <c r="G51" i="46" s="1"/>
  <c r="C51" i="46"/>
  <c r="F50" i="46"/>
  <c r="G50" i="46" s="1"/>
  <c r="E50" i="46"/>
  <c r="C50" i="46"/>
  <c r="E49" i="46"/>
  <c r="F49" i="46" s="1"/>
  <c r="G49" i="46" s="1"/>
  <c r="C49" i="46"/>
  <c r="E48" i="46"/>
  <c r="F48" i="46" s="1"/>
  <c r="G48" i="46" s="1"/>
  <c r="C48" i="46"/>
  <c r="F47" i="46"/>
  <c r="G47" i="46" s="1"/>
  <c r="E47" i="46"/>
  <c r="C47" i="46"/>
  <c r="E46" i="46"/>
  <c r="F46" i="46" s="1"/>
  <c r="G46" i="46" s="1"/>
  <c r="C46" i="46"/>
  <c r="E45" i="46"/>
  <c r="F45" i="46" s="1"/>
  <c r="G45" i="46" s="1"/>
  <c r="C45" i="46"/>
  <c r="F44" i="46"/>
  <c r="G44" i="46" s="1"/>
  <c r="E44" i="46"/>
  <c r="C44" i="46"/>
  <c r="E43" i="46"/>
  <c r="F43" i="46" s="1"/>
  <c r="G43" i="46" s="1"/>
  <c r="C43" i="46"/>
  <c r="E42" i="46"/>
  <c r="F42" i="46" s="1"/>
  <c r="G42" i="46" s="1"/>
  <c r="C42" i="46"/>
  <c r="F41" i="46"/>
  <c r="G41" i="46" s="1"/>
  <c r="E41" i="46"/>
  <c r="C41" i="46"/>
  <c r="E40" i="46"/>
  <c r="F40" i="46" s="1"/>
  <c r="G40" i="46" s="1"/>
  <c r="C40" i="46"/>
  <c r="E39" i="46"/>
  <c r="F39" i="46" s="1"/>
  <c r="G39" i="46" s="1"/>
  <c r="C39" i="46"/>
  <c r="F38" i="46"/>
  <c r="G38" i="46" s="1"/>
  <c r="E38" i="46"/>
  <c r="C38" i="46"/>
  <c r="E37" i="46"/>
  <c r="F37" i="46" s="1"/>
  <c r="G37" i="46" s="1"/>
  <c r="C37" i="46"/>
  <c r="E36" i="46"/>
  <c r="F36" i="46" s="1"/>
  <c r="G36" i="46" s="1"/>
  <c r="C36" i="46"/>
  <c r="F35" i="46"/>
  <c r="G35" i="46" s="1"/>
  <c r="E35" i="46"/>
  <c r="C35" i="46"/>
  <c r="E34" i="46"/>
  <c r="F34" i="46" s="1"/>
  <c r="G34" i="46" s="1"/>
  <c r="C34" i="46"/>
  <c r="E33" i="46"/>
  <c r="F33" i="46" s="1"/>
  <c r="G33" i="46" s="1"/>
  <c r="C33" i="46"/>
  <c r="F32" i="46"/>
  <c r="G32" i="46" s="1"/>
  <c r="E32" i="46"/>
  <c r="C32" i="46"/>
  <c r="E31" i="46"/>
  <c r="F31" i="46" s="1"/>
  <c r="G31" i="46" s="1"/>
  <c r="G30" i="46"/>
  <c r="F30" i="46"/>
  <c r="E30" i="46"/>
  <c r="G29" i="46"/>
  <c r="F29" i="46"/>
  <c r="E29" i="46"/>
  <c r="E28" i="46"/>
  <c r="F28" i="46" s="1"/>
  <c r="G28" i="46" s="1"/>
  <c r="E27" i="46"/>
  <c r="F27" i="46" s="1"/>
  <c r="G27" i="46" s="1"/>
  <c r="C27" i="46"/>
  <c r="E26" i="46"/>
  <c r="F26" i="46" s="1"/>
  <c r="G26" i="46" s="1"/>
  <c r="C26" i="46"/>
  <c r="F25" i="46"/>
  <c r="G25" i="46" s="1"/>
  <c r="E25" i="46"/>
  <c r="C25" i="46"/>
  <c r="E24" i="46"/>
  <c r="F24" i="46" s="1"/>
  <c r="G24" i="46" s="1"/>
  <c r="C24" i="46"/>
  <c r="E23" i="46"/>
  <c r="F23" i="46" s="1"/>
  <c r="G23" i="46" s="1"/>
  <c r="C23" i="46"/>
  <c r="F22" i="46"/>
  <c r="G22" i="46" s="1"/>
  <c r="E22" i="46"/>
  <c r="C22" i="46"/>
  <c r="E21" i="46"/>
  <c r="F21" i="46" s="1"/>
  <c r="G21" i="46" s="1"/>
  <c r="C21" i="46"/>
  <c r="E20" i="46"/>
  <c r="F20" i="46" s="1"/>
  <c r="G20" i="46" s="1"/>
  <c r="C20" i="46"/>
  <c r="F19" i="46"/>
  <c r="G19" i="46" s="1"/>
  <c r="E19" i="46"/>
  <c r="C19" i="46"/>
  <c r="E18" i="46"/>
  <c r="F18" i="46" s="1"/>
  <c r="G18" i="46" s="1"/>
  <c r="C18" i="46"/>
  <c r="E17" i="46"/>
  <c r="F17" i="46" s="1"/>
  <c r="G17" i="46" s="1"/>
  <c r="C17" i="46"/>
  <c r="F16" i="46"/>
  <c r="G16" i="46" s="1"/>
  <c r="E16" i="46"/>
  <c r="C16" i="46"/>
  <c r="E15" i="46"/>
  <c r="F15" i="46" s="1"/>
  <c r="G15" i="46" s="1"/>
  <c r="C15" i="46"/>
  <c r="E14" i="46"/>
  <c r="F14" i="46" s="1"/>
  <c r="G14" i="46" s="1"/>
  <c r="C14" i="46"/>
  <c r="F13" i="46"/>
  <c r="G13" i="46" s="1"/>
  <c r="E13" i="46"/>
  <c r="C13" i="46"/>
  <c r="E12" i="46"/>
  <c r="F12" i="46" s="1"/>
  <c r="G12" i="46" s="1"/>
  <c r="C12" i="46"/>
  <c r="E11" i="46"/>
  <c r="F11" i="46" s="1"/>
  <c r="G11" i="46" s="1"/>
  <c r="C11" i="46"/>
  <c r="F10" i="46"/>
  <c r="G10" i="46" s="1"/>
  <c r="E10" i="46"/>
  <c r="C10" i="46"/>
  <c r="E9" i="46"/>
  <c r="F9" i="46" s="1"/>
  <c r="G9" i="46" s="1"/>
  <c r="C9" i="46"/>
  <c r="E8" i="46"/>
  <c r="F8" i="46" s="1"/>
  <c r="G8" i="46" s="1"/>
  <c r="C8" i="46"/>
  <c r="F7" i="46"/>
  <c r="G7" i="46" s="1"/>
  <c r="E7" i="46"/>
  <c r="C7" i="46"/>
  <c r="E6" i="46"/>
  <c r="F6" i="46" s="1"/>
  <c r="G6" i="46" s="1"/>
  <c r="C6" i="46"/>
  <c r="E5" i="46"/>
  <c r="F5" i="46" s="1"/>
  <c r="G5" i="46" s="1"/>
  <c r="C5" i="46"/>
  <c r="F4" i="46"/>
  <c r="G4" i="46" s="1"/>
  <c r="E4" i="46"/>
  <c r="C4" i="46"/>
  <c r="E3" i="46"/>
  <c r="F3" i="46" s="1"/>
  <c r="G3" i="46" s="1"/>
  <c r="C3" i="46"/>
  <c r="C2" i="46"/>
  <c r="S23" i="74"/>
  <c r="U23" i="25"/>
  <c r="R23" i="74"/>
  <c r="T23" i="25"/>
  <c r="Q23" i="74"/>
  <c r="S23" i="25"/>
  <c r="P23" i="74"/>
  <c r="O23" i="74"/>
  <c r="Q23" i="25"/>
  <c r="N23" i="74"/>
  <c r="P23" i="25"/>
  <c r="M23" i="74"/>
  <c r="O23" i="25"/>
  <c r="N23" i="25"/>
  <c r="M23" i="25"/>
  <c r="U23" i="74"/>
  <c r="T23" i="74"/>
  <c r="R23" i="25"/>
  <c r="K107" i="55" l="1"/>
  <c r="F112" i="55"/>
  <c r="F80" i="55"/>
  <c r="G89" i="55"/>
  <c r="G121" i="55"/>
  <c r="I15" i="21"/>
  <c r="S38" i="26"/>
  <c r="G73" i="55"/>
  <c r="H89" i="55"/>
  <c r="H121" i="55"/>
  <c r="E20" i="25"/>
  <c r="E19" i="25"/>
  <c r="Q20" i="25"/>
  <c r="Q19" i="25"/>
  <c r="V20" i="74"/>
  <c r="W20" i="74" s="1"/>
  <c r="X20" i="74" s="1"/>
  <c r="Y20" i="74" s="1"/>
  <c r="Z20" i="74" s="1"/>
  <c r="AA20" i="74" s="1"/>
  <c r="AB20" i="74" s="1"/>
  <c r="AC20" i="74" s="1"/>
  <c r="S14" i="59"/>
  <c r="S63" i="59" s="1"/>
  <c r="D126" i="55"/>
  <c r="D94" i="55"/>
  <c r="I89" i="55"/>
  <c r="I121" i="55"/>
  <c r="J111" i="55"/>
  <c r="J79" i="55"/>
  <c r="K111" i="55"/>
  <c r="I105" i="55"/>
  <c r="I73" i="55"/>
  <c r="D88" i="55"/>
  <c r="D120" i="55"/>
  <c r="Z27" i="20"/>
  <c r="C5" i="35"/>
  <c r="D7" i="55" s="1"/>
  <c r="J105" i="55"/>
  <c r="J73" i="55"/>
  <c r="P48" i="20"/>
  <c r="I9" i="50"/>
  <c r="K101" i="55"/>
  <c r="I101" i="55"/>
  <c r="I69" i="55"/>
  <c r="Z20" i="26"/>
  <c r="Y80" i="26"/>
  <c r="M30" i="26"/>
  <c r="K105" i="55"/>
  <c r="K121" i="55"/>
  <c r="H105" i="55"/>
  <c r="D112" i="55"/>
  <c r="D80" i="55"/>
  <c r="K114" i="55"/>
  <c r="E126" i="55"/>
  <c r="E94" i="55"/>
  <c r="H96" i="55"/>
  <c r="H128" i="55"/>
  <c r="J107" i="55"/>
  <c r="J75" i="55"/>
  <c r="J120" i="55"/>
  <c r="J88" i="55"/>
  <c r="I128" i="55"/>
  <c r="I96" i="55"/>
  <c r="E112" i="55"/>
  <c r="E80" i="55"/>
  <c r="Z14" i="25"/>
  <c r="AA12" i="25"/>
  <c r="R20" i="25"/>
  <c r="R19" i="25"/>
  <c r="N19" i="74"/>
  <c r="N20" i="74"/>
  <c r="S19" i="25"/>
  <c r="S14" i="75" s="1"/>
  <c r="E69" i="55"/>
  <c r="E75" i="55"/>
  <c r="E102" i="55"/>
  <c r="H14" i="75"/>
  <c r="H14" i="59"/>
  <c r="T20" i="25"/>
  <c r="P20" i="74"/>
  <c r="V12" i="74"/>
  <c r="V15" i="74"/>
  <c r="W15" i="74" s="1"/>
  <c r="X15" i="74" s="1"/>
  <c r="Y15" i="74" s="1"/>
  <c r="Z15" i="74" s="1"/>
  <c r="AA15" i="74" s="1"/>
  <c r="AB15" i="74" s="1"/>
  <c r="AC15" i="74" s="1"/>
  <c r="AB79" i="26"/>
  <c r="AH40" i="20"/>
  <c r="S13" i="30"/>
  <c r="S12" i="30" s="1"/>
  <c r="AA17" i="30"/>
  <c r="F20" i="25"/>
  <c r="F19" i="25"/>
  <c r="F75" i="55"/>
  <c r="J96" i="55"/>
  <c r="I20" i="25"/>
  <c r="I19" i="25"/>
  <c r="U20" i="25"/>
  <c r="U19" i="25" s="1"/>
  <c r="Z15" i="25"/>
  <c r="AA15" i="25" s="1"/>
  <c r="AB15" i="25" s="1"/>
  <c r="AC15" i="25" s="1"/>
  <c r="AD15" i="25" s="1"/>
  <c r="Z16" i="25"/>
  <c r="AA16" i="25" s="1"/>
  <c r="AB16" i="25" s="1"/>
  <c r="AC16" i="25" s="1"/>
  <c r="AD16" i="25" s="1"/>
  <c r="Z17" i="25"/>
  <c r="AA17" i="25" s="1"/>
  <c r="AB17" i="25" s="1"/>
  <c r="AC17" i="25" s="1"/>
  <c r="AD17" i="25" s="1"/>
  <c r="H19" i="25"/>
  <c r="J20" i="26"/>
  <c r="J80" i="26" s="1"/>
  <c r="AH14" i="26"/>
  <c r="J77" i="26"/>
  <c r="D48" i="26"/>
  <c r="E48" i="26" s="1"/>
  <c r="Q34" i="26"/>
  <c r="Q16" i="26" s="1"/>
  <c r="Q79" i="26" s="1"/>
  <c r="P34" i="26"/>
  <c r="P16" i="26" s="1"/>
  <c r="P79" i="26" s="1"/>
  <c r="O34" i="26"/>
  <c r="O16" i="26" s="1"/>
  <c r="O79" i="26" s="1"/>
  <c r="N34" i="26"/>
  <c r="N16" i="26" s="1"/>
  <c r="N79" i="26" s="1"/>
  <c r="M34" i="26"/>
  <c r="X34" i="26"/>
  <c r="X16" i="26" s="1"/>
  <c r="X79" i="26" s="1"/>
  <c r="W34" i="26"/>
  <c r="W16" i="26" s="1"/>
  <c r="W79" i="26" s="1"/>
  <c r="V34" i="26"/>
  <c r="V16" i="26" s="1"/>
  <c r="V79" i="26" s="1"/>
  <c r="U34" i="26"/>
  <c r="U16" i="26" s="1"/>
  <c r="U79" i="26" s="1"/>
  <c r="S34" i="26"/>
  <c r="S16" i="26" s="1"/>
  <c r="S79" i="26" s="1"/>
  <c r="K96" i="55"/>
  <c r="J20" i="25"/>
  <c r="Y13" i="25"/>
  <c r="F20" i="74"/>
  <c r="F19" i="74"/>
  <c r="R20" i="74"/>
  <c r="R19" i="74" s="1"/>
  <c r="Z11" i="26"/>
  <c r="AD79" i="26"/>
  <c r="Q36" i="26"/>
  <c r="C64" i="26"/>
  <c r="I13" i="30"/>
  <c r="I12" i="30" s="1"/>
  <c r="I15" i="30"/>
  <c r="AD53" i="30"/>
  <c r="M17" i="75"/>
  <c r="M17" i="59"/>
  <c r="M15" i="33"/>
  <c r="Y17" i="75"/>
  <c r="Y15" i="33"/>
  <c r="Y17" i="59"/>
  <c r="Z10" i="33"/>
  <c r="H75" i="55"/>
  <c r="D86" i="55"/>
  <c r="H95" i="55"/>
  <c r="U92" i="80"/>
  <c r="R93" i="80" s="1"/>
  <c r="S20" i="74"/>
  <c r="L75" i="26"/>
  <c r="L20" i="25"/>
  <c r="H20" i="74"/>
  <c r="H19" i="74"/>
  <c r="T20" i="74"/>
  <c r="T19" i="74"/>
  <c r="V17" i="74"/>
  <c r="W17" i="74" s="1"/>
  <c r="X17" i="74" s="1"/>
  <c r="Y17" i="74" s="1"/>
  <c r="Z17" i="74" s="1"/>
  <c r="AA17" i="74" s="1"/>
  <c r="AB17" i="74" s="1"/>
  <c r="AC17" i="74" s="1"/>
  <c r="S35" i="26"/>
  <c r="E46" i="26"/>
  <c r="L27" i="49"/>
  <c r="X45" i="75"/>
  <c r="X37" i="59"/>
  <c r="E47" i="26"/>
  <c r="D125" i="55"/>
  <c r="M19" i="25"/>
  <c r="M14" i="75" s="1"/>
  <c r="U19" i="74"/>
  <c r="C51" i="26"/>
  <c r="C45" i="26" s="1"/>
  <c r="M12" i="30"/>
  <c r="AH36" i="26"/>
  <c r="AI19" i="26" s="1"/>
  <c r="N143" i="48"/>
  <c r="N115" i="48"/>
  <c r="H95" i="48" s="1"/>
  <c r="G80" i="55"/>
  <c r="G94" i="55"/>
  <c r="K95" i="55"/>
  <c r="E111" i="55"/>
  <c r="E125" i="55"/>
  <c r="N20" i="25"/>
  <c r="O13" i="74"/>
  <c r="O20" i="74" s="1"/>
  <c r="O19" i="74" s="1"/>
  <c r="J26" i="26"/>
  <c r="AH33" i="26"/>
  <c r="R34" i="26"/>
  <c r="R16" i="26" s="1"/>
  <c r="R79" i="26" s="1"/>
  <c r="U35" i="26"/>
  <c r="U13" i="26"/>
  <c r="U83" i="26" s="1"/>
  <c r="N29" i="49"/>
  <c r="H80" i="55"/>
  <c r="O20" i="25"/>
  <c r="O19" i="25"/>
  <c r="G20" i="25"/>
  <c r="G19" i="25" s="1"/>
  <c r="K20" i="26"/>
  <c r="K80" i="26" s="1"/>
  <c r="K75" i="26" s="1"/>
  <c r="J83" i="26"/>
  <c r="D47" i="26"/>
  <c r="AJ13" i="26"/>
  <c r="I45" i="75"/>
  <c r="I37" i="59"/>
  <c r="I30" i="49"/>
  <c r="I80" i="55"/>
  <c r="I94" i="55"/>
  <c r="D20" i="25"/>
  <c r="D19" i="25"/>
  <c r="P20" i="25"/>
  <c r="P19" i="25"/>
  <c r="K20" i="25"/>
  <c r="L20" i="74"/>
  <c r="L19" i="74" s="1"/>
  <c r="M13" i="74"/>
  <c r="M20" i="74" s="1"/>
  <c r="M19" i="74" s="1"/>
  <c r="V16" i="74"/>
  <c r="W16" i="74" s="1"/>
  <c r="X16" i="74" s="1"/>
  <c r="Y16" i="74" s="1"/>
  <c r="Z16" i="74" s="1"/>
  <c r="AA16" i="74" s="1"/>
  <c r="AB16" i="74" s="1"/>
  <c r="AC16" i="74" s="1"/>
  <c r="W35" i="26"/>
  <c r="W13" i="26"/>
  <c r="W83" i="26" s="1"/>
  <c r="AC11" i="20"/>
  <c r="D19" i="74"/>
  <c r="P19" i="74"/>
  <c r="M29" i="49"/>
  <c r="M27" i="49"/>
  <c r="Y45" i="75"/>
  <c r="Y37" i="59"/>
  <c r="L30" i="59"/>
  <c r="E5" i="50" s="1"/>
  <c r="H50" i="20"/>
  <c r="H12" i="20" s="1"/>
  <c r="J13" i="30"/>
  <c r="J12" i="30" s="1"/>
  <c r="J15" i="30"/>
  <c r="O45" i="75"/>
  <c r="O37" i="59"/>
  <c r="O30" i="49"/>
  <c r="P29" i="49"/>
  <c r="P30" i="49" s="1"/>
  <c r="K45" i="75"/>
  <c r="K37" i="59"/>
  <c r="K38" i="59" s="1"/>
  <c r="G19" i="74"/>
  <c r="S19" i="74"/>
  <c r="X13" i="26"/>
  <c r="X83" i="26" s="1"/>
  <c r="X32" i="26"/>
  <c r="R96" i="26"/>
  <c r="V96" i="26"/>
  <c r="K48" i="20"/>
  <c r="D45" i="75"/>
  <c r="D46" i="75" s="1"/>
  <c r="D37" i="59"/>
  <c r="D30" i="49"/>
  <c r="P45" i="75"/>
  <c r="P46" i="75" s="1"/>
  <c r="P37" i="59"/>
  <c r="M32" i="26"/>
  <c r="AH32" i="26" s="1"/>
  <c r="O26" i="20"/>
  <c r="O30" i="30"/>
  <c r="O29" i="30" s="1"/>
  <c r="E45" i="75"/>
  <c r="E46" i="75" s="1"/>
  <c r="E48" i="75" s="1"/>
  <c r="E37" i="59"/>
  <c r="E30" i="49"/>
  <c r="Q45" i="75"/>
  <c r="Q46" i="75" s="1"/>
  <c r="Q37" i="59"/>
  <c r="Q30" i="49"/>
  <c r="U45" i="75"/>
  <c r="U37" i="59"/>
  <c r="U29" i="49"/>
  <c r="U30" i="49" s="1"/>
  <c r="AA13" i="33"/>
  <c r="Z13" i="33"/>
  <c r="Y13" i="33"/>
  <c r="X13" i="33"/>
  <c r="X96" i="26"/>
  <c r="AG96" i="26"/>
  <c r="P26" i="20"/>
  <c r="L15" i="30"/>
  <c r="M13" i="30"/>
  <c r="M15" i="30"/>
  <c r="F37" i="59"/>
  <c r="F38" i="59" s="1"/>
  <c r="F45" i="75"/>
  <c r="F46" i="75" s="1"/>
  <c r="F48" i="75" s="1"/>
  <c r="R45" i="75"/>
  <c r="R46" i="75" s="1"/>
  <c r="R48" i="75" s="1"/>
  <c r="R37" i="59"/>
  <c r="R38" i="59" s="1"/>
  <c r="C18" i="49"/>
  <c r="C19" i="49" s="1"/>
  <c r="F18" i="49"/>
  <c r="F19" i="49" s="1"/>
  <c r="W45" i="75"/>
  <c r="W37" i="59"/>
  <c r="W29" i="49"/>
  <c r="W30" i="49" s="1"/>
  <c r="I26" i="33"/>
  <c r="N52" i="59"/>
  <c r="N50" i="59"/>
  <c r="N26" i="59" s="1"/>
  <c r="J19" i="74"/>
  <c r="O32" i="26"/>
  <c r="C58" i="26"/>
  <c r="C53" i="26" s="1"/>
  <c r="I50" i="20"/>
  <c r="I12" i="20" s="1"/>
  <c r="W96" i="26"/>
  <c r="Q26" i="20"/>
  <c r="AM37" i="20"/>
  <c r="G37" i="59"/>
  <c r="G45" i="75"/>
  <c r="G46" i="75" s="1"/>
  <c r="G48" i="75" s="1"/>
  <c r="G30" i="49"/>
  <c r="S45" i="75"/>
  <c r="S46" i="75" s="1"/>
  <c r="S37" i="59"/>
  <c r="S29" i="49"/>
  <c r="S30" i="49" s="1"/>
  <c r="F99" i="59"/>
  <c r="AI13" i="33"/>
  <c r="AF13" i="33"/>
  <c r="K46" i="30"/>
  <c r="K12" i="30"/>
  <c r="H45" i="75"/>
  <c r="H46" i="75" s="1"/>
  <c r="H48" i="75" s="1"/>
  <c r="H30" i="49"/>
  <c r="H37" i="59"/>
  <c r="H38" i="59" s="1"/>
  <c r="H40" i="59" s="1"/>
  <c r="T45" i="75"/>
  <c r="T37" i="59"/>
  <c r="T38" i="59" s="1"/>
  <c r="T29" i="49"/>
  <c r="T30" i="49" s="1"/>
  <c r="K85" i="75"/>
  <c r="K87" i="75"/>
  <c r="AC13" i="26"/>
  <c r="AC96" i="26"/>
  <c r="AA96" i="26"/>
  <c r="AO37" i="20"/>
  <c r="J17" i="59"/>
  <c r="J17" i="75"/>
  <c r="J15" i="33"/>
  <c r="V17" i="59"/>
  <c r="V15" i="33"/>
  <c r="V17" i="75"/>
  <c r="AB96" i="26"/>
  <c r="R27" i="20"/>
  <c r="M46" i="30"/>
  <c r="Y46" i="30"/>
  <c r="C6" i="35" s="1"/>
  <c r="D8" i="55" s="1"/>
  <c r="AD51" i="30"/>
  <c r="N13" i="30"/>
  <c r="N15" i="30"/>
  <c r="J29" i="49"/>
  <c r="J27" i="49"/>
  <c r="V45" i="75"/>
  <c r="V37" i="59"/>
  <c r="V29" i="49"/>
  <c r="V30" i="49"/>
  <c r="L12" i="49"/>
  <c r="D18" i="49" s="1"/>
  <c r="D19" i="49" s="1"/>
  <c r="X12" i="49"/>
  <c r="X29" i="49" s="1"/>
  <c r="X30" i="49" s="1"/>
  <c r="AE96" i="26"/>
  <c r="I27" i="20"/>
  <c r="U27" i="20"/>
  <c r="U26" i="20"/>
  <c r="AE38" i="20"/>
  <c r="N46" i="30"/>
  <c r="N12" i="30"/>
  <c r="K29" i="49"/>
  <c r="K30" i="49" s="1"/>
  <c r="M12" i="49"/>
  <c r="Y12" i="49"/>
  <c r="D134" i="75"/>
  <c r="D131" i="75"/>
  <c r="D132" i="75" s="1"/>
  <c r="D99" i="59"/>
  <c r="D96" i="59"/>
  <c r="D97" i="59" s="1"/>
  <c r="L17" i="75"/>
  <c r="E25" i="33"/>
  <c r="L15" i="33"/>
  <c r="L17" i="59"/>
  <c r="X15" i="33"/>
  <c r="X17" i="75"/>
  <c r="X17" i="59"/>
  <c r="E22" i="33"/>
  <c r="H12" i="30"/>
  <c r="K17" i="59"/>
  <c r="K17" i="75"/>
  <c r="W17" i="59"/>
  <c r="W17" i="75"/>
  <c r="O17" i="59"/>
  <c r="I38" i="59"/>
  <c r="O50" i="59"/>
  <c r="O26" i="59" s="1"/>
  <c r="O52" i="59"/>
  <c r="F12" i="49"/>
  <c r="F29" i="49" s="1"/>
  <c r="F30" i="49" s="1"/>
  <c r="R12" i="49"/>
  <c r="R29" i="49" s="1"/>
  <c r="R30" i="49" s="1"/>
  <c r="G29" i="49"/>
  <c r="N17" i="75"/>
  <c r="N15" i="33"/>
  <c r="T15" i="33"/>
  <c r="C25" i="33"/>
  <c r="R50" i="59"/>
  <c r="R26" i="59" s="1"/>
  <c r="F96" i="59"/>
  <c r="F97" i="59" s="1"/>
  <c r="AD130" i="48"/>
  <c r="AE130" i="48" s="1"/>
  <c r="AC24" i="48"/>
  <c r="S26" i="20"/>
  <c r="L12" i="30"/>
  <c r="N27" i="49"/>
  <c r="H29" i="49"/>
  <c r="E15" i="33"/>
  <c r="U15" i="33"/>
  <c r="G22" i="33"/>
  <c r="D25" i="33"/>
  <c r="S52" i="59"/>
  <c r="AA70" i="59"/>
  <c r="V76" i="59" s="1"/>
  <c r="AA69" i="59"/>
  <c r="AA71" i="59" s="1"/>
  <c r="I119" i="48"/>
  <c r="I137" i="48" s="1"/>
  <c r="I124" i="48"/>
  <c r="I138" i="48"/>
  <c r="U119" i="48"/>
  <c r="U128" i="48" s="1"/>
  <c r="U124" i="48"/>
  <c r="U114" i="48" s="1"/>
  <c r="M139" i="48"/>
  <c r="M119" i="48"/>
  <c r="Z21" i="48"/>
  <c r="Z27" i="48" s="1"/>
  <c r="R140" i="48"/>
  <c r="Q140" i="48"/>
  <c r="Q119" i="48"/>
  <c r="Q137" i="48" s="1"/>
  <c r="E134" i="75"/>
  <c r="E131" i="75"/>
  <c r="E132" i="75" s="1"/>
  <c r="P17" i="75"/>
  <c r="E99" i="59"/>
  <c r="E96" i="59"/>
  <c r="E97" i="59" s="1"/>
  <c r="P15" i="33"/>
  <c r="F26" i="33"/>
  <c r="P52" i="59"/>
  <c r="W50" i="59"/>
  <c r="W26" i="59" s="1"/>
  <c r="K50" i="59"/>
  <c r="K26" i="59" s="1"/>
  <c r="K64" i="59" s="1"/>
  <c r="X52" i="59"/>
  <c r="L52" i="59"/>
  <c r="J50" i="59"/>
  <c r="J26" i="59" s="1"/>
  <c r="J64" i="59" s="1"/>
  <c r="V52" i="59"/>
  <c r="J52" i="59"/>
  <c r="T52" i="59"/>
  <c r="Q17" i="75"/>
  <c r="Q17" i="59"/>
  <c r="W15" i="33"/>
  <c r="D64" i="59"/>
  <c r="O38" i="59"/>
  <c r="S50" i="59"/>
  <c r="S26" i="59" s="1"/>
  <c r="V26" i="20"/>
  <c r="H27" i="20"/>
  <c r="F17" i="59"/>
  <c r="F17" i="75"/>
  <c r="R17" i="75"/>
  <c r="R17" i="59"/>
  <c r="D98" i="59"/>
  <c r="D102" i="59" s="1"/>
  <c r="D17" i="59"/>
  <c r="D38" i="59"/>
  <c r="P38" i="59"/>
  <c r="T50" i="59"/>
  <c r="T26" i="59" s="1"/>
  <c r="G64" i="59"/>
  <c r="J28" i="75"/>
  <c r="I46" i="75"/>
  <c r="G15" i="33"/>
  <c r="S15" i="33"/>
  <c r="S17" i="75"/>
  <c r="G17" i="59"/>
  <c r="E38" i="59"/>
  <c r="E40" i="59" s="1"/>
  <c r="Q38" i="59"/>
  <c r="U50" i="59"/>
  <c r="U26" i="59" s="1"/>
  <c r="X26" i="20"/>
  <c r="H17" i="59"/>
  <c r="H17" i="75"/>
  <c r="F134" i="75"/>
  <c r="F131" i="75"/>
  <c r="F132" i="75" s="1"/>
  <c r="T17" i="75"/>
  <c r="T17" i="59"/>
  <c r="K15" i="33"/>
  <c r="I64" i="59"/>
  <c r="I66" i="48"/>
  <c r="I73" i="48" s="1"/>
  <c r="J34" i="48"/>
  <c r="I17" i="75"/>
  <c r="I17" i="59"/>
  <c r="U17" i="75"/>
  <c r="U17" i="59"/>
  <c r="G38" i="59"/>
  <c r="G40" i="59" s="1"/>
  <c r="S38" i="59"/>
  <c r="S40" i="59" s="1"/>
  <c r="M50" i="59"/>
  <c r="M26" i="59" s="1"/>
  <c r="M52" i="59"/>
  <c r="Y50" i="59"/>
  <c r="Y52" i="59"/>
  <c r="X104" i="75"/>
  <c r="X106" i="75" s="1"/>
  <c r="X105" i="75"/>
  <c r="J32" i="48"/>
  <c r="I64" i="48"/>
  <c r="I71" i="48" s="1"/>
  <c r="T46" i="75"/>
  <c r="O143" i="48"/>
  <c r="V50" i="59"/>
  <c r="V26" i="59" s="1"/>
  <c r="P26" i="48"/>
  <c r="R116" i="48"/>
  <c r="J95" i="48"/>
  <c r="K95" i="48" s="1"/>
  <c r="L95" i="48" s="1"/>
  <c r="Q17" i="40"/>
  <c r="Q15" i="40"/>
  <c r="K46" i="75"/>
  <c r="L50" i="59"/>
  <c r="L26" i="59" s="1"/>
  <c r="L64" i="59" s="1"/>
  <c r="H99" i="75"/>
  <c r="Q45" i="38"/>
  <c r="I99" i="75"/>
  <c r="G38" i="75"/>
  <c r="G99" i="75"/>
  <c r="T34" i="75"/>
  <c r="T24" i="75"/>
  <c r="I31" i="48"/>
  <c r="M128" i="48"/>
  <c r="Y128" i="48"/>
  <c r="Z128" i="48" s="1"/>
  <c r="AA128" i="48" s="1"/>
  <c r="AB128" i="48" s="1"/>
  <c r="AC128" i="48" s="1"/>
  <c r="AD128" i="48" s="1"/>
  <c r="AE128" i="48" s="1"/>
  <c r="AF128" i="48" s="1"/>
  <c r="AG128" i="48" s="1"/>
  <c r="AG21" i="48" s="1"/>
  <c r="O28" i="48"/>
  <c r="O129" i="48"/>
  <c r="Q27" i="48"/>
  <c r="Q9" i="48"/>
  <c r="G137" i="48"/>
  <c r="D30" i="59"/>
  <c r="Q52" i="59"/>
  <c r="O46" i="75"/>
  <c r="S114" i="48"/>
  <c r="H137" i="48"/>
  <c r="R52" i="59"/>
  <c r="L99" i="75"/>
  <c r="L24" i="75"/>
  <c r="L28" i="75" s="1"/>
  <c r="L116" i="48"/>
  <c r="H34" i="48"/>
  <c r="P19" i="48"/>
  <c r="E133" i="75"/>
  <c r="E137" i="75" s="1"/>
  <c r="I34" i="75"/>
  <c r="I24" i="75"/>
  <c r="I28" i="75" s="1"/>
  <c r="U34" i="75"/>
  <c r="U24" i="75"/>
  <c r="S21" i="78"/>
  <c r="S14" i="78"/>
  <c r="L10" i="50" s="1"/>
  <c r="AB23" i="78"/>
  <c r="AC23" i="78" s="1"/>
  <c r="AD23" i="78" s="1"/>
  <c r="AE23" i="78" s="1"/>
  <c r="AF23" i="78" s="1"/>
  <c r="AG23" i="78" s="1"/>
  <c r="Y116" i="48"/>
  <c r="Z116" i="48" s="1"/>
  <c r="AA116" i="48" s="1"/>
  <c r="AB116" i="48" s="1"/>
  <c r="AC116" i="48" s="1"/>
  <c r="AD116" i="48" s="1"/>
  <c r="AE116" i="48" s="1"/>
  <c r="AF116" i="48" s="1"/>
  <c r="AG116" i="48" s="1"/>
  <c r="Q19" i="48"/>
  <c r="N24" i="75"/>
  <c r="O34" i="75"/>
  <c r="O24" i="75"/>
  <c r="J34" i="75"/>
  <c r="J99" i="75" s="1"/>
  <c r="J24" i="75"/>
  <c r="W85" i="75"/>
  <c r="V34" i="75"/>
  <c r="V24" i="75"/>
  <c r="AB129" i="48"/>
  <c r="AA23" i="48"/>
  <c r="R27" i="48"/>
  <c r="R112" i="48"/>
  <c r="Q114" i="48"/>
  <c r="Q28" i="48"/>
  <c r="I33" i="48"/>
  <c r="P115" i="48"/>
  <c r="F19" i="48"/>
  <c r="F128" i="48"/>
  <c r="R19" i="48"/>
  <c r="R128" i="48"/>
  <c r="L16" i="38"/>
  <c r="S17" i="38"/>
  <c r="J27" i="76"/>
  <c r="I27" i="76"/>
  <c r="R9" i="48"/>
  <c r="R26" i="48" s="1"/>
  <c r="R114" i="48"/>
  <c r="V28" i="48"/>
  <c r="G96" i="48"/>
  <c r="K138" i="48"/>
  <c r="K124" i="48"/>
  <c r="K142" i="48" s="1"/>
  <c r="Z25" i="48"/>
  <c r="D22" i="35" s="1"/>
  <c r="E24" i="55" s="1"/>
  <c r="AF25" i="48"/>
  <c r="J22" i="35" s="1"/>
  <c r="K24" i="55" s="1"/>
  <c r="AD25" i="48"/>
  <c r="H22" i="35" s="1"/>
  <c r="I24" i="55" s="1"/>
  <c r="AC25" i="48"/>
  <c r="G22" i="35" s="1"/>
  <c r="H24" i="55" s="1"/>
  <c r="AD52" i="70"/>
  <c r="AD20" i="70" s="1"/>
  <c r="AD27" i="70" s="1"/>
  <c r="G6" i="71" s="1"/>
  <c r="AD18" i="70"/>
  <c r="AD26" i="70" s="1"/>
  <c r="G5" i="71" s="1"/>
  <c r="AF46" i="70"/>
  <c r="AE46" i="70"/>
  <c r="AC48" i="70"/>
  <c r="AB48" i="70"/>
  <c r="Z51" i="70"/>
  <c r="Z16" i="70"/>
  <c r="Z25" i="70" s="1"/>
  <c r="C4" i="71" s="1"/>
  <c r="S85" i="75"/>
  <c r="L87" i="75"/>
  <c r="S26" i="48"/>
  <c r="S129" i="48"/>
  <c r="Y28" i="48"/>
  <c r="H33" i="48"/>
  <c r="I112" i="48"/>
  <c r="J114" i="48"/>
  <c r="Q116" i="48"/>
  <c r="N119" i="48"/>
  <c r="N137" i="48" s="1"/>
  <c r="P139" i="48"/>
  <c r="R143" i="48"/>
  <c r="H114" i="48"/>
  <c r="H28" i="48"/>
  <c r="G32" i="48"/>
  <c r="G64" i="48" s="1"/>
  <c r="G71" i="48" s="1"/>
  <c r="G94" i="48" s="1"/>
  <c r="T114" i="48"/>
  <c r="T28" i="48"/>
  <c r="H129" i="48"/>
  <c r="T129" i="48"/>
  <c r="G27" i="48"/>
  <c r="G95" i="48"/>
  <c r="M114" i="48"/>
  <c r="N87" i="75"/>
  <c r="V9" i="48"/>
  <c r="V26" i="48" s="1"/>
  <c r="V112" i="48"/>
  <c r="G33" i="48"/>
  <c r="G65" i="48" s="1"/>
  <c r="G72" i="48" s="1"/>
  <c r="I95" i="48" s="1"/>
  <c r="U131" i="48"/>
  <c r="S119" i="48"/>
  <c r="G142" i="48"/>
  <c r="F129" i="48"/>
  <c r="P34" i="38"/>
  <c r="T14" i="78"/>
  <c r="M10" i="50" s="1"/>
  <c r="F9" i="48"/>
  <c r="Y9" i="48"/>
  <c r="K9" i="48"/>
  <c r="W9" i="48"/>
  <c r="W26" i="48" s="1"/>
  <c r="G19" i="48"/>
  <c r="G26" i="48" s="1"/>
  <c r="W19" i="48"/>
  <c r="K128" i="48"/>
  <c r="W128" i="48"/>
  <c r="V129" i="48"/>
  <c r="K27" i="48"/>
  <c r="O138" i="48"/>
  <c r="O119" i="48"/>
  <c r="O137" i="48" s="1"/>
  <c r="P138" i="48"/>
  <c r="J144" i="48"/>
  <c r="L9" i="48"/>
  <c r="L26" i="48" s="1"/>
  <c r="H31" i="48"/>
  <c r="L27" i="48"/>
  <c r="X9" i="48"/>
  <c r="X26" i="48" s="1"/>
  <c r="X27" i="48"/>
  <c r="K28" i="48"/>
  <c r="W28" i="48"/>
  <c r="W114" i="48"/>
  <c r="K129" i="48"/>
  <c r="W119" i="48"/>
  <c r="J142" i="48"/>
  <c r="M112" i="48"/>
  <c r="Y112" i="48"/>
  <c r="Z112" i="48" s="1"/>
  <c r="AA112" i="48" s="1"/>
  <c r="AB112" i="48" s="1"/>
  <c r="AC112" i="48" s="1"/>
  <c r="AD112" i="48" s="1"/>
  <c r="AE112" i="48" s="1"/>
  <c r="AF112" i="48" s="1"/>
  <c r="AG112" i="48" s="1"/>
  <c r="G31" i="48"/>
  <c r="G63" i="48" s="1"/>
  <c r="G70" i="48" s="1"/>
  <c r="G93" i="48" s="1"/>
  <c r="L143" i="48"/>
  <c r="K143" i="48"/>
  <c r="H139" i="48"/>
  <c r="P28" i="38"/>
  <c r="R37" i="38"/>
  <c r="N9" i="48"/>
  <c r="N26" i="48" s="1"/>
  <c r="N112" i="48"/>
  <c r="H93" i="48" s="1"/>
  <c r="I93" i="48" s="1"/>
  <c r="J93" i="48" s="1"/>
  <c r="K93" i="48" s="1"/>
  <c r="L93" i="48" s="1"/>
  <c r="N128" i="48"/>
  <c r="W112" i="48"/>
  <c r="Y114" i="48"/>
  <c r="Z114" i="48" s="1"/>
  <c r="AA114" i="48" s="1"/>
  <c r="AB114" i="48" s="1"/>
  <c r="AC114" i="48" s="1"/>
  <c r="AD114" i="48" s="1"/>
  <c r="AE114" i="48" s="1"/>
  <c r="AF114" i="48" s="1"/>
  <c r="AG114" i="48" s="1"/>
  <c r="F124" i="48"/>
  <c r="F119" i="48"/>
  <c r="R138" i="48"/>
  <c r="R124" i="48"/>
  <c r="R142" i="48" s="1"/>
  <c r="R119" i="48"/>
  <c r="J119" i="48"/>
  <c r="J139" i="48"/>
  <c r="O142" i="48"/>
  <c r="R129" i="48"/>
  <c r="M22" i="38"/>
  <c r="N22" i="38" s="1"/>
  <c r="S29" i="38"/>
  <c r="O28" i="38"/>
  <c r="Y14" i="78"/>
  <c r="M9" i="48"/>
  <c r="M26" i="48" s="1"/>
  <c r="AA10" i="48"/>
  <c r="N28" i="48"/>
  <c r="N114" i="48"/>
  <c r="H94" i="48" s="1"/>
  <c r="I94" i="48" s="1"/>
  <c r="J94" i="48" s="1"/>
  <c r="K94" i="48" s="1"/>
  <c r="L94" i="48" s="1"/>
  <c r="K19" i="48"/>
  <c r="O19" i="48"/>
  <c r="O26" i="48" s="1"/>
  <c r="N129" i="48"/>
  <c r="N130" i="48"/>
  <c r="Z24" i="48"/>
  <c r="AA25" i="48"/>
  <c r="E22" i="35" s="1"/>
  <c r="F24" i="55" s="1"/>
  <c r="X112" i="48"/>
  <c r="G138" i="48"/>
  <c r="S138" i="48"/>
  <c r="P142" i="48"/>
  <c r="AD24" i="48"/>
  <c r="AB24" i="48"/>
  <c r="AA24" i="48"/>
  <c r="O23" i="38"/>
  <c r="N23" i="38"/>
  <c r="K56" i="38"/>
  <c r="M48" i="38"/>
  <c r="T15" i="40"/>
  <c r="T17" i="40"/>
  <c r="Q131" i="48"/>
  <c r="K139" i="48"/>
  <c r="G141" i="48"/>
  <c r="S141" i="48"/>
  <c r="G144" i="48"/>
  <c r="S144" i="48"/>
  <c r="AC18" i="70"/>
  <c r="AC26" i="70" s="1"/>
  <c r="F5" i="71" s="1"/>
  <c r="M23" i="38"/>
  <c r="Q39" i="38"/>
  <c r="R39" i="38" s="1"/>
  <c r="J16" i="40"/>
  <c r="K14" i="40"/>
  <c r="K15" i="40" s="1"/>
  <c r="I32" i="76"/>
  <c r="J32" i="76" s="1"/>
  <c r="L32" i="76" s="1"/>
  <c r="F131" i="48"/>
  <c r="R131" i="48"/>
  <c r="H32" i="48"/>
  <c r="L114" i="48"/>
  <c r="P119" i="48"/>
  <c r="P112" i="48" s="1"/>
  <c r="L139" i="48"/>
  <c r="P140" i="48"/>
  <c r="X124" i="48"/>
  <c r="X114" i="48" s="1"/>
  <c r="H144" i="48"/>
  <c r="L128" i="48"/>
  <c r="X128" i="48"/>
  <c r="P39" i="38"/>
  <c r="J67" i="38"/>
  <c r="N56" i="38"/>
  <c r="P48" i="38"/>
  <c r="J15" i="40"/>
  <c r="J14" i="40"/>
  <c r="K16" i="40"/>
  <c r="L14" i="40"/>
  <c r="L17" i="40"/>
  <c r="J28" i="76"/>
  <c r="I28" i="76"/>
  <c r="M24" i="38"/>
  <c r="S25" i="38"/>
  <c r="J56" i="38"/>
  <c r="K69" i="38"/>
  <c r="K66" i="38"/>
  <c r="L16" i="40"/>
  <c r="M17" i="40"/>
  <c r="L38" i="76"/>
  <c r="K38" i="76"/>
  <c r="M38" i="76" s="1"/>
  <c r="H9" i="48"/>
  <c r="H26" i="48" s="1"/>
  <c r="T9" i="48"/>
  <c r="T26" i="48" s="1"/>
  <c r="J138" i="48"/>
  <c r="N139" i="48"/>
  <c r="J141" i="48"/>
  <c r="N124" i="48"/>
  <c r="N142" i="48" s="1"/>
  <c r="AA49" i="70"/>
  <c r="P30" i="38"/>
  <c r="P36" i="38"/>
  <c r="L15" i="40"/>
  <c r="M16" i="40"/>
  <c r="N17" i="40"/>
  <c r="K21" i="21"/>
  <c r="C14" i="76"/>
  <c r="D13" i="76"/>
  <c r="Q41" i="38"/>
  <c r="L56" i="38"/>
  <c r="I69" i="38"/>
  <c r="I66" i="38"/>
  <c r="I30" i="76"/>
  <c r="J30" i="76" s="1"/>
  <c r="I21" i="21"/>
  <c r="L138" i="48"/>
  <c r="H140" i="48"/>
  <c r="L141" i="48"/>
  <c r="H143" i="48"/>
  <c r="L144" i="48"/>
  <c r="AF16" i="70"/>
  <c r="AF25" i="70" s="1"/>
  <c r="I4" i="71" s="1"/>
  <c r="AF51" i="70"/>
  <c r="N15" i="40"/>
  <c r="O14" i="40"/>
  <c r="O16" i="40"/>
  <c r="P14" i="40"/>
  <c r="P16" i="40" s="1"/>
  <c r="M138" i="48"/>
  <c r="Q139" i="48"/>
  <c r="I143" i="48"/>
  <c r="J70" i="38"/>
  <c r="S17" i="40"/>
  <c r="P27" i="48"/>
  <c r="H138" i="48"/>
  <c r="M15" i="38"/>
  <c r="P32" i="38"/>
  <c r="Q43" i="38"/>
  <c r="K70" i="38"/>
  <c r="P15" i="40"/>
  <c r="Q16" i="40"/>
  <c r="J31" i="76"/>
  <c r="J36" i="76"/>
  <c r="L37" i="76" s="1"/>
  <c r="Q27" i="38"/>
  <c r="G29" i="76"/>
  <c r="H29" i="76" s="1"/>
  <c r="L119" i="48"/>
  <c r="L137" i="48" s="1"/>
  <c r="L140" i="48"/>
  <c r="P144" i="48"/>
  <c r="AB51" i="70"/>
  <c r="J55" i="38"/>
  <c r="N14" i="40"/>
  <c r="N16" i="40" s="1"/>
  <c r="J39" i="76"/>
  <c r="M16" i="5"/>
  <c r="O3" i="21"/>
  <c r="E5" i="21"/>
  <c r="E12" i="21"/>
  <c r="E9" i="21"/>
  <c r="E7" i="21"/>
  <c r="E3" i="21"/>
  <c r="W3" i="21" s="1"/>
  <c r="E10" i="21"/>
  <c r="O39" i="26" s="1"/>
  <c r="E11" i="21"/>
  <c r="W11" i="21" s="1"/>
  <c r="O48" i="38"/>
  <c r="Q17" i="6"/>
  <c r="V16" i="6"/>
  <c r="T40" i="38"/>
  <c r="G42" i="76"/>
  <c r="H41" i="76"/>
  <c r="D46" i="76"/>
  <c r="G33" i="76" s="1"/>
  <c r="H33" i="76" s="1"/>
  <c r="B47" i="76"/>
  <c r="V3" i="21"/>
  <c r="F10" i="5"/>
  <c r="V5" i="21" s="1"/>
  <c r="AF24" i="59" s="1"/>
  <c r="N36" i="21"/>
  <c r="M36" i="21"/>
  <c r="L36" i="21"/>
  <c r="K36" i="21"/>
  <c r="V36" i="21"/>
  <c r="U36" i="21"/>
  <c r="T36" i="21"/>
  <c r="S36" i="21"/>
  <c r="R36" i="21"/>
  <c r="P36" i="21"/>
  <c r="J18" i="21"/>
  <c r="N19" i="21"/>
  <c r="T3" i="21"/>
  <c r="S3" i="21"/>
  <c r="R3" i="21"/>
  <c r="F9" i="5"/>
  <c r="F77" i="21"/>
  <c r="W10" i="21"/>
  <c r="I19" i="21"/>
  <c r="S37" i="30" s="1"/>
  <c r="Q3" i="21"/>
  <c r="F8" i="5"/>
  <c r="Q38" i="21"/>
  <c r="P38" i="21"/>
  <c r="O38" i="21"/>
  <c r="N38" i="21"/>
  <c r="M38" i="21"/>
  <c r="V38" i="21"/>
  <c r="U38" i="21"/>
  <c r="S38" i="21"/>
  <c r="P29" i="21"/>
  <c r="D29" i="21"/>
  <c r="D28" i="21" s="1"/>
  <c r="K19" i="21"/>
  <c r="U37" i="30" s="1"/>
  <c r="T38" i="21"/>
  <c r="O56" i="38"/>
  <c r="T16" i="40"/>
  <c r="K48" i="21"/>
  <c r="V48" i="21"/>
  <c r="J48" i="21"/>
  <c r="U48" i="21"/>
  <c r="I48" i="21"/>
  <c r="T48" i="21"/>
  <c r="H48" i="21"/>
  <c r="S48" i="21"/>
  <c r="G48" i="21"/>
  <c r="G47" i="21" s="1"/>
  <c r="R48" i="21"/>
  <c r="F48" i="21"/>
  <c r="F47" i="21" s="1"/>
  <c r="P85" i="26" s="1"/>
  <c r="Q48" i="21"/>
  <c r="E48" i="21"/>
  <c r="E47" i="21" s="1"/>
  <c r="O85" i="26" s="1"/>
  <c r="P48" i="21"/>
  <c r="D48" i="21"/>
  <c r="D47" i="21" s="1"/>
  <c r="N85" i="26" s="1"/>
  <c r="O48" i="21"/>
  <c r="M48" i="21"/>
  <c r="K3" i="21"/>
  <c r="J3" i="21"/>
  <c r="F7" i="5"/>
  <c r="M3" i="21"/>
  <c r="U4" i="21"/>
  <c r="AE25" i="59" s="1"/>
  <c r="AE30" i="59" s="1"/>
  <c r="I16" i="35" s="1"/>
  <c r="J18" i="55" s="1"/>
  <c r="T4" i="21"/>
  <c r="AD25" i="59" s="1"/>
  <c r="AD30" i="59" s="1"/>
  <c r="H16" i="35" s="1"/>
  <c r="I18" i="55" s="1"/>
  <c r="R4" i="21"/>
  <c r="C78" i="21"/>
  <c r="I20" i="21"/>
  <c r="S38" i="30" s="1"/>
  <c r="U39" i="21"/>
  <c r="N48" i="21"/>
  <c r="M16" i="38"/>
  <c r="N16" i="38" s="1"/>
  <c r="M21" i="38"/>
  <c r="N21" i="38" s="1"/>
  <c r="N24" i="38"/>
  <c r="O24" i="38" s="1"/>
  <c r="P37" i="38"/>
  <c r="H3" i="21"/>
  <c r="G3" i="21"/>
  <c r="F3" i="21"/>
  <c r="F6" i="5"/>
  <c r="N4" i="21"/>
  <c r="P4" i="21"/>
  <c r="I3" i="21"/>
  <c r="U3" i="21"/>
  <c r="H8" i="21"/>
  <c r="C82" i="21"/>
  <c r="K20" i="21"/>
  <c r="U38" i="30" s="1"/>
  <c r="AD75" i="30" s="1"/>
  <c r="AC16" i="70"/>
  <c r="AC25" i="70" s="1"/>
  <c r="F4" i="71" s="1"/>
  <c r="L11" i="38"/>
  <c r="N11" i="38" s="1"/>
  <c r="K17" i="40"/>
  <c r="M4" i="21"/>
  <c r="L4" i="21"/>
  <c r="K4" i="21"/>
  <c r="J4" i="21"/>
  <c r="Q6" i="21"/>
  <c r="AA45" i="30" s="1"/>
  <c r="E7" i="35" s="1"/>
  <c r="F9" i="55" s="1"/>
  <c r="P6" i="21"/>
  <c r="Z45" i="30" s="1"/>
  <c r="D7" i="35" s="1"/>
  <c r="E9" i="55" s="1"/>
  <c r="P24" i="21"/>
  <c r="O6" i="21"/>
  <c r="Y45" i="30" s="1"/>
  <c r="O24" i="21"/>
  <c r="N6" i="21"/>
  <c r="N24" i="21"/>
  <c r="N23" i="21"/>
  <c r="X41" i="30" s="1"/>
  <c r="X24" i="30" s="1"/>
  <c r="C16" i="5"/>
  <c r="C79" i="21"/>
  <c r="Q41" i="21"/>
  <c r="R41" i="21"/>
  <c r="D5" i="21"/>
  <c r="C5" i="21"/>
  <c r="F16" i="5"/>
  <c r="I4" i="21"/>
  <c r="H4" i="21"/>
  <c r="F4" i="21"/>
  <c r="L23" i="21"/>
  <c r="V41" i="30" s="1"/>
  <c r="V24" i="30" s="1"/>
  <c r="K23" i="21"/>
  <c r="U41" i="30" s="1"/>
  <c r="L18" i="21"/>
  <c r="M6" i="21"/>
  <c r="M19" i="21" s="1"/>
  <c r="W37" i="30" s="1"/>
  <c r="W20" i="30" s="1"/>
  <c r="L20" i="21"/>
  <c r="V38" i="30" s="1"/>
  <c r="K18" i="21"/>
  <c r="L6" i="21"/>
  <c r="L24" i="21" s="1"/>
  <c r="K24" i="21"/>
  <c r="J20" i="21"/>
  <c r="T38" i="30" s="1"/>
  <c r="J6" i="21"/>
  <c r="J23" i="21" s="1"/>
  <c r="T41" i="30" s="1"/>
  <c r="T24" i="30" s="1"/>
  <c r="O4" i="21"/>
  <c r="G76" i="21"/>
  <c r="K29" i="21"/>
  <c r="T41" i="21"/>
  <c r="T49" i="21"/>
  <c r="I40" i="76"/>
  <c r="J40" i="76" s="1"/>
  <c r="I24" i="21"/>
  <c r="H6" i="21"/>
  <c r="H19" i="21" s="1"/>
  <c r="R37" i="30" s="1"/>
  <c r="G19" i="21"/>
  <c r="Q37" i="30" s="1"/>
  <c r="F18" i="21"/>
  <c r="G6" i="21"/>
  <c r="G24" i="21"/>
  <c r="F19" i="21"/>
  <c r="P37" i="30" s="1"/>
  <c r="F6" i="21"/>
  <c r="F20" i="21" s="1"/>
  <c r="P38" i="30" s="1"/>
  <c r="F24" i="21"/>
  <c r="I23" i="21"/>
  <c r="S41" i="30" s="1"/>
  <c r="S24" i="30" s="1"/>
  <c r="S15" i="30" s="1"/>
  <c r="F23" i="21"/>
  <c r="P41" i="30" s="1"/>
  <c r="P24" i="30" s="1"/>
  <c r="P13" i="30" s="1"/>
  <c r="P12" i="30" s="1"/>
  <c r="I18" i="21"/>
  <c r="E6" i="21"/>
  <c r="Q4" i="21"/>
  <c r="G82" i="21"/>
  <c r="H16" i="5"/>
  <c r="D7" i="21"/>
  <c r="C7" i="21"/>
  <c r="S4" i="21"/>
  <c r="O36" i="21"/>
  <c r="E5" i="5"/>
  <c r="E4" i="21" s="1"/>
  <c r="M7" i="21"/>
  <c r="L13" i="21"/>
  <c r="L14" i="21" s="1"/>
  <c r="C14" i="21"/>
  <c r="J19" i="21"/>
  <c r="T37" i="30" s="1"/>
  <c r="M29" i="21"/>
  <c r="N31" i="21"/>
  <c r="J32" i="21"/>
  <c r="V32" i="21"/>
  <c r="S33" i="21"/>
  <c r="Q34" i="21"/>
  <c r="P35" i="21"/>
  <c r="Q37" i="21"/>
  <c r="V39" i="21"/>
  <c r="S41" i="21"/>
  <c r="T43" i="21"/>
  <c r="V51" i="21"/>
  <c r="C80" i="21"/>
  <c r="O7" i="21"/>
  <c r="W12" i="21"/>
  <c r="N13" i="21"/>
  <c r="L19" i="21"/>
  <c r="V37" i="30" s="1"/>
  <c r="V20" i="30" s="1"/>
  <c r="V13" i="30" s="1"/>
  <c r="V12" i="30" s="1"/>
  <c r="D23" i="21"/>
  <c r="N41" i="30" s="1"/>
  <c r="O29" i="21"/>
  <c r="P31" i="21"/>
  <c r="L32" i="21"/>
  <c r="I33" i="21"/>
  <c r="U33" i="21"/>
  <c r="S34" i="21"/>
  <c r="R35" i="21"/>
  <c r="S37" i="21"/>
  <c r="P40" i="21"/>
  <c r="U41" i="21"/>
  <c r="V43" i="21"/>
  <c r="Q40" i="21"/>
  <c r="D13" i="21"/>
  <c r="P13" i="21"/>
  <c r="P14" i="21" s="1"/>
  <c r="C21" i="21"/>
  <c r="M39" i="30" s="1"/>
  <c r="C24" i="21"/>
  <c r="M42" i="30" s="1"/>
  <c r="E29" i="21"/>
  <c r="Q29" i="21"/>
  <c r="F31" i="21"/>
  <c r="R31" i="21"/>
  <c r="N32" i="21"/>
  <c r="K33" i="21"/>
  <c r="I34" i="21"/>
  <c r="U34" i="21"/>
  <c r="T35" i="21"/>
  <c r="U37" i="21"/>
  <c r="N39" i="21"/>
  <c r="R40" i="21"/>
  <c r="Q42" i="21"/>
  <c r="T44" i="21"/>
  <c r="C76" i="21"/>
  <c r="F7" i="21"/>
  <c r="R7" i="21"/>
  <c r="G77" i="21" s="1"/>
  <c r="Q13" i="21"/>
  <c r="Q14" i="21" s="1"/>
  <c r="C19" i="21"/>
  <c r="M37" i="30" s="1"/>
  <c r="C20" i="21"/>
  <c r="M38" i="30" s="1"/>
  <c r="D21" i="21"/>
  <c r="D24" i="21"/>
  <c r="N42" i="30" s="1"/>
  <c r="F29" i="21"/>
  <c r="R29" i="21"/>
  <c r="G31" i="21"/>
  <c r="S31" i="21"/>
  <c r="O32" i="21"/>
  <c r="L33" i="21"/>
  <c r="J34" i="21"/>
  <c r="V34" i="21"/>
  <c r="U35" i="21"/>
  <c r="V37" i="21"/>
  <c r="O39" i="21"/>
  <c r="S40" i="21"/>
  <c r="R42" i="21"/>
  <c r="U44" i="21"/>
  <c r="G7" i="21"/>
  <c r="S7" i="21"/>
  <c r="F13" i="21"/>
  <c r="R13" i="21"/>
  <c r="D19" i="21"/>
  <c r="N37" i="30" s="1"/>
  <c r="D20" i="21"/>
  <c r="N38" i="30" s="1"/>
  <c r="G29" i="21"/>
  <c r="S29" i="21"/>
  <c r="H31" i="21"/>
  <c r="T31" i="21"/>
  <c r="P32" i="21"/>
  <c r="M33" i="21"/>
  <c r="K34" i="21"/>
  <c r="J35" i="21"/>
  <c r="V35" i="21"/>
  <c r="P39" i="21"/>
  <c r="T40" i="21"/>
  <c r="S42" i="21"/>
  <c r="H7" i="21"/>
  <c r="T7" i="21"/>
  <c r="G13" i="21"/>
  <c r="G14" i="21" s="1"/>
  <c r="S13" i="21"/>
  <c r="S14" i="21" s="1"/>
  <c r="D18" i="21"/>
  <c r="H29" i="21"/>
  <c r="T29" i="21"/>
  <c r="I31" i="21"/>
  <c r="U31" i="21"/>
  <c r="Q32" i="21"/>
  <c r="N33" i="21"/>
  <c r="L34" i="21"/>
  <c r="K35" i="21"/>
  <c r="L37" i="21"/>
  <c r="Q39" i="21"/>
  <c r="U40" i="21"/>
  <c r="T42" i="21"/>
  <c r="H13" i="21"/>
  <c r="H14" i="21" s="1"/>
  <c r="T13" i="21"/>
  <c r="T14" i="21" s="1"/>
  <c r="I29" i="21"/>
  <c r="U29" i="21"/>
  <c r="J31" i="21"/>
  <c r="V31" i="21"/>
  <c r="R32" i="21"/>
  <c r="O33" i="21"/>
  <c r="M34" i="21"/>
  <c r="L35" i="21"/>
  <c r="M37" i="21"/>
  <c r="R39" i="21"/>
  <c r="U42" i="21"/>
  <c r="D79" i="21"/>
  <c r="J7" i="21"/>
  <c r="E77" i="21" s="1"/>
  <c r="U13" i="21"/>
  <c r="U14" i="21" s="1"/>
  <c r="U15" i="21" s="1"/>
  <c r="J29" i="21"/>
  <c r="V29" i="21"/>
  <c r="K31" i="21"/>
  <c r="G32" i="21"/>
  <c r="S32" i="21"/>
  <c r="P33" i="21"/>
  <c r="N34" i="21"/>
  <c r="M35" i="21"/>
  <c r="N37" i="21"/>
  <c r="S39" i="21"/>
  <c r="P41" i="21"/>
  <c r="E79" i="21"/>
  <c r="J13" i="21"/>
  <c r="H32" i="21"/>
  <c r="T39" i="21"/>
  <c r="S98" i="75" l="1"/>
  <c r="S27" i="75"/>
  <c r="K30" i="76"/>
  <c r="T13" i="30"/>
  <c r="T12" i="30" s="1"/>
  <c r="T15" i="30"/>
  <c r="K49" i="20"/>
  <c r="K50" i="20" s="1"/>
  <c r="D2" i="50"/>
  <c r="M98" i="75"/>
  <c r="M27" i="75"/>
  <c r="K40" i="76"/>
  <c r="L40" i="76"/>
  <c r="O33" i="75"/>
  <c r="O38" i="75" s="1"/>
  <c r="O23" i="75"/>
  <c r="O28" i="75" s="1"/>
  <c r="O25" i="59"/>
  <c r="O30" i="59" s="1"/>
  <c r="H5" i="50" s="1"/>
  <c r="D72" i="55"/>
  <c r="D104" i="55"/>
  <c r="L45" i="75"/>
  <c r="L46" i="75" s="1"/>
  <c r="L48" i="75" s="1"/>
  <c r="L37" i="59"/>
  <c r="L38" i="59" s="1"/>
  <c r="L40" i="59" s="1"/>
  <c r="J14" i="59"/>
  <c r="J63" i="59" s="1"/>
  <c r="J62" i="59" s="1"/>
  <c r="J65" i="59" s="1"/>
  <c r="H98" i="75"/>
  <c r="H97" i="75" s="1"/>
  <c r="H100" i="75" s="1"/>
  <c r="H27" i="75"/>
  <c r="H26" i="75" s="1"/>
  <c r="H29" i="75" s="1"/>
  <c r="D83" i="21"/>
  <c r="F14" i="21"/>
  <c r="D77" i="21"/>
  <c r="M24" i="21"/>
  <c r="C75" i="21"/>
  <c r="M32" i="75"/>
  <c r="M24" i="59"/>
  <c r="C7" i="35"/>
  <c r="D9" i="55" s="1"/>
  <c r="R6" i="50"/>
  <c r="J114" i="55"/>
  <c r="J82" i="55"/>
  <c r="C25" i="21"/>
  <c r="M43" i="30" s="1"/>
  <c r="J15" i="35"/>
  <c r="K17" i="55" s="1"/>
  <c r="AH39" i="26"/>
  <c r="O17" i="26"/>
  <c r="AH17" i="26" s="1"/>
  <c r="N15" i="38"/>
  <c r="O15" i="40"/>
  <c r="O17" i="40"/>
  <c r="M25" i="38"/>
  <c r="O25" i="38" s="1"/>
  <c r="S26" i="38"/>
  <c r="M26" i="38" s="1"/>
  <c r="O26" i="38" s="1"/>
  <c r="J69" i="38"/>
  <c r="J66" i="38"/>
  <c r="H37" i="48"/>
  <c r="H64" i="48"/>
  <c r="H71" i="48" s="1"/>
  <c r="O128" i="48"/>
  <c r="X129" i="48"/>
  <c r="AB14" i="70"/>
  <c r="AB24" i="70" s="1"/>
  <c r="E3" i="71" s="1"/>
  <c r="G29" i="55"/>
  <c r="I37" i="48"/>
  <c r="M137" i="48"/>
  <c r="W48" i="20"/>
  <c r="P9" i="50"/>
  <c r="AD11" i="20"/>
  <c r="G4" i="35"/>
  <c r="H6" i="55" s="1"/>
  <c r="J25" i="26"/>
  <c r="AH25" i="26" s="1"/>
  <c r="AH26" i="26"/>
  <c r="AI12" i="26" s="1"/>
  <c r="L29" i="49"/>
  <c r="L30" i="49" s="1"/>
  <c r="L14" i="59"/>
  <c r="L63" i="59" s="1"/>
  <c r="L62" i="59" s="1"/>
  <c r="L65" i="59" s="1"/>
  <c r="Z13" i="25"/>
  <c r="Z11" i="25" s="1"/>
  <c r="Z19" i="25" s="1"/>
  <c r="J14" i="21"/>
  <c r="E83" i="21"/>
  <c r="H35" i="48"/>
  <c r="H63" i="48"/>
  <c r="H70" i="48" s="1"/>
  <c r="T15" i="21"/>
  <c r="AD38" i="26"/>
  <c r="AD35" i="26" s="1"/>
  <c r="T28" i="21"/>
  <c r="AD83" i="26" s="1"/>
  <c r="Q28" i="21"/>
  <c r="AA83" i="26" s="1"/>
  <c r="AA33" i="75"/>
  <c r="AA38" i="75" s="1"/>
  <c r="AA23" i="75"/>
  <c r="AA25" i="59"/>
  <c r="AA30" i="59" s="1"/>
  <c r="E73" i="55"/>
  <c r="E105" i="55"/>
  <c r="AF52" i="70"/>
  <c r="AF20" i="70" s="1"/>
  <c r="AF27" i="70" s="1"/>
  <c r="I6" i="71" s="1"/>
  <c r="AF18" i="70"/>
  <c r="AF26" i="70" s="1"/>
  <c r="I5" i="71" s="1"/>
  <c r="S137" i="48"/>
  <c r="S128" i="48"/>
  <c r="AE45" i="70"/>
  <c r="J29" i="55"/>
  <c r="J64" i="48"/>
  <c r="J71" i="48" s="1"/>
  <c r="J37" i="48"/>
  <c r="K32" i="48"/>
  <c r="Q40" i="59"/>
  <c r="K34" i="75"/>
  <c r="K99" i="75" s="1"/>
  <c r="K24" i="75"/>
  <c r="K28" i="75" s="1"/>
  <c r="E18" i="49"/>
  <c r="E19" i="49" s="1"/>
  <c r="E20" i="49" s="1"/>
  <c r="P14" i="59"/>
  <c r="P63" i="59" s="1"/>
  <c r="P14" i="75"/>
  <c r="N14" i="59"/>
  <c r="N63" i="59" s="1"/>
  <c r="N19" i="25"/>
  <c r="N14" i="75" s="1"/>
  <c r="H101" i="75"/>
  <c r="N25" i="21"/>
  <c r="X43" i="30" s="1"/>
  <c r="X37" i="30"/>
  <c r="X20" i="30" s="1"/>
  <c r="Z18" i="70"/>
  <c r="Z26" i="70" s="1"/>
  <c r="C5" i="71" s="1"/>
  <c r="Z52" i="70"/>
  <c r="E31" i="55"/>
  <c r="Q5" i="21"/>
  <c r="P5" i="21"/>
  <c r="O5" i="21"/>
  <c r="N5" i="21"/>
  <c r="I73" i="38"/>
  <c r="I71" i="38"/>
  <c r="F20" i="49"/>
  <c r="U14" i="59"/>
  <c r="U63" i="59" s="1"/>
  <c r="U14" i="75"/>
  <c r="V20" i="25"/>
  <c r="G21" i="21"/>
  <c r="Q45" i="30"/>
  <c r="V36" i="30"/>
  <c r="Q52" i="21"/>
  <c r="P52" i="21"/>
  <c r="O52" i="21"/>
  <c r="O47" i="21" s="1"/>
  <c r="Y85" i="26" s="1"/>
  <c r="Y75" i="26" s="1"/>
  <c r="N52" i="21"/>
  <c r="M52" i="21"/>
  <c r="L52" i="21"/>
  <c r="L47" i="21" s="1"/>
  <c r="V85" i="26" s="1"/>
  <c r="K52" i="21"/>
  <c r="D78" i="21"/>
  <c r="V52" i="21"/>
  <c r="J52" i="21"/>
  <c r="J47" i="21" s="1"/>
  <c r="T85" i="26" s="1"/>
  <c r="U52" i="21"/>
  <c r="U47" i="21" s="1"/>
  <c r="AE85" i="26" s="1"/>
  <c r="I52" i="21"/>
  <c r="I47" i="21" s="1"/>
  <c r="S85" i="26" s="1"/>
  <c r="S52" i="21"/>
  <c r="S47" i="21" s="1"/>
  <c r="AC85" i="26" s="1"/>
  <c r="T52" i="21"/>
  <c r="R52" i="21"/>
  <c r="R47" i="21" s="1"/>
  <c r="AB85" i="26" s="1"/>
  <c r="H52" i="21"/>
  <c r="M5" i="21"/>
  <c r="L5" i="21"/>
  <c r="K5" i="21"/>
  <c r="J5" i="21"/>
  <c r="E75" i="21" s="1"/>
  <c r="D47" i="76"/>
  <c r="B48" i="76"/>
  <c r="L31" i="76"/>
  <c r="H15" i="21"/>
  <c r="R38" i="26"/>
  <c r="R35" i="26" s="1"/>
  <c r="R28" i="21"/>
  <c r="AB83" i="26" s="1"/>
  <c r="C15" i="21"/>
  <c r="E18" i="21"/>
  <c r="E20" i="21"/>
  <c r="O38" i="30" s="1"/>
  <c r="E19" i="21"/>
  <c r="O37" i="30" s="1"/>
  <c r="E24" i="21"/>
  <c r="O42" i="30" s="1"/>
  <c r="E21" i="21"/>
  <c r="E23" i="21"/>
  <c r="O41" i="30" s="1"/>
  <c r="W6" i="21"/>
  <c r="O45" i="30"/>
  <c r="P36" i="30"/>
  <c r="M20" i="21"/>
  <c r="W38" i="30" s="1"/>
  <c r="Q24" i="21"/>
  <c r="H47" i="21"/>
  <c r="R85" i="26" s="1"/>
  <c r="P28" i="21"/>
  <c r="Z83" i="26" s="1"/>
  <c r="I33" i="76"/>
  <c r="J33" i="76" s="1"/>
  <c r="L33" i="76" s="1"/>
  <c r="Q30" i="21"/>
  <c r="E30" i="21"/>
  <c r="E28" i="21" s="1"/>
  <c r="P30" i="21"/>
  <c r="O30" i="21"/>
  <c r="N30" i="21"/>
  <c r="N28" i="21" s="1"/>
  <c r="M30" i="21"/>
  <c r="L30" i="21"/>
  <c r="L28" i="21" s="1"/>
  <c r="K30" i="21"/>
  <c r="K28" i="21" s="1"/>
  <c r="V30" i="21"/>
  <c r="V28" i="21" s="1"/>
  <c r="AF83" i="26" s="1"/>
  <c r="AG83" i="26" s="1"/>
  <c r="J30" i="21"/>
  <c r="U30" i="21"/>
  <c r="U28" i="21" s="1"/>
  <c r="AE83" i="26" s="1"/>
  <c r="I30" i="21"/>
  <c r="S30" i="21"/>
  <c r="G30" i="21"/>
  <c r="T30" i="21"/>
  <c r="R30" i="21"/>
  <c r="H30" i="21"/>
  <c r="H28" i="21" s="1"/>
  <c r="W9" i="21"/>
  <c r="F30" i="21"/>
  <c r="O37" i="26"/>
  <c r="O23" i="21"/>
  <c r="AF45" i="70"/>
  <c r="K29" i="55"/>
  <c r="S112" i="48"/>
  <c r="X85" i="75"/>
  <c r="W34" i="75"/>
  <c r="W24" i="75"/>
  <c r="Q128" i="48"/>
  <c r="Y104" i="75"/>
  <c r="Y106" i="75" s="1"/>
  <c r="Y105" i="75"/>
  <c r="AF130" i="48"/>
  <c r="AE24" i="48"/>
  <c r="I40" i="59"/>
  <c r="J45" i="75"/>
  <c r="J46" i="75" s="1"/>
  <c r="J48" i="75" s="1"/>
  <c r="J37" i="59"/>
  <c r="J38" i="59" s="1"/>
  <c r="J40" i="59" s="1"/>
  <c r="J30" i="49"/>
  <c r="H28" i="20"/>
  <c r="AG48" i="20"/>
  <c r="K3" i="35"/>
  <c r="L5" i="55" s="1"/>
  <c r="L101" i="55" s="1"/>
  <c r="V48" i="20"/>
  <c r="O9" i="50"/>
  <c r="O14" i="59"/>
  <c r="O63" i="59" s="1"/>
  <c r="O14" i="75"/>
  <c r="Z17" i="75"/>
  <c r="Z15" i="33"/>
  <c r="Z17" i="59"/>
  <c r="AA10" i="33"/>
  <c r="D12" i="35"/>
  <c r="E14" i="55" s="1"/>
  <c r="Y31" i="80"/>
  <c r="I14" i="59"/>
  <c r="I14" i="75"/>
  <c r="M78" i="26"/>
  <c r="M29" i="26"/>
  <c r="M15" i="26"/>
  <c r="N30" i="26"/>
  <c r="J28" i="21"/>
  <c r="I28" i="21"/>
  <c r="M28" i="21"/>
  <c r="Q85" i="26"/>
  <c r="M45" i="75"/>
  <c r="M46" i="75" s="1"/>
  <c r="M48" i="75" s="1"/>
  <c r="M37" i="59"/>
  <c r="M38" i="59" s="1"/>
  <c r="M40" i="59" s="1"/>
  <c r="M30" i="49"/>
  <c r="L15" i="21"/>
  <c r="V38" i="26"/>
  <c r="V35" i="26" s="1"/>
  <c r="J128" i="48"/>
  <c r="J137" i="48"/>
  <c r="H38" i="48"/>
  <c r="H65" i="48"/>
  <c r="H72" i="48" s="1"/>
  <c r="I65" i="48"/>
  <c r="I72" i="48" s="1"/>
  <c r="I38" i="48"/>
  <c r="J33" i="48"/>
  <c r="Q26" i="48"/>
  <c r="AC21" i="48"/>
  <c r="U129" i="48"/>
  <c r="I28" i="20"/>
  <c r="S48" i="75"/>
  <c r="R40" i="59"/>
  <c r="X48" i="20"/>
  <c r="Q9" i="50"/>
  <c r="Q48" i="75"/>
  <c r="R48" i="20"/>
  <c r="K9" i="50"/>
  <c r="D14" i="59"/>
  <c r="D14" i="75"/>
  <c r="J75" i="26"/>
  <c r="G83" i="21"/>
  <c r="R14" i="21"/>
  <c r="AD74" i="30"/>
  <c r="U20" i="30"/>
  <c r="AC14" i="70"/>
  <c r="AC24" i="70" s="1"/>
  <c r="F3" i="71" s="1"/>
  <c r="H29" i="55"/>
  <c r="F105" i="55"/>
  <c r="F73" i="55"/>
  <c r="G20" i="21"/>
  <c r="Q38" i="30" s="1"/>
  <c r="Y33" i="75"/>
  <c r="Y38" i="75" s="1"/>
  <c r="Y25" i="59"/>
  <c r="Y30" i="59" s="1"/>
  <c r="Y23" i="75"/>
  <c r="E74" i="21"/>
  <c r="T25" i="59"/>
  <c r="T23" i="75"/>
  <c r="T28" i="75" s="1"/>
  <c r="T33" i="75"/>
  <c r="M47" i="21"/>
  <c r="W85" i="26" s="1"/>
  <c r="G43" i="76"/>
  <c r="H42" i="76"/>
  <c r="O32" i="75"/>
  <c r="O99" i="75" s="1"/>
  <c r="O24" i="59"/>
  <c r="AB52" i="70"/>
  <c r="AB18" i="70"/>
  <c r="AB26" i="70" s="1"/>
  <c r="E5" i="71" s="1"/>
  <c r="G31" i="55"/>
  <c r="R137" i="48"/>
  <c r="Q112" i="48"/>
  <c r="I35" i="48"/>
  <c r="J31" i="48"/>
  <c r="I63" i="48"/>
  <c r="I70" i="48" s="1"/>
  <c r="AE21" i="48"/>
  <c r="I142" i="48"/>
  <c r="I114" i="48"/>
  <c r="I129" i="48"/>
  <c r="AB48" i="20"/>
  <c r="F3" i="35"/>
  <c r="G5" i="55" s="1"/>
  <c r="L112" i="48"/>
  <c r="P48" i="75"/>
  <c r="H39" i="48"/>
  <c r="H66" i="48"/>
  <c r="H73" i="48" s="1"/>
  <c r="N32" i="75"/>
  <c r="N24" i="59"/>
  <c r="G14" i="75"/>
  <c r="G14" i="59"/>
  <c r="I25" i="21"/>
  <c r="S36" i="30"/>
  <c r="I41" i="76"/>
  <c r="J41" i="76" s="1"/>
  <c r="L28" i="76"/>
  <c r="K28" i="76"/>
  <c r="M28" i="76" s="1"/>
  <c r="S15" i="21"/>
  <c r="AC38" i="26"/>
  <c r="AC35" i="26" s="1"/>
  <c r="G15" i="21"/>
  <c r="Q38" i="26"/>
  <c r="D22" i="21"/>
  <c r="N40" i="30" s="1"/>
  <c r="N39" i="30"/>
  <c r="P15" i="21"/>
  <c r="Z38" i="26"/>
  <c r="Z35" i="26" s="1"/>
  <c r="D4" i="21"/>
  <c r="E16" i="5"/>
  <c r="C4" i="21"/>
  <c r="G23" i="21"/>
  <c r="Q41" i="30" s="1"/>
  <c r="Q24" i="30" s="1"/>
  <c r="H24" i="21"/>
  <c r="E76" i="21"/>
  <c r="J21" i="21"/>
  <c r="J24" i="21"/>
  <c r="T45" i="30"/>
  <c r="U24" i="30"/>
  <c r="AD61" i="30" s="1"/>
  <c r="AD78" i="30"/>
  <c r="U33" i="75"/>
  <c r="U38" i="75" s="1"/>
  <c r="U23" i="75"/>
  <c r="U28" i="75" s="1"/>
  <c r="U25" i="59"/>
  <c r="U30" i="59" s="1"/>
  <c r="N5" i="50" s="1"/>
  <c r="Z33" i="75"/>
  <c r="Z38" i="75" s="1"/>
  <c r="Z25" i="59"/>
  <c r="Z30" i="59" s="1"/>
  <c r="Z23" i="75"/>
  <c r="P40" i="38"/>
  <c r="R40" i="38" s="1"/>
  <c r="T41" i="38"/>
  <c r="AB10" i="48"/>
  <c r="Q28" i="38"/>
  <c r="K26" i="48"/>
  <c r="J112" i="48"/>
  <c r="H120" i="55"/>
  <c r="H88" i="55"/>
  <c r="K27" i="76"/>
  <c r="Q13" i="33"/>
  <c r="P13" i="33"/>
  <c r="S13" i="33"/>
  <c r="R13" i="33"/>
  <c r="F47" i="49"/>
  <c r="G47" i="49" s="1"/>
  <c r="H47" i="49" s="1"/>
  <c r="I47" i="49" s="1"/>
  <c r="AE48" i="20"/>
  <c r="I3" i="35"/>
  <c r="J5" i="55" s="1"/>
  <c r="P15" i="30"/>
  <c r="L49" i="20"/>
  <c r="L50" i="20" s="1"/>
  <c r="E2" i="50"/>
  <c r="M14" i="59"/>
  <c r="M63" i="59" s="1"/>
  <c r="AA20" i="26"/>
  <c r="Z80" i="26"/>
  <c r="Q14" i="59"/>
  <c r="Q63" i="59" s="1"/>
  <c r="Q14" i="75"/>
  <c r="K36" i="76"/>
  <c r="D14" i="21"/>
  <c r="W13" i="21"/>
  <c r="V33" i="75"/>
  <c r="V38" i="75" s="1"/>
  <c r="V23" i="75"/>
  <c r="V28" i="75" s="1"/>
  <c r="V25" i="59"/>
  <c r="V30" i="59" s="1"/>
  <c r="O5" i="50" s="1"/>
  <c r="W8" i="21"/>
  <c r="U5" i="21"/>
  <c r="AE24" i="59" s="1"/>
  <c r="S5" i="21"/>
  <c r="T5" i="21"/>
  <c r="AD24" i="59" s="1"/>
  <c r="R5" i="21"/>
  <c r="C83" i="21"/>
  <c r="D14" i="76"/>
  <c r="E13" i="76"/>
  <c r="AA16" i="70"/>
  <c r="AA25" i="70" s="1"/>
  <c r="D4" i="71" s="1"/>
  <c r="AA51" i="70"/>
  <c r="F30" i="55"/>
  <c r="Y26" i="48"/>
  <c r="C19" i="35"/>
  <c r="D21" i="55" s="1"/>
  <c r="I120" i="55"/>
  <c r="I88" i="55"/>
  <c r="P40" i="59"/>
  <c r="AA21" i="48"/>
  <c r="AA19" i="48" s="1"/>
  <c r="E20" i="35" s="1"/>
  <c r="F22" i="55" s="1"/>
  <c r="Z12" i="49"/>
  <c r="AA48" i="20"/>
  <c r="E3" i="35"/>
  <c r="F5" i="55" s="1"/>
  <c r="F14" i="75"/>
  <c r="F14" i="59"/>
  <c r="W12" i="74"/>
  <c r="V14" i="74"/>
  <c r="V13" i="74" s="1"/>
  <c r="V11" i="74" s="1"/>
  <c r="V19" i="74" s="1"/>
  <c r="D71" i="55"/>
  <c r="D103" i="55"/>
  <c r="C81" i="21"/>
  <c r="G18" i="21"/>
  <c r="D74" i="21"/>
  <c r="P33" i="75"/>
  <c r="P38" i="75" s="1"/>
  <c r="P23" i="75"/>
  <c r="P28" i="75" s="1"/>
  <c r="P25" i="59"/>
  <c r="P30" i="59" s="1"/>
  <c r="I5" i="50" s="1"/>
  <c r="Q23" i="21"/>
  <c r="W33" i="75"/>
  <c r="W38" i="75" s="1"/>
  <c r="W23" i="75"/>
  <c r="W28" i="75" s="1"/>
  <c r="W26" i="75" s="1"/>
  <c r="W25" i="59"/>
  <c r="W30" i="59" s="1"/>
  <c r="P5" i="50" s="1"/>
  <c r="I5" i="21"/>
  <c r="G5" i="21"/>
  <c r="H5" i="21"/>
  <c r="F5" i="21"/>
  <c r="P47" i="21"/>
  <c r="Z85" i="26" s="1"/>
  <c r="V47" i="21"/>
  <c r="AF85" i="26" s="1"/>
  <c r="AG85" i="26" s="1"/>
  <c r="V14" i="40"/>
  <c r="J17" i="40"/>
  <c r="F120" i="55"/>
  <c r="F88" i="55"/>
  <c r="C24" i="35"/>
  <c r="R10" i="50"/>
  <c r="K114" i="48"/>
  <c r="F26" i="48"/>
  <c r="K120" i="55"/>
  <c r="L17" i="38"/>
  <c r="N17" i="38" s="1"/>
  <c r="S18" i="38"/>
  <c r="I39" i="48"/>
  <c r="AB21" i="48"/>
  <c r="AC48" i="20"/>
  <c r="G3" i="35"/>
  <c r="H5" i="55" s="1"/>
  <c r="AD13" i="33"/>
  <c r="AC13" i="33"/>
  <c r="AB13" i="33"/>
  <c r="AE13" i="33"/>
  <c r="F40" i="59"/>
  <c r="U38" i="59" s="1"/>
  <c r="V38" i="59" s="1"/>
  <c r="W38" i="59" s="1"/>
  <c r="X38" i="59" s="1"/>
  <c r="Y38" i="59" s="1"/>
  <c r="V15" i="30"/>
  <c r="AB17" i="30"/>
  <c r="R14" i="75"/>
  <c r="R14" i="59"/>
  <c r="R63" i="59" s="1"/>
  <c r="L19" i="25"/>
  <c r="L14" i="75" s="1"/>
  <c r="E14" i="75"/>
  <c r="E14" i="59"/>
  <c r="Z19" i="48"/>
  <c r="D20" i="35" s="1"/>
  <c r="E22" i="55" s="1"/>
  <c r="Y38" i="80"/>
  <c r="M21" i="21"/>
  <c r="M23" i="21"/>
  <c r="W41" i="30" s="1"/>
  <c r="W24" i="30" s="1"/>
  <c r="W15" i="30" s="1"/>
  <c r="W45" i="30"/>
  <c r="T36" i="30"/>
  <c r="D25" i="21"/>
  <c r="N36" i="30"/>
  <c r="F28" i="21"/>
  <c r="M18" i="21"/>
  <c r="N47" i="21"/>
  <c r="X85" i="26" s="1"/>
  <c r="O28" i="21"/>
  <c r="H23" i="21"/>
  <c r="R41" i="30" s="1"/>
  <c r="R24" i="30" s="1"/>
  <c r="P23" i="21"/>
  <c r="F74" i="21"/>
  <c r="X33" i="75"/>
  <c r="X38" i="75" s="1"/>
  <c r="X23" i="75"/>
  <c r="X25" i="59"/>
  <c r="X30" i="59" s="1"/>
  <c r="Q5" i="50" s="1"/>
  <c r="G28" i="21"/>
  <c r="AC33" i="75"/>
  <c r="AC38" i="75" s="1"/>
  <c r="AC23" i="75"/>
  <c r="AC25" i="59"/>
  <c r="AC30" i="59" s="1"/>
  <c r="L21" i="21"/>
  <c r="V45" i="30"/>
  <c r="R25" i="59"/>
  <c r="R30" i="59" s="1"/>
  <c r="K5" i="50" s="1"/>
  <c r="R23" i="75"/>
  <c r="R28" i="75" s="1"/>
  <c r="R33" i="75"/>
  <c r="R38" i="75" s="1"/>
  <c r="K47" i="21"/>
  <c r="U85" i="26" s="1"/>
  <c r="T51" i="21"/>
  <c r="V17" i="6"/>
  <c r="T50" i="21"/>
  <c r="T47" i="21" s="1"/>
  <c r="AD85" i="26" s="1"/>
  <c r="K39" i="76"/>
  <c r="M39" i="76" s="1"/>
  <c r="L39" i="76"/>
  <c r="J29" i="76"/>
  <c r="I29" i="76"/>
  <c r="P17" i="40"/>
  <c r="K22" i="21"/>
  <c r="U40" i="30" s="1"/>
  <c r="AD77" i="30" s="1"/>
  <c r="U39" i="30"/>
  <c r="AD76" i="30" s="1"/>
  <c r="K73" i="38"/>
  <c r="K71" i="38"/>
  <c r="P137" i="48"/>
  <c r="O112" i="48"/>
  <c r="L142" i="48"/>
  <c r="S34" i="75"/>
  <c r="S24" i="75"/>
  <c r="E88" i="55"/>
  <c r="E120" i="55"/>
  <c r="P128" i="48"/>
  <c r="Y26" i="59"/>
  <c r="Z50" i="59"/>
  <c r="K34" i="48"/>
  <c r="J66" i="48"/>
  <c r="J73" i="48" s="1"/>
  <c r="J39" i="48"/>
  <c r="I128" i="48"/>
  <c r="AD21" i="48"/>
  <c r="G134" i="75"/>
  <c r="S142" i="48"/>
  <c r="M16" i="26"/>
  <c r="AH34" i="26"/>
  <c r="T14" i="75"/>
  <c r="T14" i="59"/>
  <c r="T63" i="59" s="1"/>
  <c r="T19" i="25"/>
  <c r="AA27" i="20"/>
  <c r="D5" i="35"/>
  <c r="E7" i="55" s="1"/>
  <c r="I114" i="55"/>
  <c r="I82" i="55"/>
  <c r="S28" i="21"/>
  <c r="AC83" i="26" s="1"/>
  <c r="H21" i="21"/>
  <c r="H18" i="21"/>
  <c r="R45" i="30"/>
  <c r="Q15" i="21"/>
  <c r="AA38" i="26"/>
  <c r="AA35" i="26" s="1"/>
  <c r="F83" i="21"/>
  <c r="N14" i="21"/>
  <c r="W7" i="21"/>
  <c r="C77" i="21"/>
  <c r="F21" i="21"/>
  <c r="D76" i="21"/>
  <c r="P45" i="30"/>
  <c r="H20" i="21"/>
  <c r="R38" i="30" s="1"/>
  <c r="U36" i="30"/>
  <c r="AD73" i="30" s="1"/>
  <c r="S25" i="59"/>
  <c r="S30" i="59" s="1"/>
  <c r="L5" i="50" s="1"/>
  <c r="S23" i="75"/>
  <c r="S28" i="75" s="1"/>
  <c r="S33" i="75"/>
  <c r="S38" i="75" s="1"/>
  <c r="F76" i="21"/>
  <c r="X45" i="30"/>
  <c r="G74" i="21"/>
  <c r="AB33" i="75"/>
  <c r="AB38" i="75" s="1"/>
  <c r="AB23" i="75"/>
  <c r="AB25" i="59"/>
  <c r="AB30" i="59" s="1"/>
  <c r="Q47" i="21"/>
  <c r="AA85" i="26" s="1"/>
  <c r="I22" i="21"/>
  <c r="S40" i="30" s="1"/>
  <c r="S39" i="30"/>
  <c r="O29" i="38"/>
  <c r="Q29" i="38" s="1"/>
  <c r="S30" i="38"/>
  <c r="U112" i="48"/>
  <c r="K137" i="48"/>
  <c r="AB23" i="48"/>
  <c r="AC129" i="48"/>
  <c r="O48" i="75"/>
  <c r="I48" i="75"/>
  <c r="U46" i="75" s="1"/>
  <c r="V46" i="75" s="1"/>
  <c r="W46" i="75" s="1"/>
  <c r="X46" i="75" s="1"/>
  <c r="Y46" i="75" s="1"/>
  <c r="Z46" i="75" s="1"/>
  <c r="AA46" i="75" s="1"/>
  <c r="AB46" i="75" s="1"/>
  <c r="AC46" i="75" s="1"/>
  <c r="AF21" i="48"/>
  <c r="AB69" i="59"/>
  <c r="AB71" i="59" s="1"/>
  <c r="AB70" i="59" s="1"/>
  <c r="N45" i="75"/>
  <c r="N46" i="75" s="1"/>
  <c r="N37" i="59"/>
  <c r="N38" i="59" s="1"/>
  <c r="N40" i="59" s="1"/>
  <c r="N30" i="49"/>
  <c r="D20" i="49"/>
  <c r="Y29" i="49"/>
  <c r="AH13" i="26"/>
  <c r="K19" i="25"/>
  <c r="K14" i="75" s="1"/>
  <c r="Q35" i="26"/>
  <c r="J19" i="25"/>
  <c r="J14" i="75" s="1"/>
  <c r="H66" i="59"/>
  <c r="H63" i="59"/>
  <c r="H62" i="59" s="1"/>
  <c r="H65" i="59" s="1"/>
  <c r="AA14" i="25"/>
  <c r="AA13" i="25" s="1"/>
  <c r="AB12" i="25"/>
  <c r="AA11" i="25"/>
  <c r="AA19" i="25" s="1"/>
  <c r="L98" i="75" l="1"/>
  <c r="L97" i="75" s="1"/>
  <c r="L100" i="75" s="1"/>
  <c r="L27" i="75"/>
  <c r="L26" i="75" s="1"/>
  <c r="L29" i="75" s="1"/>
  <c r="AC69" i="59"/>
  <c r="AC71" i="59" s="1"/>
  <c r="AC70" i="59"/>
  <c r="N98" i="75"/>
  <c r="N97" i="75" s="1"/>
  <c r="N100" i="75" s="1"/>
  <c r="N27" i="75"/>
  <c r="K28" i="20"/>
  <c r="K12" i="20"/>
  <c r="Z38" i="59"/>
  <c r="C18" i="35"/>
  <c r="D20" i="55" s="1"/>
  <c r="L41" i="76"/>
  <c r="K41" i="76"/>
  <c r="M41" i="76" s="1"/>
  <c r="J98" i="75"/>
  <c r="J97" i="75" s="1"/>
  <c r="J100" i="75" s="1"/>
  <c r="J27" i="75"/>
  <c r="J26" i="75" s="1"/>
  <c r="J29" i="75" s="1"/>
  <c r="Y49" i="20"/>
  <c r="Y50" i="20" s="1"/>
  <c r="R2" i="50"/>
  <c r="C2" i="35"/>
  <c r="D4" i="55" s="1"/>
  <c r="F25" i="21"/>
  <c r="K27" i="75"/>
  <c r="K26" i="75" s="1"/>
  <c r="K29" i="75" s="1"/>
  <c r="K98" i="75"/>
  <c r="K97" i="75" s="1"/>
  <c r="K100" i="75" s="1"/>
  <c r="Z26" i="59"/>
  <c r="AA50" i="59"/>
  <c r="AD57" i="30"/>
  <c r="U13" i="30"/>
  <c r="U15" i="30"/>
  <c r="AD52" i="30" s="1"/>
  <c r="K93" i="55"/>
  <c r="K125" i="55"/>
  <c r="E22" i="21"/>
  <c r="O40" i="30" s="1"/>
  <c r="O39" i="30"/>
  <c r="F75" i="21"/>
  <c r="X32" i="75"/>
  <c r="X24" i="59"/>
  <c r="E16" i="35"/>
  <c r="F18" i="55" s="1"/>
  <c r="P46" i="30"/>
  <c r="I6" i="50"/>
  <c r="H25" i="21"/>
  <c r="R36" i="30"/>
  <c r="P25" i="21"/>
  <c r="Z43" i="30" s="1"/>
  <c r="Z41" i="30"/>
  <c r="Z24" i="30" s="1"/>
  <c r="M22" i="21"/>
  <c r="W40" i="30" s="1"/>
  <c r="W39" i="30"/>
  <c r="S19" i="38"/>
  <c r="L18" i="38"/>
  <c r="N18" i="38" s="1"/>
  <c r="L28" i="20"/>
  <c r="L12" i="20"/>
  <c r="D16" i="35"/>
  <c r="E18" i="55" s="1"/>
  <c r="M50" i="48"/>
  <c r="P50" i="48"/>
  <c r="O50" i="48"/>
  <c r="N50" i="48"/>
  <c r="AF12" i="70"/>
  <c r="AF23" i="70" s="1"/>
  <c r="I2" i="71" s="1"/>
  <c r="K28" i="55"/>
  <c r="Y32" i="75"/>
  <c r="Y24" i="59"/>
  <c r="W48" i="48"/>
  <c r="V48" i="48"/>
  <c r="U48" i="48"/>
  <c r="X48" i="48"/>
  <c r="S48" i="48"/>
  <c r="Q48" i="48"/>
  <c r="T48" i="48"/>
  <c r="R48" i="48"/>
  <c r="F4" i="50"/>
  <c r="R46" i="30"/>
  <c r="K6" i="50"/>
  <c r="AA52" i="70"/>
  <c r="AA18" i="70"/>
  <c r="AA26" i="70" s="1"/>
  <c r="D5" i="71" s="1"/>
  <c r="F31" i="55"/>
  <c r="T38" i="75"/>
  <c r="T99" i="75"/>
  <c r="M79" i="26"/>
  <c r="AH16" i="26"/>
  <c r="E14" i="76"/>
  <c r="F13" i="76"/>
  <c r="H22" i="21"/>
  <c r="R40" i="30" s="1"/>
  <c r="R39" i="30"/>
  <c r="L22" i="21"/>
  <c r="V40" i="30" s="1"/>
  <c r="V39" i="30"/>
  <c r="D75" i="21"/>
  <c r="P32" i="75"/>
  <c r="P99" i="75" s="1"/>
  <c r="P24" i="59"/>
  <c r="Q36" i="30"/>
  <c r="D15" i="21"/>
  <c r="N38" i="26"/>
  <c r="J101" i="55"/>
  <c r="J69" i="55"/>
  <c r="W4" i="21"/>
  <c r="C74" i="21"/>
  <c r="M33" i="75"/>
  <c r="M38" i="75" s="1"/>
  <c r="M23" i="75"/>
  <c r="M28" i="75" s="1"/>
  <c r="M26" i="75" s="1"/>
  <c r="M29" i="75" s="1"/>
  <c r="M25" i="59"/>
  <c r="M30" i="59" s="1"/>
  <c r="F5" i="50" s="1"/>
  <c r="G127" i="55"/>
  <c r="G95" i="55"/>
  <c r="D49" i="26"/>
  <c r="M20" i="26"/>
  <c r="M80" i="26" s="1"/>
  <c r="O98" i="75"/>
  <c r="O97" i="75" s="1"/>
  <c r="O100" i="75" s="1"/>
  <c r="O27" i="75"/>
  <c r="O26" i="75" s="1"/>
  <c r="O29" i="75" s="1"/>
  <c r="AG130" i="48"/>
  <c r="AG24" i="48" s="1"/>
  <c r="AF24" i="48"/>
  <c r="AH37" i="26"/>
  <c r="AI13" i="26" s="1"/>
  <c r="O35" i="26"/>
  <c r="AA32" i="75"/>
  <c r="AA24" i="59"/>
  <c r="J125" i="55"/>
  <c r="J93" i="55"/>
  <c r="M46" i="38"/>
  <c r="M47" i="38" s="1"/>
  <c r="G101" i="55"/>
  <c r="G69" i="55"/>
  <c r="O62" i="59"/>
  <c r="O65" i="59" s="1"/>
  <c r="Z104" i="75"/>
  <c r="Z106" i="75" s="1"/>
  <c r="Z105" i="75"/>
  <c r="O36" i="30"/>
  <c r="G22" i="21"/>
  <c r="Q40" i="30" s="1"/>
  <c r="Q39" i="30"/>
  <c r="E127" i="55"/>
  <c r="E95" i="55"/>
  <c r="P98" i="75"/>
  <c r="P27" i="75"/>
  <c r="P26" i="75" s="1"/>
  <c r="P29" i="75" s="1"/>
  <c r="AE12" i="70"/>
  <c r="AE23" i="70" s="1"/>
  <c r="H2" i="71" s="1"/>
  <c r="J28" i="55"/>
  <c r="AI16" i="26"/>
  <c r="W5" i="21"/>
  <c r="Q6" i="50"/>
  <c r="X46" i="30"/>
  <c r="G16" i="35"/>
  <c r="H18" i="55" s="1"/>
  <c r="M25" i="21"/>
  <c r="W36" i="30"/>
  <c r="E63" i="59"/>
  <c r="E62" i="59" s="1"/>
  <c r="E65" i="59" s="1"/>
  <c r="E74" i="59" s="1"/>
  <c r="E29" i="59" s="1"/>
  <c r="E66" i="59"/>
  <c r="E31" i="59" s="1"/>
  <c r="Q32" i="75"/>
  <c r="Q99" i="75" s="1"/>
  <c r="Q24" i="59"/>
  <c r="G75" i="21"/>
  <c r="AB32" i="75"/>
  <c r="AB24" i="59"/>
  <c r="N33" i="75"/>
  <c r="N38" i="75" s="1"/>
  <c r="N23" i="75"/>
  <c r="N28" i="75" s="1"/>
  <c r="N25" i="59"/>
  <c r="N30" i="59" s="1"/>
  <c r="G5" i="50" s="1"/>
  <c r="AB20" i="70"/>
  <c r="AB27" i="70" s="1"/>
  <c r="E6" i="71" s="1"/>
  <c r="G32" i="55"/>
  <c r="C16" i="35"/>
  <c r="D18" i="55" s="1"/>
  <c r="R5" i="50"/>
  <c r="J49" i="20"/>
  <c r="J50" i="20" s="1"/>
  <c r="C2" i="50"/>
  <c r="W14" i="21"/>
  <c r="U32" i="75"/>
  <c r="U99" i="75" s="1"/>
  <c r="U24" i="59"/>
  <c r="V16" i="75"/>
  <c r="V14" i="75" s="1"/>
  <c r="V16" i="59"/>
  <c r="V14" i="59" s="1"/>
  <c r="V63" i="59" s="1"/>
  <c r="W20" i="25"/>
  <c r="Z20" i="70"/>
  <c r="Z27" i="70" s="1"/>
  <c r="C6" i="71" s="1"/>
  <c r="E32" i="55"/>
  <c r="K14" i="59"/>
  <c r="K63" i="59" s="1"/>
  <c r="K62" i="59" s="1"/>
  <c r="K65" i="59" s="1"/>
  <c r="K113" i="55"/>
  <c r="K40" i="59"/>
  <c r="F101" i="55"/>
  <c r="F69" i="55"/>
  <c r="F118" i="55"/>
  <c r="F86" i="55"/>
  <c r="M37" i="76"/>
  <c r="C10" i="35"/>
  <c r="D12" i="55" s="1"/>
  <c r="Y30" i="49"/>
  <c r="E98" i="75"/>
  <c r="E97" i="75" s="1"/>
  <c r="E100" i="75" s="1"/>
  <c r="E27" i="75"/>
  <c r="E26" i="75" s="1"/>
  <c r="E29" i="75" s="1"/>
  <c r="E101" i="75"/>
  <c r="E39" i="75" s="1"/>
  <c r="S32" i="75"/>
  <c r="S99" i="75" s="1"/>
  <c r="S24" i="59"/>
  <c r="H15" i="35"/>
  <c r="I17" i="55" s="1"/>
  <c r="O40" i="59"/>
  <c r="AB27" i="48"/>
  <c r="H4" i="50"/>
  <c r="O64" i="59"/>
  <c r="D27" i="75"/>
  <c r="D26" i="75" s="1"/>
  <c r="D29" i="75" s="1"/>
  <c r="D98" i="75"/>
  <c r="D97" i="75" s="1"/>
  <c r="D100" i="75" s="1"/>
  <c r="D109" i="75" s="1"/>
  <c r="D37" i="75" s="1"/>
  <c r="D101" i="75"/>
  <c r="D39" i="75" s="1"/>
  <c r="M75" i="26"/>
  <c r="K48" i="75"/>
  <c r="C84" i="21"/>
  <c r="C87" i="21" s="1"/>
  <c r="V32" i="75"/>
  <c r="V99" i="75" s="1"/>
  <c r="V24" i="59"/>
  <c r="U98" i="75"/>
  <c r="U27" i="75"/>
  <c r="U26" i="75" s="1"/>
  <c r="U29" i="75" s="1"/>
  <c r="M40" i="76"/>
  <c r="M31" i="76"/>
  <c r="S50" i="48"/>
  <c r="Q50" i="48"/>
  <c r="T50" i="48"/>
  <c r="R50" i="48"/>
  <c r="K37" i="48"/>
  <c r="K64" i="48"/>
  <c r="K71" i="48" s="1"/>
  <c r="L32" i="48"/>
  <c r="N78" i="26"/>
  <c r="N29" i="26"/>
  <c r="O30" i="26"/>
  <c r="N15" i="26"/>
  <c r="N20" i="26" s="1"/>
  <c r="N80" i="26" s="1"/>
  <c r="Z32" i="75"/>
  <c r="Z24" i="59"/>
  <c r="M99" i="75"/>
  <c r="M97" i="75" s="1"/>
  <c r="M100" i="75" s="1"/>
  <c r="L29" i="76"/>
  <c r="K29" i="76"/>
  <c r="M29" i="76" s="1"/>
  <c r="E118" i="55"/>
  <c r="E86" i="55"/>
  <c r="R32" i="75"/>
  <c r="R99" i="75" s="1"/>
  <c r="R24" i="59"/>
  <c r="S31" i="38"/>
  <c r="O30" i="38"/>
  <c r="Q30" i="38" s="1"/>
  <c r="N15" i="21"/>
  <c r="F85" i="21" s="1"/>
  <c r="F84" i="21"/>
  <c r="X38" i="26"/>
  <c r="X35" i="26" s="1"/>
  <c r="E71" i="55"/>
  <c r="E103" i="55"/>
  <c r="AC32" i="75"/>
  <c r="AC24" i="59"/>
  <c r="Q98" i="75"/>
  <c r="Q27" i="75"/>
  <c r="Q26" i="75" s="1"/>
  <c r="Q29" i="75" s="1"/>
  <c r="AA27" i="48"/>
  <c r="S43" i="30"/>
  <c r="I26" i="21"/>
  <c r="D63" i="59"/>
  <c r="D62" i="59" s="1"/>
  <c r="D65" i="59" s="1"/>
  <c r="D66" i="59"/>
  <c r="D31" i="59" s="1"/>
  <c r="J65" i="48"/>
  <c r="J72" i="48" s="1"/>
  <c r="J38" i="48"/>
  <c r="K33" i="48"/>
  <c r="I98" i="75"/>
  <c r="I97" i="75" s="1"/>
  <c r="I100" i="75" s="1"/>
  <c r="I27" i="75"/>
  <c r="I26" i="75" s="1"/>
  <c r="I29" i="75" s="1"/>
  <c r="I101" i="75"/>
  <c r="C85" i="21"/>
  <c r="W32" i="75"/>
  <c r="W99" i="75" s="1"/>
  <c r="W24" i="59"/>
  <c r="H70" i="55"/>
  <c r="H102" i="55"/>
  <c r="P48" i="48"/>
  <c r="M48" i="48"/>
  <c r="O48" i="48"/>
  <c r="N48" i="48"/>
  <c r="D84" i="21"/>
  <c r="F15" i="21"/>
  <c r="D85" i="21" s="1"/>
  <c r="D87" i="21" s="1"/>
  <c r="P38" i="26"/>
  <c r="P35" i="26" s="1"/>
  <c r="W13" i="30"/>
  <c r="W12" i="30" s="1"/>
  <c r="L30" i="76"/>
  <c r="V68" i="59"/>
  <c r="V67" i="59" s="1"/>
  <c r="U68" i="59"/>
  <c r="U67" i="59" s="1"/>
  <c r="H31" i="59"/>
  <c r="W68" i="59"/>
  <c r="S46" i="48"/>
  <c r="Q46" i="48"/>
  <c r="T46" i="48"/>
  <c r="R46" i="48"/>
  <c r="I63" i="59"/>
  <c r="I62" i="59" s="1"/>
  <c r="I65" i="59" s="1"/>
  <c r="I74" i="59" s="1"/>
  <c r="I29" i="59" s="1"/>
  <c r="I66" i="59"/>
  <c r="H6" i="50"/>
  <c r="O46" i="30"/>
  <c r="X15" i="30"/>
  <c r="X13" i="30"/>
  <c r="X12" i="30" s="1"/>
  <c r="M46" i="48"/>
  <c r="P46" i="48"/>
  <c r="N46" i="48"/>
  <c r="O46" i="48"/>
  <c r="AE11" i="20"/>
  <c r="H4" i="35"/>
  <c r="I6" i="55" s="1"/>
  <c r="J73" i="38"/>
  <c r="J71" i="38"/>
  <c r="T98" i="75"/>
  <c r="T97" i="75" s="1"/>
  <c r="T100" i="75" s="1"/>
  <c r="T27" i="75"/>
  <c r="T26" i="75" s="1"/>
  <c r="T29" i="75" s="1"/>
  <c r="T30" i="59"/>
  <c r="M5" i="50" s="1"/>
  <c r="T64" i="59"/>
  <c r="T62" i="59" s="1"/>
  <c r="T65" i="59" s="1"/>
  <c r="B49" i="76"/>
  <c r="D48" i="76"/>
  <c r="G125" i="55"/>
  <c r="G93" i="55"/>
  <c r="I15" i="35"/>
  <c r="J17" i="55" s="1"/>
  <c r="W50" i="48"/>
  <c r="V50" i="48"/>
  <c r="X50" i="48"/>
  <c r="U50" i="48"/>
  <c r="D85" i="55"/>
  <c r="D117" i="55"/>
  <c r="G98" i="75"/>
  <c r="G97" i="75" s="1"/>
  <c r="G100" i="75" s="1"/>
  <c r="G27" i="75"/>
  <c r="G26" i="75" s="1"/>
  <c r="G29" i="75" s="1"/>
  <c r="G101" i="75"/>
  <c r="G39" i="75" s="1"/>
  <c r="H43" i="76"/>
  <c r="G44" i="76"/>
  <c r="E87" i="21"/>
  <c r="V103" i="75"/>
  <c r="U103" i="75"/>
  <c r="U102" i="75" s="1"/>
  <c r="H39" i="75"/>
  <c r="H41" i="75" s="1"/>
  <c r="R13" i="30"/>
  <c r="R12" i="30" s="1"/>
  <c r="R15" i="30"/>
  <c r="Q13" i="30"/>
  <c r="Q12" i="30" s="1"/>
  <c r="Q15" i="30"/>
  <c r="G84" i="21"/>
  <c r="G87" i="21" s="1"/>
  <c r="R15" i="21"/>
  <c r="G85" i="21" s="1"/>
  <c r="AB38" i="26"/>
  <c r="AB35" i="26" s="1"/>
  <c r="J6" i="50"/>
  <c r="Q46" i="30"/>
  <c r="AD129" i="48"/>
  <c r="AC23" i="48"/>
  <c r="AC19" i="48" s="1"/>
  <c r="G20" i="35" s="1"/>
  <c r="H22" i="55" s="1"/>
  <c r="AA14" i="75"/>
  <c r="AA14" i="59"/>
  <c r="E8" i="35"/>
  <c r="F10" i="55" s="1"/>
  <c r="AB27" i="20"/>
  <c r="E5" i="35"/>
  <c r="F7" i="55" s="1"/>
  <c r="N43" i="30"/>
  <c r="D26" i="21"/>
  <c r="G63" i="59"/>
  <c r="G62" i="59" s="1"/>
  <c r="G65" i="59" s="1"/>
  <c r="G74" i="59" s="1"/>
  <c r="G29" i="59" s="1"/>
  <c r="G66" i="59"/>
  <c r="G31" i="59" s="1"/>
  <c r="AB14" i="25"/>
  <c r="AB13" i="25" s="1"/>
  <c r="AB11" i="25" s="1"/>
  <c r="AB19" i="25" s="1"/>
  <c r="AC12" i="25"/>
  <c r="N48" i="75"/>
  <c r="R98" i="75"/>
  <c r="R97" i="75" s="1"/>
  <c r="R100" i="75" s="1"/>
  <c r="R27" i="75"/>
  <c r="R26" i="75" s="1"/>
  <c r="R29" i="75" s="1"/>
  <c r="W14" i="74"/>
  <c r="W13" i="74" s="1"/>
  <c r="W11" i="74" s="1"/>
  <c r="W19" i="74" s="1"/>
  <c r="X12" i="74"/>
  <c r="Z75" i="26"/>
  <c r="AB13" i="30"/>
  <c r="AB15" i="30"/>
  <c r="AC17" i="30"/>
  <c r="Q25" i="21"/>
  <c r="AA43" i="30" s="1"/>
  <c r="AA41" i="30"/>
  <c r="AA24" i="30" s="1"/>
  <c r="F63" i="59"/>
  <c r="F62" i="59" s="1"/>
  <c r="F65" i="59" s="1"/>
  <c r="F74" i="59" s="1"/>
  <c r="F29" i="59" s="1"/>
  <c r="F66" i="59"/>
  <c r="F31" i="59" s="1"/>
  <c r="AA80" i="26"/>
  <c r="AA75" i="26" s="1"/>
  <c r="AB20" i="26"/>
  <c r="AA11" i="26"/>
  <c r="J22" i="21"/>
  <c r="T39" i="30"/>
  <c r="G4" i="50"/>
  <c r="N64" i="59"/>
  <c r="H93" i="55"/>
  <c r="H125" i="55"/>
  <c r="W47" i="21"/>
  <c r="E110" i="55"/>
  <c r="E78" i="55"/>
  <c r="Y85" i="75"/>
  <c r="X34" i="75"/>
  <c r="X24" i="75"/>
  <c r="X28" i="75" s="1"/>
  <c r="X26" i="75" s="1"/>
  <c r="E84" i="21"/>
  <c r="J15" i="21"/>
  <c r="E85" i="21" s="1"/>
  <c r="T38" i="26"/>
  <c r="T35" i="26" s="1"/>
  <c r="S26" i="75"/>
  <c r="S29" i="75" s="1"/>
  <c r="F16" i="35"/>
  <c r="G18" i="55" s="1"/>
  <c r="D73" i="55"/>
  <c r="D105" i="55"/>
  <c r="V46" i="30"/>
  <c r="O6" i="50"/>
  <c r="AA12" i="49"/>
  <c r="O25" i="21"/>
  <c r="Y43" i="30" s="1"/>
  <c r="Y41" i="30"/>
  <c r="Y24" i="30" s="1"/>
  <c r="N62" i="59"/>
  <c r="N65" i="59" s="1"/>
  <c r="F22" i="21"/>
  <c r="P40" i="30" s="1"/>
  <c r="P39" i="30"/>
  <c r="F87" i="21"/>
  <c r="P41" i="38"/>
  <c r="T42" i="38"/>
  <c r="M6" i="50"/>
  <c r="T46" i="30"/>
  <c r="I42" i="76"/>
  <c r="J42" i="76" s="1"/>
  <c r="T49" i="48"/>
  <c r="S49" i="48"/>
  <c r="R49" i="48"/>
  <c r="Q49" i="48"/>
  <c r="H101" i="55"/>
  <c r="H69" i="55"/>
  <c r="H74" i="59"/>
  <c r="H29" i="59" s="1"/>
  <c r="K25" i="21"/>
  <c r="L34" i="48"/>
  <c r="K39" i="48"/>
  <c r="K66" i="48"/>
  <c r="K73" i="48" s="1"/>
  <c r="P6" i="50"/>
  <c r="W46" i="30"/>
  <c r="AB19" i="48"/>
  <c r="F20" i="35" s="1"/>
  <c r="G22" i="55" s="1"/>
  <c r="F98" i="75"/>
  <c r="F97" i="75" s="1"/>
  <c r="F100" i="75" s="1"/>
  <c r="F27" i="75"/>
  <c r="F26" i="75" s="1"/>
  <c r="F29" i="75" s="1"/>
  <c r="F101" i="75"/>
  <c r="F39" i="75" s="1"/>
  <c r="F126" i="55"/>
  <c r="F94" i="55"/>
  <c r="N99" i="75"/>
  <c r="K31" i="48"/>
  <c r="J63" i="48"/>
  <c r="J70" i="48" s="1"/>
  <c r="J35" i="48"/>
  <c r="P49" i="48"/>
  <c r="N49" i="48"/>
  <c r="M49" i="48"/>
  <c r="O49" i="48"/>
  <c r="AA17" i="75"/>
  <c r="AA15" i="33"/>
  <c r="AA17" i="59"/>
  <c r="AB10" i="33"/>
  <c r="E12" i="35"/>
  <c r="F14" i="55" s="1"/>
  <c r="G131" i="75"/>
  <c r="G132" i="75" s="1"/>
  <c r="G99" i="59"/>
  <c r="G96" i="59"/>
  <c r="G97" i="59" s="1"/>
  <c r="H22" i="33"/>
  <c r="O24" i="30"/>
  <c r="Z14" i="75"/>
  <c r="Z14" i="59"/>
  <c r="D8" i="35"/>
  <c r="H109" i="75"/>
  <c r="H37" i="75" s="1"/>
  <c r="S97" i="75"/>
  <c r="S100" i="75" s="1"/>
  <c r="H86" i="55" l="1"/>
  <c r="H118" i="55"/>
  <c r="AB14" i="75"/>
  <c r="AB14" i="59"/>
  <c r="F8" i="35"/>
  <c r="G10" i="55" s="1"/>
  <c r="G34" i="76"/>
  <c r="H34" i="76" s="1"/>
  <c r="K42" i="76"/>
  <c r="M42" i="76" s="1"/>
  <c r="L42" i="76"/>
  <c r="Z13" i="30"/>
  <c r="Z15" i="30"/>
  <c r="G45" i="76"/>
  <c r="H44" i="76"/>
  <c r="P43" i="30"/>
  <c r="F26" i="21"/>
  <c r="F33" i="59"/>
  <c r="J43" i="76"/>
  <c r="I43" i="76"/>
  <c r="H33" i="59"/>
  <c r="D82" i="55"/>
  <c r="D114" i="55"/>
  <c r="E33" i="59"/>
  <c r="F127" i="55"/>
  <c r="F95" i="55"/>
  <c r="N26" i="75"/>
  <c r="N29" i="75" s="1"/>
  <c r="I4" i="50"/>
  <c r="P64" i="59"/>
  <c r="P62" i="59" s="1"/>
  <c r="P65" i="59" s="1"/>
  <c r="AA49" i="20"/>
  <c r="AA50" i="20" s="1"/>
  <c r="E2" i="35"/>
  <c r="F4" i="55" s="1"/>
  <c r="D74" i="59"/>
  <c r="D29" i="59" s="1"/>
  <c r="D33" i="59" s="1"/>
  <c r="D15" i="35"/>
  <c r="E17" i="55" s="1"/>
  <c r="Z64" i="59"/>
  <c r="M49" i="20"/>
  <c r="M50" i="20" s="1"/>
  <c r="F2" i="50"/>
  <c r="V62" i="59"/>
  <c r="V65" i="59" s="1"/>
  <c r="AA20" i="70"/>
  <c r="AA27" i="70" s="1"/>
  <c r="D6" i="71" s="1"/>
  <c r="F32" i="55"/>
  <c r="AD69" i="59"/>
  <c r="AD71" i="59" s="1"/>
  <c r="AD70" i="59" s="1"/>
  <c r="E10" i="55"/>
  <c r="Y33" i="80"/>
  <c r="Z49" i="20"/>
  <c r="Z50" i="20" s="1"/>
  <c r="D2" i="35"/>
  <c r="E4" i="55" s="1"/>
  <c r="D76" i="55"/>
  <c r="D108" i="55"/>
  <c r="J92" i="55"/>
  <c r="J124" i="55"/>
  <c r="R41" i="38"/>
  <c r="J113" i="55"/>
  <c r="J81" i="55"/>
  <c r="E96" i="55"/>
  <c r="E128" i="55"/>
  <c r="O15" i="30"/>
  <c r="O13" i="30"/>
  <c r="O12" i="30" s="1"/>
  <c r="F71" i="55"/>
  <c r="F103" i="55"/>
  <c r="I113" i="55"/>
  <c r="I81" i="55"/>
  <c r="E82" i="55"/>
  <c r="E114" i="55"/>
  <c r="AA15" i="30"/>
  <c r="AA13" i="30"/>
  <c r="AC27" i="20"/>
  <c r="F5" i="35"/>
  <c r="G7" i="55" s="1"/>
  <c r="W46" i="48"/>
  <c r="V46" i="48"/>
  <c r="X46" i="48"/>
  <c r="U46" i="48"/>
  <c r="P4" i="50"/>
  <c r="W64" i="59"/>
  <c r="D41" i="75"/>
  <c r="L4" i="50"/>
  <c r="S64" i="59"/>
  <c r="S62" i="59" s="1"/>
  <c r="S65" i="59" s="1"/>
  <c r="V98" i="75"/>
  <c r="V97" i="75" s="1"/>
  <c r="V100" i="75" s="1"/>
  <c r="V27" i="75"/>
  <c r="V26" i="75" s="1"/>
  <c r="V29" i="75" s="1"/>
  <c r="V42" i="75"/>
  <c r="W43" i="30"/>
  <c r="M26" i="21"/>
  <c r="AD50" i="30"/>
  <c r="U12" i="30"/>
  <c r="AD49" i="30" s="1"/>
  <c r="Y12" i="20"/>
  <c r="Y28" i="20"/>
  <c r="U43" i="30"/>
  <c r="AD80" i="30" s="1"/>
  <c r="K26" i="21"/>
  <c r="K65" i="48"/>
  <c r="K72" i="48" s="1"/>
  <c r="K38" i="48"/>
  <c r="L33" i="48"/>
  <c r="D100" i="55"/>
  <c r="D68" i="55"/>
  <c r="G109" i="75"/>
  <c r="G37" i="75" s="1"/>
  <c r="G41" i="75" s="1"/>
  <c r="N4" i="50"/>
  <c r="U64" i="59"/>
  <c r="U62" i="59" s="1"/>
  <c r="U65" i="59" s="1"/>
  <c r="H82" i="55"/>
  <c r="H114" i="55"/>
  <c r="AB48" i="48"/>
  <c r="Y48" i="48"/>
  <c r="AA48" i="48"/>
  <c r="Z48" i="48"/>
  <c r="Z12" i="48"/>
  <c r="W14" i="75"/>
  <c r="W16" i="59"/>
  <c r="W14" i="59" s="1"/>
  <c r="W63" i="59" s="1"/>
  <c r="W62" i="59" s="1"/>
  <c r="W65" i="59" s="1"/>
  <c r="X20" i="25"/>
  <c r="G96" i="55"/>
  <c r="G128" i="55"/>
  <c r="P97" i="75"/>
  <c r="P100" i="75" s="1"/>
  <c r="R43" i="30"/>
  <c r="H26" i="21"/>
  <c r="G118" i="55"/>
  <c r="G86" i="55"/>
  <c r="F106" i="55"/>
  <c r="F74" i="55"/>
  <c r="K63" i="48"/>
  <c r="K70" i="48" s="1"/>
  <c r="K35" i="48"/>
  <c r="L31" i="48"/>
  <c r="Y13" i="30"/>
  <c r="Y12" i="30" s="1"/>
  <c r="Z12" i="30" s="1"/>
  <c r="Y15" i="30"/>
  <c r="AC15" i="30"/>
  <c r="AD17" i="30"/>
  <c r="AC13" i="30"/>
  <c r="J66" i="59"/>
  <c r="I31" i="59"/>
  <c r="I33" i="59" s="1"/>
  <c r="O78" i="26"/>
  <c r="O75" i="26" s="1"/>
  <c r="O29" i="26"/>
  <c r="P30" i="26"/>
  <c r="O15" i="26"/>
  <c r="O20" i="26" s="1"/>
  <c r="O80" i="26" s="1"/>
  <c r="M30" i="76"/>
  <c r="E41" i="75"/>
  <c r="E49" i="26"/>
  <c r="E45" i="26" s="1"/>
  <c r="D45" i="26"/>
  <c r="AH38" i="26"/>
  <c r="AI14" i="26" s="1"/>
  <c r="N35" i="26"/>
  <c r="AH35" i="26" s="1"/>
  <c r="F14" i="76"/>
  <c r="G13" i="76"/>
  <c r="R4" i="50"/>
  <c r="C15" i="35"/>
  <c r="D17" i="55" s="1"/>
  <c r="Y64" i="59"/>
  <c r="F114" i="55"/>
  <c r="F82" i="55"/>
  <c r="AA26" i="59"/>
  <c r="AA64" i="59" s="1"/>
  <c r="AB50" i="59"/>
  <c r="P42" i="38"/>
  <c r="R42" i="38" s="1"/>
  <c r="T43" i="38"/>
  <c r="AB80" i="26"/>
  <c r="AB75" i="26" s="1"/>
  <c r="AC20" i="26"/>
  <c r="AB11" i="26"/>
  <c r="Q64" i="59"/>
  <c r="Q62" i="59" s="1"/>
  <c r="Q65" i="59" s="1"/>
  <c r="J4" i="50"/>
  <c r="Y12" i="74"/>
  <c r="X14" i="74"/>
  <c r="X13" i="74" s="1"/>
  <c r="X11" i="74"/>
  <c r="X19" i="74" s="1"/>
  <c r="M64" i="59"/>
  <c r="M62" i="59" s="1"/>
  <c r="M65" i="59" s="1"/>
  <c r="G18" i="49"/>
  <c r="G19" i="49" s="1"/>
  <c r="G20" i="49" s="1"/>
  <c r="Z27" i="49" s="1"/>
  <c r="Z85" i="75"/>
  <c r="Y34" i="75"/>
  <c r="Y99" i="75" s="1"/>
  <c r="Y24" i="75"/>
  <c r="Y28" i="75" s="1"/>
  <c r="Y26" i="75" s="1"/>
  <c r="J12" i="20"/>
  <c r="J28" i="20"/>
  <c r="V49" i="48"/>
  <c r="X49" i="48"/>
  <c r="W49" i="48"/>
  <c r="U49" i="48"/>
  <c r="F109" i="75"/>
  <c r="F37" i="75" s="1"/>
  <c r="F41" i="75" s="1"/>
  <c r="F78" i="55"/>
  <c r="F110" i="55"/>
  <c r="Q97" i="75"/>
  <c r="Q100" i="75" s="1"/>
  <c r="K4" i="50"/>
  <c r="R64" i="59"/>
  <c r="R62" i="59" s="1"/>
  <c r="R65" i="59" s="1"/>
  <c r="N75" i="26"/>
  <c r="E109" i="75"/>
  <c r="E37" i="75" s="1"/>
  <c r="F15" i="35"/>
  <c r="G17" i="55" s="1"/>
  <c r="E25" i="21"/>
  <c r="E15" i="35"/>
  <c r="F17" i="55" s="1"/>
  <c r="K92" i="55"/>
  <c r="K124" i="55"/>
  <c r="S20" i="38"/>
  <c r="L20" i="38" s="1"/>
  <c r="N20" i="38" s="1"/>
  <c r="L19" i="38"/>
  <c r="X64" i="59"/>
  <c r="Q4" i="50"/>
  <c r="W67" i="59"/>
  <c r="X68" i="59"/>
  <c r="G114" i="55"/>
  <c r="G82" i="55"/>
  <c r="AC14" i="25"/>
  <c r="AC13" i="25" s="1"/>
  <c r="AC11" i="25" s="1"/>
  <c r="AC19" i="25" s="1"/>
  <c r="AD12" i="25"/>
  <c r="I102" i="55"/>
  <c r="I70" i="55"/>
  <c r="W15" i="21"/>
  <c r="O31" i="38"/>
  <c r="Q31" i="38" s="1"/>
  <c r="S32" i="38"/>
  <c r="AF11" i="20"/>
  <c r="I4" i="35"/>
  <c r="J6" i="55" s="1"/>
  <c r="J101" i="75"/>
  <c r="J109" i="75" s="1"/>
  <c r="J37" i="75" s="1"/>
  <c r="I39" i="75"/>
  <c r="I41" i="75" s="1"/>
  <c r="L39" i="48"/>
  <c r="L66" i="48"/>
  <c r="M34" i="48"/>
  <c r="M39" i="48" s="1"/>
  <c r="AB12" i="49"/>
  <c r="AE129" i="48"/>
  <c r="AD23" i="48"/>
  <c r="AD19" i="48" s="1"/>
  <c r="H20" i="35" s="1"/>
  <c r="I22" i="55" s="1"/>
  <c r="G15" i="35"/>
  <c r="H17" i="55" s="1"/>
  <c r="U97" i="75"/>
  <c r="U100" i="75" s="1"/>
  <c r="AA105" i="75"/>
  <c r="AA104" i="75"/>
  <c r="AA106" i="75" s="1"/>
  <c r="X99" i="75"/>
  <c r="D116" i="55"/>
  <c r="D84" i="55"/>
  <c r="AB17" i="75"/>
  <c r="AB15" i="33"/>
  <c r="AB17" i="59"/>
  <c r="AC10" i="33"/>
  <c r="F12" i="35"/>
  <c r="G14" i="55" s="1"/>
  <c r="Y50" i="48"/>
  <c r="AB50" i="48"/>
  <c r="AA50" i="48"/>
  <c r="Z50" i="48"/>
  <c r="Z16" i="48"/>
  <c r="T40" i="30"/>
  <c r="J25" i="21"/>
  <c r="B50" i="76"/>
  <c r="D50" i="76" s="1"/>
  <c r="G35" i="76" s="1"/>
  <c r="H35" i="76" s="1"/>
  <c r="D49" i="76"/>
  <c r="W103" i="75"/>
  <c r="V102" i="75"/>
  <c r="G33" i="59"/>
  <c r="I109" i="75"/>
  <c r="I37" i="75" s="1"/>
  <c r="L37" i="48"/>
  <c r="M32" i="48"/>
  <c r="M37" i="48" s="1"/>
  <c r="L64" i="48"/>
  <c r="O4" i="50"/>
  <c r="V64" i="59"/>
  <c r="G25" i="21"/>
  <c r="AA38" i="59"/>
  <c r="D18" i="35"/>
  <c r="E20" i="55" s="1"/>
  <c r="L25" i="21"/>
  <c r="AC14" i="75" l="1"/>
  <c r="AC14" i="59"/>
  <c r="G8" i="35"/>
  <c r="H10" i="55" s="1"/>
  <c r="AE69" i="59"/>
  <c r="AE71" i="59" s="1"/>
  <c r="AE70" i="59"/>
  <c r="Z76" i="59" s="1"/>
  <c r="AC77" i="59" s="1"/>
  <c r="AA16" i="48"/>
  <c r="D21" i="35"/>
  <c r="E23" i="55" s="1"/>
  <c r="AE23" i="48"/>
  <c r="AE19" i="48" s="1"/>
  <c r="I20" i="35" s="1"/>
  <c r="J22" i="55" s="1"/>
  <c r="AF129" i="48"/>
  <c r="G14" i="76"/>
  <c r="H13" i="76"/>
  <c r="K66" i="59"/>
  <c r="J31" i="59"/>
  <c r="J74" i="59"/>
  <c r="J29" i="59" s="1"/>
  <c r="J44" i="76"/>
  <c r="I44" i="76"/>
  <c r="V43" i="30"/>
  <c r="L26" i="21"/>
  <c r="Z45" i="75"/>
  <c r="Z29" i="49"/>
  <c r="Z30" i="49" s="1"/>
  <c r="AA27" i="49"/>
  <c r="Z37" i="59"/>
  <c r="D11" i="35"/>
  <c r="P43" i="38"/>
  <c r="R43" i="38" s="1"/>
  <c r="T44" i="38"/>
  <c r="L38" i="48"/>
  <c r="M33" i="48"/>
  <c r="M38" i="48" s="1"/>
  <c r="L65" i="48"/>
  <c r="M28" i="20"/>
  <c r="M12" i="20"/>
  <c r="G46" i="76"/>
  <c r="H46" i="76" s="1"/>
  <c r="H45" i="76"/>
  <c r="O49" i="20"/>
  <c r="O50" i="20" s="1"/>
  <c r="H2" i="50"/>
  <c r="AC12" i="49"/>
  <c r="AD12" i="49" s="1"/>
  <c r="AE12" i="49" s="1"/>
  <c r="AF12" i="49" s="1"/>
  <c r="AG12" i="49" s="1"/>
  <c r="N19" i="38"/>
  <c r="N46" i="38" s="1"/>
  <c r="N47" i="38" s="1"/>
  <c r="L46" i="38"/>
  <c r="L47" i="38" s="1"/>
  <c r="AC80" i="26"/>
  <c r="AC75" i="26" s="1"/>
  <c r="AD20" i="26"/>
  <c r="AC11" i="26"/>
  <c r="J18" i="49"/>
  <c r="J19" i="49" s="1"/>
  <c r="E116" i="55"/>
  <c r="E84" i="55"/>
  <c r="AD15" i="30"/>
  <c r="AD13" i="30"/>
  <c r="AE17" i="30"/>
  <c r="AB49" i="48"/>
  <c r="Z49" i="48"/>
  <c r="Y49" i="48"/>
  <c r="AA49" i="48"/>
  <c r="Z14" i="48"/>
  <c r="AA14" i="48" s="1"/>
  <c r="G106" i="55"/>
  <c r="G74" i="55"/>
  <c r="Z34" i="75"/>
  <c r="Z99" i="75" s="1"/>
  <c r="Z24" i="75"/>
  <c r="AA85" i="75"/>
  <c r="AB49" i="20"/>
  <c r="AB50" i="20" s="1"/>
  <c r="F2" i="35"/>
  <c r="G4" i="55" s="1"/>
  <c r="AB38" i="59"/>
  <c r="E18" i="35"/>
  <c r="F20" i="55" s="1"/>
  <c r="G110" i="55"/>
  <c r="G78" i="55"/>
  <c r="AE50" i="48"/>
  <c r="AC50" i="48"/>
  <c r="AG50" i="48"/>
  <c r="AF50" i="48"/>
  <c r="AD50" i="48"/>
  <c r="AD14" i="25"/>
  <c r="AD13" i="25" s="1"/>
  <c r="AD11" i="25"/>
  <c r="AD19" i="25" s="1"/>
  <c r="H8" i="35" s="1"/>
  <c r="I10" i="55" s="1"/>
  <c r="E100" i="55"/>
  <c r="E68" i="55"/>
  <c r="E113" i="55"/>
  <c r="E81" i="55"/>
  <c r="I34" i="76"/>
  <c r="J34" i="76" s="1"/>
  <c r="X103" i="75"/>
  <c r="W102" i="75"/>
  <c r="AC17" i="59"/>
  <c r="AC17" i="75"/>
  <c r="AC15" i="33"/>
  <c r="AD10" i="33"/>
  <c r="G12" i="35"/>
  <c r="H14" i="55" s="1"/>
  <c r="AB104" i="75"/>
  <c r="AB106" i="75" s="1"/>
  <c r="AB105" i="75" s="1"/>
  <c r="F113" i="55"/>
  <c r="F81" i="55"/>
  <c r="AC50" i="59"/>
  <c r="AB26" i="59"/>
  <c r="AB64" i="59" s="1"/>
  <c r="G71" i="55"/>
  <c r="G103" i="55"/>
  <c r="Z12" i="20"/>
  <c r="Z28" i="20"/>
  <c r="H18" i="49"/>
  <c r="H19" i="49" s="1"/>
  <c r="H20" i="49" s="1"/>
  <c r="Z28" i="48"/>
  <c r="AA12" i="48"/>
  <c r="Y37" i="80"/>
  <c r="Z9" i="48"/>
  <c r="Q43" i="30"/>
  <c r="G26" i="21"/>
  <c r="J102" i="55"/>
  <c r="J70" i="55"/>
  <c r="L35" i="48"/>
  <c r="L63" i="48"/>
  <c r="M31" i="48"/>
  <c r="M35" i="48" s="1"/>
  <c r="X14" i="75"/>
  <c r="X16" i="59"/>
  <c r="Y20" i="25"/>
  <c r="X19" i="25"/>
  <c r="X15" i="59" s="1"/>
  <c r="AD27" i="20"/>
  <c r="G5" i="35"/>
  <c r="H7" i="55" s="1"/>
  <c r="E106" i="55"/>
  <c r="E74" i="55"/>
  <c r="AE48" i="48"/>
  <c r="AC48" i="48"/>
  <c r="AG48" i="48"/>
  <c r="AF48" i="48"/>
  <c r="AD48" i="48"/>
  <c r="AA12" i="30"/>
  <c r="Z11" i="30"/>
  <c r="Z46" i="30" s="1"/>
  <c r="D6" i="35" s="1"/>
  <c r="E8" i="55" s="1"/>
  <c r="I35" i="76"/>
  <c r="J35" i="76" s="1"/>
  <c r="H113" i="55"/>
  <c r="H81" i="55"/>
  <c r="J4" i="35"/>
  <c r="K6" i="55" s="1"/>
  <c r="AG11" i="20"/>
  <c r="K4" i="35" s="1"/>
  <c r="L6" i="55" s="1"/>
  <c r="L102" i="55" s="1"/>
  <c r="X67" i="59"/>
  <c r="Y68" i="59"/>
  <c r="G113" i="55"/>
  <c r="G81" i="55"/>
  <c r="Z12" i="74"/>
  <c r="Y11" i="74"/>
  <c r="Y19" i="74" s="1"/>
  <c r="Y14" i="74"/>
  <c r="Y13" i="74" s="1"/>
  <c r="Y46" i="48"/>
  <c r="AB46" i="48"/>
  <c r="AA46" i="48"/>
  <c r="Z46" i="48"/>
  <c r="F100" i="55"/>
  <c r="F68" i="55"/>
  <c r="K101" i="75"/>
  <c r="J39" i="75"/>
  <c r="J41" i="75" s="1"/>
  <c r="O43" i="30"/>
  <c r="E26" i="21"/>
  <c r="T43" i="30"/>
  <c r="J26" i="21"/>
  <c r="P29" i="26"/>
  <c r="Q30" i="26"/>
  <c r="P15" i="26"/>
  <c r="P78" i="26"/>
  <c r="AA12" i="20"/>
  <c r="AA28" i="20"/>
  <c r="K43" i="76"/>
  <c r="M43" i="76" s="1"/>
  <c r="L43" i="76"/>
  <c r="I118" i="55"/>
  <c r="I86" i="55"/>
  <c r="S33" i="38"/>
  <c r="O32" i="38"/>
  <c r="Q32" i="38" s="1"/>
  <c r="N49" i="20"/>
  <c r="N50" i="20" s="1"/>
  <c r="G2" i="50"/>
  <c r="D81" i="55"/>
  <c r="D113" i="55"/>
  <c r="F128" i="55"/>
  <c r="F96" i="55"/>
  <c r="L35" i="76" l="1"/>
  <c r="K35" i="76"/>
  <c r="L36" i="76"/>
  <c r="AC104" i="75"/>
  <c r="AC106" i="75" s="1"/>
  <c r="AC105" i="75" s="1"/>
  <c r="L34" i="76"/>
  <c r="K34" i="76"/>
  <c r="AF23" i="48"/>
  <c r="AF19" i="48" s="1"/>
  <c r="J20" i="35" s="1"/>
  <c r="K22" i="55" s="1"/>
  <c r="AG129" i="48"/>
  <c r="AG23" i="48" s="1"/>
  <c r="AG19" i="48" s="1"/>
  <c r="K20" i="35" s="1"/>
  <c r="L22" i="55" s="1"/>
  <c r="L118" i="55" s="1"/>
  <c r="P20" i="26"/>
  <c r="P80" i="26" s="1"/>
  <c r="P75" i="26" s="1"/>
  <c r="L101" i="75"/>
  <c r="K39" i="75"/>
  <c r="K41" i="75" s="1"/>
  <c r="K109" i="75"/>
  <c r="K37" i="75" s="1"/>
  <c r="AB12" i="30"/>
  <c r="AA11" i="30"/>
  <c r="AA46" i="30" s="1"/>
  <c r="E6" i="35" s="1"/>
  <c r="F8" i="55" s="1"/>
  <c r="X14" i="59"/>
  <c r="X63" i="59" s="1"/>
  <c r="X62" i="59" s="1"/>
  <c r="X65" i="59" s="1"/>
  <c r="O12" i="20"/>
  <c r="O28" i="20"/>
  <c r="Z68" i="59"/>
  <c r="Y67" i="59"/>
  <c r="Y14" i="75"/>
  <c r="Y16" i="59"/>
  <c r="C9" i="35"/>
  <c r="D11" i="55" s="1"/>
  <c r="Y19" i="25"/>
  <c r="AB12" i="48"/>
  <c r="AA28" i="48"/>
  <c r="AA9" i="48"/>
  <c r="J45" i="76"/>
  <c r="J47" i="76" s="1"/>
  <c r="L47" i="76" s="1"/>
  <c r="I45" i="76"/>
  <c r="AA45" i="75"/>
  <c r="AB27" i="49"/>
  <c r="AA30" i="49"/>
  <c r="AA37" i="59"/>
  <c r="E11" i="35"/>
  <c r="F13" i="55" s="1"/>
  <c r="AA29" i="49"/>
  <c r="J118" i="55"/>
  <c r="J86" i="55"/>
  <c r="N12" i="20"/>
  <c r="N28" i="20"/>
  <c r="Q29" i="26"/>
  <c r="R30" i="26"/>
  <c r="Q15" i="26"/>
  <c r="Q20" i="26" s="1"/>
  <c r="Q80" i="26" s="1"/>
  <c r="Q78" i="26"/>
  <c r="Q75" i="26" s="1"/>
  <c r="H78" i="55"/>
  <c r="H110" i="55"/>
  <c r="AB14" i="48"/>
  <c r="AC14" i="48" s="1"/>
  <c r="AD14" i="48" s="1"/>
  <c r="AE14" i="48" s="1"/>
  <c r="AF14" i="48" s="1"/>
  <c r="AG14" i="48" s="1"/>
  <c r="E119" i="55"/>
  <c r="E87" i="55"/>
  <c r="K102" i="55"/>
  <c r="AE10" i="33"/>
  <c r="AD15" i="33"/>
  <c r="H12" i="35"/>
  <c r="I14" i="55" s="1"/>
  <c r="AE20" i="26"/>
  <c r="AD80" i="26"/>
  <c r="AD75" i="26" s="1"/>
  <c r="AD11" i="26"/>
  <c r="AD9" i="26" s="1"/>
  <c r="AB16" i="48"/>
  <c r="E21" i="35"/>
  <c r="F23" i="55" s="1"/>
  <c r="O33" i="38"/>
  <c r="Q33" i="38" s="1"/>
  <c r="S34" i="38"/>
  <c r="AE46" i="48"/>
  <c r="AC46" i="48"/>
  <c r="AG46" i="48"/>
  <c r="AF46" i="48"/>
  <c r="AD46" i="48"/>
  <c r="AC10" i="48"/>
  <c r="F84" i="55"/>
  <c r="F116" i="55"/>
  <c r="AC49" i="20"/>
  <c r="AC50" i="20" s="1"/>
  <c r="G2" i="35"/>
  <c r="H4" i="55" s="1"/>
  <c r="AC38" i="59"/>
  <c r="F18" i="35"/>
  <c r="G20" i="55" s="1"/>
  <c r="AF49" i="48"/>
  <c r="AE49" i="48"/>
  <c r="AG49" i="48"/>
  <c r="AD49" i="48"/>
  <c r="AC49" i="48"/>
  <c r="K44" i="76"/>
  <c r="M44" i="76" s="1"/>
  <c r="L44" i="76"/>
  <c r="AF69" i="59"/>
  <c r="AF71" i="59" s="1"/>
  <c r="AF70" i="59" s="1"/>
  <c r="H71" i="55"/>
  <c r="H103" i="55"/>
  <c r="G100" i="55"/>
  <c r="G68" i="55"/>
  <c r="P44" i="38"/>
  <c r="R44" i="38" s="1"/>
  <c r="T45" i="38"/>
  <c r="P45" i="38" s="1"/>
  <c r="I46" i="76"/>
  <c r="J46" i="76" s="1"/>
  <c r="AE27" i="20"/>
  <c r="H5" i="35"/>
  <c r="I7" i="55" s="1"/>
  <c r="I106" i="55"/>
  <c r="I74" i="55"/>
  <c r="AB12" i="20"/>
  <c r="AB28" i="20"/>
  <c r="AE15" i="30"/>
  <c r="AF17" i="30"/>
  <c r="AE13" i="30"/>
  <c r="I18" i="49"/>
  <c r="I19" i="49" s="1"/>
  <c r="I20" i="49" s="1"/>
  <c r="J33" i="59"/>
  <c r="C3" i="50" s="1"/>
  <c r="H106" i="55"/>
  <c r="H74" i="55"/>
  <c r="Y103" i="75"/>
  <c r="X102" i="75"/>
  <c r="AA34" i="75"/>
  <c r="AA99" i="75" s="1"/>
  <c r="AA24" i="75"/>
  <c r="AB85" i="75"/>
  <c r="E13" i="55"/>
  <c r="Y32" i="80"/>
  <c r="L66" i="59"/>
  <c r="K31" i="59"/>
  <c r="K74" i="59"/>
  <c r="K29" i="59" s="1"/>
  <c r="Z10" i="26"/>
  <c r="Z9" i="26" s="1"/>
  <c r="D10" i="35"/>
  <c r="E12" i="55" s="1"/>
  <c r="AA12" i="74"/>
  <c r="Z14" i="74"/>
  <c r="Z13" i="74" s="1"/>
  <c r="Z11" i="74"/>
  <c r="Z19" i="74" s="1"/>
  <c r="E104" i="55"/>
  <c r="E72" i="55"/>
  <c r="Z26" i="48"/>
  <c r="D19" i="35"/>
  <c r="E21" i="55" s="1"/>
  <c r="AD50" i="59"/>
  <c r="AC26" i="59"/>
  <c r="AC64" i="59" s="1"/>
  <c r="Z28" i="75"/>
  <c r="Z26" i="75" s="1"/>
  <c r="I13" i="76"/>
  <c r="H14" i="76"/>
  <c r="P49" i="20" l="1"/>
  <c r="P50" i="20" s="1"/>
  <c r="I2" i="50"/>
  <c r="AG69" i="59"/>
  <c r="AG71" i="59" s="1"/>
  <c r="AD76" i="59"/>
  <c r="AG70" i="59"/>
  <c r="AD104" i="75"/>
  <c r="AD106" i="75" s="1"/>
  <c r="AD105" i="75" s="1"/>
  <c r="L46" i="76"/>
  <c r="K46" i="76"/>
  <c r="M46" i="76" s="1"/>
  <c r="F109" i="55"/>
  <c r="F77" i="55"/>
  <c r="L31" i="59"/>
  <c r="M66" i="59"/>
  <c r="L74" i="59"/>
  <c r="L29" i="59" s="1"/>
  <c r="R46" i="38"/>
  <c r="R47" i="38" s="1"/>
  <c r="I78" i="55"/>
  <c r="I110" i="55"/>
  <c r="J2" i="50"/>
  <c r="Q49" i="20"/>
  <c r="Q50" i="20" s="1"/>
  <c r="AB45" i="75"/>
  <c r="AB37" i="59"/>
  <c r="AC27" i="49"/>
  <c r="AB29" i="49"/>
  <c r="AB30" i="49" s="1"/>
  <c r="F11" i="35"/>
  <c r="G13" i="55" s="1"/>
  <c r="AA68" i="59"/>
  <c r="Z67" i="59"/>
  <c r="K118" i="55"/>
  <c r="E85" i="55"/>
  <c r="E117" i="55"/>
  <c r="E76" i="55"/>
  <c r="E108" i="55"/>
  <c r="AD49" i="20"/>
  <c r="AD50" i="20" s="1"/>
  <c r="H2" i="35"/>
  <c r="I4" i="55" s="1"/>
  <c r="K33" i="59"/>
  <c r="D3" i="50" s="1"/>
  <c r="R45" i="38"/>
  <c r="P46" i="38"/>
  <c r="P47" i="38" s="1"/>
  <c r="AC27" i="48"/>
  <c r="AD10" i="48"/>
  <c r="AF15" i="30"/>
  <c r="AG17" i="30"/>
  <c r="AF13" i="30"/>
  <c r="E77" i="55"/>
  <c r="E109" i="55"/>
  <c r="AE15" i="33"/>
  <c r="AF10" i="33"/>
  <c r="I12" i="35"/>
  <c r="J14" i="55" s="1"/>
  <c r="I22" i="33"/>
  <c r="R29" i="26"/>
  <c r="S30" i="26"/>
  <c r="R15" i="26"/>
  <c r="R78" i="26"/>
  <c r="M34" i="76"/>
  <c r="AE50" i="59"/>
  <c r="AD26" i="59"/>
  <c r="AD64" i="59" s="1"/>
  <c r="AF20" i="26"/>
  <c r="AE80" i="26"/>
  <c r="AE75" i="26" s="1"/>
  <c r="AB24" i="75"/>
  <c r="AC85" i="75"/>
  <c r="AB34" i="75"/>
  <c r="AB99" i="75" s="1"/>
  <c r="G84" i="55"/>
  <c r="G116" i="55"/>
  <c r="L45" i="76"/>
  <c r="K45" i="76"/>
  <c r="M45" i="76" s="1"/>
  <c r="I14" i="76"/>
  <c r="J13" i="76"/>
  <c r="AA26" i="48"/>
  <c r="E19" i="35"/>
  <c r="F21" i="55" s="1"/>
  <c r="AA28" i="75"/>
  <c r="AA26" i="75" s="1"/>
  <c r="F72" i="55"/>
  <c r="F104" i="55"/>
  <c r="S35" i="38"/>
  <c r="O34" i="38"/>
  <c r="Q34" i="38" s="1"/>
  <c r="AC12" i="30"/>
  <c r="AB11" i="30"/>
  <c r="AB46" i="30" s="1"/>
  <c r="F6" i="35" s="1"/>
  <c r="G8" i="55" s="1"/>
  <c r="AD38" i="59"/>
  <c r="G18" i="35"/>
  <c r="H20" i="55" s="1"/>
  <c r="AA14" i="74"/>
  <c r="AA13" i="74" s="1"/>
  <c r="AA11" i="74" s="1"/>
  <c r="AA19" i="74" s="1"/>
  <c r="AB12" i="74"/>
  <c r="J20" i="49"/>
  <c r="AB28" i="48"/>
  <c r="AC12" i="48"/>
  <c r="AB9" i="48"/>
  <c r="Z103" i="75"/>
  <c r="Y102" i="75"/>
  <c r="H100" i="55"/>
  <c r="H68" i="55"/>
  <c r="I71" i="55"/>
  <c r="I103" i="55"/>
  <c r="F119" i="55"/>
  <c r="F87" i="55"/>
  <c r="Y15" i="59"/>
  <c r="Y14" i="59" s="1"/>
  <c r="Y63" i="59" s="1"/>
  <c r="Y62" i="59" s="1"/>
  <c r="Y65" i="59" s="1"/>
  <c r="C8" i="35"/>
  <c r="D10" i="55" s="1"/>
  <c r="M35" i="76"/>
  <c r="M36" i="76"/>
  <c r="AF27" i="20"/>
  <c r="I5" i="35"/>
  <c r="J7" i="55" s="1"/>
  <c r="AC12" i="20"/>
  <c r="AC28" i="20"/>
  <c r="AC16" i="48"/>
  <c r="F21" i="35"/>
  <c r="G23" i="55" s="1"/>
  <c r="AA10" i="26"/>
  <c r="AA9" i="26" s="1"/>
  <c r="E10" i="35"/>
  <c r="F12" i="55" s="1"/>
  <c r="D75" i="55"/>
  <c r="D107" i="55"/>
  <c r="M101" i="75"/>
  <c r="L39" i="75"/>
  <c r="L109" i="75"/>
  <c r="L37" i="75" s="1"/>
  <c r="AE104" i="75" l="1"/>
  <c r="AE106" i="75" s="1"/>
  <c r="AE105" i="75" s="1"/>
  <c r="AD16" i="48"/>
  <c r="G21" i="35"/>
  <c r="H23" i="55" s="1"/>
  <c r="H84" i="55"/>
  <c r="H116" i="55"/>
  <c r="J14" i="76"/>
  <c r="K13" i="76"/>
  <c r="I100" i="55"/>
  <c r="I68" i="55"/>
  <c r="G119" i="55"/>
  <c r="G87" i="55"/>
  <c r="AG20" i="26"/>
  <c r="AG80" i="26" s="1"/>
  <c r="AG75" i="26" s="1"/>
  <c r="AF80" i="26"/>
  <c r="AF75" i="26" s="1"/>
  <c r="L33" i="59"/>
  <c r="E3" i="50" s="1"/>
  <c r="G104" i="55"/>
  <c r="G72" i="55"/>
  <c r="K47" i="76"/>
  <c r="M47" i="76" s="1"/>
  <c r="AG10" i="33"/>
  <c r="AF15" i="33"/>
  <c r="J12" i="35"/>
  <c r="K14" i="55" s="1"/>
  <c r="AG13" i="30"/>
  <c r="AG15" i="30"/>
  <c r="Q12" i="20"/>
  <c r="Q28" i="20"/>
  <c r="L41" i="75"/>
  <c r="AB26" i="48"/>
  <c r="F19" i="35"/>
  <c r="G21" i="55" s="1"/>
  <c r="O35" i="38"/>
  <c r="Q35" i="38" s="1"/>
  <c r="S36" i="38"/>
  <c r="O36" i="38" s="1"/>
  <c r="AC45" i="75"/>
  <c r="AC37" i="59"/>
  <c r="AD27" i="49"/>
  <c r="AC30" i="49"/>
  <c r="AC29" i="49"/>
  <c r="G11" i="35"/>
  <c r="H13" i="55" s="1"/>
  <c r="AD12" i="30"/>
  <c r="AC11" i="30"/>
  <c r="AC46" i="30" s="1"/>
  <c r="G6" i="35" s="1"/>
  <c r="H8" i="55" s="1"/>
  <c r="Z102" i="75"/>
  <c r="AA103" i="75"/>
  <c r="N101" i="75"/>
  <c r="M39" i="75"/>
  <c r="M109" i="75"/>
  <c r="M37" i="75" s="1"/>
  <c r="R20" i="26"/>
  <c r="R80" i="26" s="1"/>
  <c r="R75" i="26" s="1"/>
  <c r="D106" i="55"/>
  <c r="D74" i="55"/>
  <c r="T30" i="26"/>
  <c r="S15" i="26"/>
  <c r="S20" i="26" s="1"/>
  <c r="S80" i="26" s="1"/>
  <c r="S78" i="26"/>
  <c r="S29" i="26"/>
  <c r="AB10" i="26"/>
  <c r="AB9" i="26" s="1"/>
  <c r="F10" i="35"/>
  <c r="G12" i="55" s="1"/>
  <c r="AE38" i="59"/>
  <c r="H18" i="35"/>
  <c r="I20" i="55" s="1"/>
  <c r="J103" i="55"/>
  <c r="J71" i="55"/>
  <c r="AD12" i="48"/>
  <c r="AC28" i="48"/>
  <c r="AD27" i="48"/>
  <c r="AE10" i="48"/>
  <c r="AD9" i="48"/>
  <c r="AD85" i="75"/>
  <c r="AE85" i="75" s="1"/>
  <c r="AF85" i="75" s="1"/>
  <c r="AG85" i="75" s="1"/>
  <c r="AC24" i="75"/>
  <c r="AC34" i="75"/>
  <c r="AC99" i="75" s="1"/>
  <c r="AC9" i="48"/>
  <c r="AE26" i="59"/>
  <c r="AE64" i="59" s="1"/>
  <c r="AF50" i="59"/>
  <c r="AG27" i="20"/>
  <c r="K5" i="35" s="1"/>
  <c r="L7" i="55" s="1"/>
  <c r="L103" i="55" s="1"/>
  <c r="J5" i="35"/>
  <c r="K7" i="55" s="1"/>
  <c r="AB14" i="74"/>
  <c r="AB13" i="74" s="1"/>
  <c r="AB11" i="74"/>
  <c r="AB19" i="74" s="1"/>
  <c r="AC12" i="74"/>
  <c r="AB28" i="75"/>
  <c r="AB26" i="75" s="1"/>
  <c r="AB68" i="59"/>
  <c r="AA67" i="59"/>
  <c r="F108" i="55"/>
  <c r="F76" i="55"/>
  <c r="F117" i="55"/>
  <c r="F85" i="55"/>
  <c r="AE49" i="20"/>
  <c r="AE50" i="20" s="1"/>
  <c r="I2" i="35"/>
  <c r="J4" i="55" s="1"/>
  <c r="J78" i="55"/>
  <c r="J110" i="55"/>
  <c r="G77" i="55"/>
  <c r="G109" i="55"/>
  <c r="M31" i="59"/>
  <c r="N66" i="59"/>
  <c r="M74" i="59"/>
  <c r="M29" i="59" s="1"/>
  <c r="P28" i="20"/>
  <c r="P12" i="20"/>
  <c r="R49" i="20" l="1"/>
  <c r="R50" i="20" s="1"/>
  <c r="K2" i="50"/>
  <c r="AF104" i="75"/>
  <c r="AF106" i="75" s="1"/>
  <c r="AF105" i="75" s="1"/>
  <c r="AF38" i="59"/>
  <c r="I18" i="35"/>
  <c r="J20" i="55" s="1"/>
  <c r="M41" i="75"/>
  <c r="M33" i="59"/>
  <c r="F3" i="50" s="1"/>
  <c r="AC68" i="59"/>
  <c r="AB67" i="59"/>
  <c r="AC28" i="75"/>
  <c r="AC26" i="75" s="1"/>
  <c r="G108" i="55"/>
  <c r="G76" i="55"/>
  <c r="N39" i="75"/>
  <c r="O101" i="75"/>
  <c r="N109" i="75"/>
  <c r="N37" i="75" s="1"/>
  <c r="Q36" i="38"/>
  <c r="Q46" i="38" s="1"/>
  <c r="Q47" i="38" s="1"/>
  <c r="O46" i="38"/>
  <c r="O47" i="38" s="1"/>
  <c r="I84" i="55"/>
  <c r="I116" i="55"/>
  <c r="AA102" i="75"/>
  <c r="AB103" i="75"/>
  <c r="AG15" i="33"/>
  <c r="AH10" i="33"/>
  <c r="K12" i="35"/>
  <c r="L14" i="55" s="1"/>
  <c r="L110" i="55" s="1"/>
  <c r="K14" i="76"/>
  <c r="L13" i="76"/>
  <c r="G117" i="55"/>
  <c r="G85" i="55"/>
  <c r="AC14" i="74"/>
  <c r="AC13" i="74" s="1"/>
  <c r="AC11" i="74" s="1"/>
  <c r="AC19" i="74" s="1"/>
  <c r="AD26" i="48"/>
  <c r="H19" i="35"/>
  <c r="I21" i="55" s="1"/>
  <c r="S75" i="26"/>
  <c r="H72" i="55"/>
  <c r="H104" i="55"/>
  <c r="K110" i="55"/>
  <c r="AF10" i="48"/>
  <c r="AE27" i="48"/>
  <c r="H119" i="55"/>
  <c r="H87" i="55"/>
  <c r="J100" i="55"/>
  <c r="J68" i="55"/>
  <c r="U30" i="26"/>
  <c r="T15" i="26"/>
  <c r="T20" i="26" s="1"/>
  <c r="T80" i="26" s="1"/>
  <c r="T78" i="26"/>
  <c r="T29" i="26"/>
  <c r="AC10" i="26"/>
  <c r="AC9" i="26" s="1"/>
  <c r="G10" i="35"/>
  <c r="H12" i="55" s="1"/>
  <c r="AE16" i="48"/>
  <c r="H21" i="35"/>
  <c r="I23" i="55" s="1"/>
  <c r="K103" i="55"/>
  <c r="AD28" i="48"/>
  <c r="AE12" i="48"/>
  <c r="AE9" i="48" s="1"/>
  <c r="AF49" i="20"/>
  <c r="AF50" i="20" s="1"/>
  <c r="J2" i="35"/>
  <c r="K4" i="55" s="1"/>
  <c r="AC26" i="48"/>
  <c r="G19" i="35"/>
  <c r="H21" i="55" s="1"/>
  <c r="N31" i="59"/>
  <c r="N33" i="59" s="1"/>
  <c r="G3" i="50" s="1"/>
  <c r="O66" i="59"/>
  <c r="N74" i="59"/>
  <c r="N29" i="59" s="1"/>
  <c r="AD11" i="30"/>
  <c r="AD46" i="30" s="1"/>
  <c r="H6" i="35" s="1"/>
  <c r="I8" i="55" s="1"/>
  <c r="AE12" i="30"/>
  <c r="H77" i="55"/>
  <c r="H109" i="55"/>
  <c r="AF26" i="59"/>
  <c r="AF64" i="59" s="1"/>
  <c r="AG50" i="59"/>
  <c r="AG26" i="59" s="1"/>
  <c r="AG64" i="59" s="1"/>
  <c r="AE27" i="49"/>
  <c r="AD30" i="49"/>
  <c r="AD29" i="49"/>
  <c r="H10" i="35" s="1"/>
  <c r="I12" i="55" s="1"/>
  <c r="H11" i="35"/>
  <c r="I13" i="55" s="1"/>
  <c r="AG49" i="20"/>
  <c r="AG50" i="20" s="1"/>
  <c r="K2" i="35"/>
  <c r="L4" i="55" s="1"/>
  <c r="L100" i="55" s="1"/>
  <c r="AE26" i="48" l="1"/>
  <c r="I19" i="35"/>
  <c r="J21" i="55" s="1"/>
  <c r="I117" i="55"/>
  <c r="I85" i="55"/>
  <c r="AE11" i="30"/>
  <c r="AE46" i="30" s="1"/>
  <c r="I6" i="35" s="1"/>
  <c r="J8" i="55" s="1"/>
  <c r="AF12" i="30"/>
  <c r="AD68" i="59"/>
  <c r="AC67" i="59"/>
  <c r="I119" i="55"/>
  <c r="I87" i="55"/>
  <c r="AF16" i="48"/>
  <c r="I21" i="35"/>
  <c r="J23" i="55" s="1"/>
  <c r="J84" i="55"/>
  <c r="J116" i="55"/>
  <c r="I72" i="55"/>
  <c r="I104" i="55"/>
  <c r="H108" i="55"/>
  <c r="H76" i="55"/>
  <c r="AG38" i="59"/>
  <c r="K18" i="35" s="1"/>
  <c r="L20" i="55" s="1"/>
  <c r="L116" i="55" s="1"/>
  <c r="J18" i="35"/>
  <c r="K20" i="55" s="1"/>
  <c r="S49" i="20"/>
  <c r="S50" i="20" s="1"/>
  <c r="L2" i="50"/>
  <c r="AF9" i="48"/>
  <c r="AF27" i="48"/>
  <c r="AG10" i="48"/>
  <c r="M13" i="76"/>
  <c r="L14" i="76"/>
  <c r="O39" i="75"/>
  <c r="P101" i="75"/>
  <c r="O109" i="75"/>
  <c r="O37" i="75" s="1"/>
  <c r="I77" i="55"/>
  <c r="I109" i="55"/>
  <c r="AF27" i="49"/>
  <c r="AE29" i="49"/>
  <c r="I10" i="35" s="1"/>
  <c r="J12" i="55" s="1"/>
  <c r="I11" i="35"/>
  <c r="J13" i="55" s="1"/>
  <c r="N41" i="75"/>
  <c r="AE28" i="48"/>
  <c r="AF12" i="48"/>
  <c r="AC103" i="75"/>
  <c r="AB102" i="75"/>
  <c r="P66" i="59"/>
  <c r="O31" i="59"/>
  <c r="O74" i="59"/>
  <c r="O29" i="59" s="1"/>
  <c r="I108" i="55"/>
  <c r="I76" i="55"/>
  <c r="H85" i="55"/>
  <c r="H117" i="55"/>
  <c r="K100" i="55"/>
  <c r="K68" i="55"/>
  <c r="T75" i="26"/>
  <c r="V30" i="26"/>
  <c r="U15" i="26"/>
  <c r="U20" i="26" s="1"/>
  <c r="U80" i="26" s="1"/>
  <c r="U78" i="26"/>
  <c r="U29" i="26"/>
  <c r="AI10" i="33"/>
  <c r="AJ10" i="33" s="1"/>
  <c r="J22" i="33"/>
  <c r="R12" i="20"/>
  <c r="R28" i="20"/>
  <c r="S12" i="20" l="1"/>
  <c r="S28" i="20"/>
  <c r="AF26" i="48"/>
  <c r="J19" i="35"/>
  <c r="K21" i="55" s="1"/>
  <c r="AE30" i="49"/>
  <c r="AF29" i="49"/>
  <c r="J10" i="35" s="1"/>
  <c r="K12" i="55" s="1"/>
  <c r="AG27" i="49"/>
  <c r="J11" i="35"/>
  <c r="K13" i="55" s="1"/>
  <c r="K116" i="55"/>
  <c r="AE68" i="59"/>
  <c r="AD67" i="59"/>
  <c r="U75" i="26"/>
  <c r="Q66" i="59"/>
  <c r="P31" i="59"/>
  <c r="P74" i="59"/>
  <c r="P29" i="59" s="1"/>
  <c r="AF11" i="30"/>
  <c r="AF46" i="30" s="1"/>
  <c r="J6" i="35" s="1"/>
  <c r="K8" i="55" s="1"/>
  <c r="AG12" i="30"/>
  <c r="AG11" i="30" s="1"/>
  <c r="AG46" i="30" s="1"/>
  <c r="K6" i="35" s="1"/>
  <c r="L8" i="55" s="1"/>
  <c r="L104" i="55" s="1"/>
  <c r="J72" i="55"/>
  <c r="J104" i="55"/>
  <c r="W30" i="26"/>
  <c r="V15" i="26"/>
  <c r="V20" i="26" s="1"/>
  <c r="V80" i="26" s="1"/>
  <c r="V78" i="26"/>
  <c r="V75" i="26" s="1"/>
  <c r="V29" i="26"/>
  <c r="AD103" i="75"/>
  <c r="AC102" i="75"/>
  <c r="O41" i="75"/>
  <c r="D135" i="75"/>
  <c r="J109" i="55"/>
  <c r="J77" i="55"/>
  <c r="T49" i="20"/>
  <c r="T50" i="20" s="1"/>
  <c r="M2" i="50"/>
  <c r="AF28" i="48"/>
  <c r="AG12" i="48"/>
  <c r="AG28" i="48" s="1"/>
  <c r="J108" i="55"/>
  <c r="J76" i="55"/>
  <c r="O33" i="59"/>
  <c r="H3" i="50" s="1"/>
  <c r="D100" i="59"/>
  <c r="M14" i="76"/>
  <c r="N13" i="76"/>
  <c r="J117" i="55"/>
  <c r="J85" i="55"/>
  <c r="J119" i="55"/>
  <c r="J87" i="55"/>
  <c r="AG16" i="48"/>
  <c r="K21" i="35" s="1"/>
  <c r="L23" i="55" s="1"/>
  <c r="L119" i="55" s="1"/>
  <c r="J21" i="35"/>
  <c r="K23" i="55" s="1"/>
  <c r="P39" i="75"/>
  <c r="Q101" i="75"/>
  <c r="P109" i="75"/>
  <c r="P37" i="75" s="1"/>
  <c r="AG27" i="48"/>
  <c r="V49" i="20" l="1"/>
  <c r="V50" i="20" s="1"/>
  <c r="O2" i="50"/>
  <c r="K119" i="55"/>
  <c r="AG29" i="49"/>
  <c r="K10" i="35" s="1"/>
  <c r="L12" i="55" s="1"/>
  <c r="L108" i="55" s="1"/>
  <c r="AG30" i="49"/>
  <c r="K11" i="35"/>
  <c r="L13" i="55" s="1"/>
  <c r="L109" i="55" s="1"/>
  <c r="K104" i="55"/>
  <c r="AF30" i="49"/>
  <c r="W15" i="26"/>
  <c r="W20" i="26" s="1"/>
  <c r="W80" i="26" s="1"/>
  <c r="W78" i="26"/>
  <c r="W29" i="26"/>
  <c r="X30" i="26"/>
  <c r="N14" i="76"/>
  <c r="O13" i="76"/>
  <c r="O14" i="76" s="1"/>
  <c r="AG9" i="48"/>
  <c r="P33" i="59"/>
  <c r="I3" i="50" s="1"/>
  <c r="K117" i="55"/>
  <c r="Q39" i="75"/>
  <c r="R101" i="75"/>
  <c r="Q109" i="75"/>
  <c r="Q37" i="75" s="1"/>
  <c r="P41" i="75"/>
  <c r="AF68" i="59"/>
  <c r="AE67" i="59"/>
  <c r="K109" i="55"/>
  <c r="K108" i="55"/>
  <c r="R66" i="59"/>
  <c r="Q31" i="59"/>
  <c r="Q33" i="59" s="1"/>
  <c r="J3" i="50" s="1"/>
  <c r="Q74" i="59"/>
  <c r="Q29" i="59" s="1"/>
  <c r="T12" i="20"/>
  <c r="T28" i="20"/>
  <c r="AE103" i="75"/>
  <c r="AD102" i="75"/>
  <c r="U49" i="20"/>
  <c r="U50" i="20" s="1"/>
  <c r="N2" i="50"/>
  <c r="S66" i="59" l="1"/>
  <c r="R31" i="59"/>
  <c r="R74" i="59"/>
  <c r="R29" i="59" s="1"/>
  <c r="W75" i="26"/>
  <c r="Q41" i="75"/>
  <c r="S101" i="75"/>
  <c r="R39" i="75"/>
  <c r="R109" i="75"/>
  <c r="R37" i="75" s="1"/>
  <c r="AG26" i="48"/>
  <c r="K19" i="35"/>
  <c r="L21" i="55" s="1"/>
  <c r="L117" i="55" s="1"/>
  <c r="U12" i="20"/>
  <c r="U28" i="20"/>
  <c r="AG68" i="59"/>
  <c r="AG67" i="59" s="1"/>
  <c r="AF67" i="59"/>
  <c r="AF103" i="75"/>
  <c r="AF102" i="75" s="1"/>
  <c r="AE102" i="75"/>
  <c r="X78" i="26"/>
  <c r="X29" i="26"/>
  <c r="AH29" i="26" s="1"/>
  <c r="X15" i="26"/>
  <c r="AH30" i="26"/>
  <c r="AI15" i="26" s="1"/>
  <c r="V12" i="20"/>
  <c r="V28" i="20"/>
  <c r="X20" i="26" l="1"/>
  <c r="X80" i="26" s="1"/>
  <c r="AH15" i="26"/>
  <c r="T101" i="75"/>
  <c r="S39" i="75"/>
  <c r="S109" i="75"/>
  <c r="S37" i="75" s="1"/>
  <c r="W49" i="20"/>
  <c r="W50" i="20" s="1"/>
  <c r="P2" i="50"/>
  <c r="R41" i="75"/>
  <c r="R33" i="59"/>
  <c r="K3" i="50" s="1"/>
  <c r="X75" i="26"/>
  <c r="T66" i="59"/>
  <c r="S31" i="59"/>
  <c r="S74" i="59"/>
  <c r="S29" i="59" s="1"/>
  <c r="S33" i="59" l="1"/>
  <c r="L3" i="50" s="1"/>
  <c r="E100" i="59"/>
  <c r="X49" i="20"/>
  <c r="X50" i="20" s="1"/>
  <c r="Q2" i="50"/>
  <c r="S41" i="75"/>
  <c r="E135" i="75"/>
  <c r="U66" i="59"/>
  <c r="T31" i="59"/>
  <c r="T74" i="59"/>
  <c r="T29" i="59" s="1"/>
  <c r="W28" i="20"/>
  <c r="W12" i="20"/>
  <c r="U101" i="75"/>
  <c r="T39" i="75"/>
  <c r="T109" i="75"/>
  <c r="T37" i="75" s="1"/>
  <c r="V66" i="59" l="1"/>
  <c r="U31" i="59"/>
  <c r="U74" i="59"/>
  <c r="U29" i="59" s="1"/>
  <c r="V101" i="75"/>
  <c r="U39" i="75"/>
  <c r="U109" i="75"/>
  <c r="U37" i="75" s="1"/>
  <c r="T33" i="59"/>
  <c r="M3" i="50" s="1"/>
  <c r="X28" i="20"/>
  <c r="X12" i="20"/>
  <c r="T41" i="75"/>
  <c r="U41" i="75" l="1"/>
  <c r="W101" i="75"/>
  <c r="V39" i="75"/>
  <c r="V109" i="75"/>
  <c r="U33" i="59"/>
  <c r="N3" i="50" s="1"/>
  <c r="W66" i="59"/>
  <c r="V31" i="59"/>
  <c r="V74" i="59"/>
  <c r="V29" i="59" s="1"/>
  <c r="V33" i="59" l="1"/>
  <c r="O3" i="50" s="1"/>
  <c r="F100" i="59"/>
  <c r="X66" i="59"/>
  <c r="W31" i="59"/>
  <c r="W74" i="59"/>
  <c r="W29" i="59" s="1"/>
  <c r="W109" i="75"/>
  <c r="V37" i="75"/>
  <c r="V41" i="75"/>
  <c r="V43" i="75"/>
  <c r="V52" i="75"/>
  <c r="F135" i="75"/>
  <c r="X101" i="75"/>
  <c r="W39" i="75"/>
  <c r="X109" i="75" l="1"/>
  <c r="W37" i="75"/>
  <c r="W12" i="75" s="1"/>
  <c r="F133" i="75" s="1"/>
  <c r="F137" i="75" s="1"/>
  <c r="W33" i="59"/>
  <c r="P3" i="50" s="1"/>
  <c r="X31" i="59"/>
  <c r="Y66" i="59"/>
  <c r="X74" i="59"/>
  <c r="X29" i="59" s="1"/>
  <c r="Y101" i="75"/>
  <c r="X39" i="75"/>
  <c r="W41" i="75"/>
  <c r="Z101" i="75" l="1"/>
  <c r="Y39" i="75"/>
  <c r="Y31" i="59"/>
  <c r="Z66" i="59"/>
  <c r="Y74" i="59"/>
  <c r="X33" i="59"/>
  <c r="Q3" i="50" s="1"/>
  <c r="Y109" i="75"/>
  <c r="X37" i="75"/>
  <c r="X12" i="75" s="1"/>
  <c r="Z109" i="75" l="1"/>
  <c r="Y37" i="75"/>
  <c r="Y12" i="75" s="1"/>
  <c r="Y33" i="59"/>
  <c r="Y41" i="75"/>
  <c r="Y29" i="59"/>
  <c r="Z74" i="59"/>
  <c r="AA66" i="59"/>
  <c r="Z31" i="59"/>
  <c r="X41" i="75"/>
  <c r="Z39" i="75"/>
  <c r="AA101" i="75"/>
  <c r="AA39" i="75" l="1"/>
  <c r="AB101" i="75"/>
  <c r="AA74" i="59"/>
  <c r="Z29" i="59"/>
  <c r="Z12" i="59" s="1"/>
  <c r="R3" i="50"/>
  <c r="C17" i="35"/>
  <c r="D19" i="55" s="1"/>
  <c r="AA109" i="75"/>
  <c r="Z37" i="75"/>
  <c r="Z41" i="75"/>
  <c r="Z12" i="75"/>
  <c r="G135" i="75"/>
  <c r="Z33" i="59"/>
  <c r="D17" i="35" s="1"/>
  <c r="E19" i="55" s="1"/>
  <c r="AB66" i="59"/>
  <c r="AA31" i="59"/>
  <c r="AB109" i="75" l="1"/>
  <c r="AA37" i="75"/>
  <c r="AB74" i="59"/>
  <c r="AA29" i="59"/>
  <c r="AA12" i="59" s="1"/>
  <c r="G98" i="59" s="1"/>
  <c r="G102" i="59" s="1"/>
  <c r="AC66" i="59"/>
  <c r="AB31" i="59"/>
  <c r="AB39" i="75"/>
  <c r="AC101" i="75"/>
  <c r="D83" i="55"/>
  <c r="D115" i="55"/>
  <c r="G100" i="59"/>
  <c r="AA41" i="75"/>
  <c r="AA12" i="75"/>
  <c r="G133" i="75" s="1"/>
  <c r="G137" i="75" s="1"/>
  <c r="E115" i="55"/>
  <c r="E83" i="55"/>
  <c r="AD66" i="59" l="1"/>
  <c r="AC31" i="59"/>
  <c r="AC74" i="59"/>
  <c r="AB29" i="59"/>
  <c r="AB12" i="59" s="1"/>
  <c r="AC39" i="75"/>
  <c r="AD101" i="75"/>
  <c r="AE101" i="75" s="1"/>
  <c r="AF101" i="75" s="1"/>
  <c r="AB37" i="75"/>
  <c r="AB41" i="75" s="1"/>
  <c r="AC109" i="75"/>
  <c r="AB33" i="59"/>
  <c r="F17" i="35" s="1"/>
  <c r="G19" i="55" s="1"/>
  <c r="AA33" i="59"/>
  <c r="E17" i="35" s="1"/>
  <c r="F19" i="55" s="1"/>
  <c r="AC37" i="75" l="1"/>
  <c r="AD109" i="75"/>
  <c r="AE109" i="75" s="1"/>
  <c r="AF109" i="75" s="1"/>
  <c r="G83" i="55"/>
  <c r="G115" i="55"/>
  <c r="AC41" i="75"/>
  <c r="AC12" i="75"/>
  <c r="AD74" i="59"/>
  <c r="AC29" i="59"/>
  <c r="AC12" i="59" s="1"/>
  <c r="AE66" i="59"/>
  <c r="AD31" i="59"/>
  <c r="F83" i="55"/>
  <c r="F115" i="55"/>
  <c r="AB12" i="75"/>
  <c r="AF66" i="59" l="1"/>
  <c r="AE31" i="59"/>
  <c r="AE74" i="59"/>
  <c r="AD29" i="59"/>
  <c r="AD33" i="59" s="1"/>
  <c r="H17" i="35" s="1"/>
  <c r="I19" i="55" s="1"/>
  <c r="AC33" i="59"/>
  <c r="G17" i="35" s="1"/>
  <c r="H19" i="55" s="1"/>
  <c r="I83" i="55" l="1"/>
  <c r="I115" i="55"/>
  <c r="H83" i="55"/>
  <c r="H115" i="55"/>
  <c r="AF74" i="59"/>
  <c r="AE29" i="59"/>
  <c r="AE33" i="59" s="1"/>
  <c r="I17" i="35" s="1"/>
  <c r="J19" i="55" s="1"/>
  <c r="AG66" i="59"/>
  <c r="AG31" i="59" s="1"/>
  <c r="AF31" i="59"/>
  <c r="J115" i="55" l="1"/>
  <c r="J83" i="55"/>
  <c r="AF29" i="59"/>
  <c r="AF33" i="59" s="1"/>
  <c r="J17" i="35" s="1"/>
  <c r="K19" i="55" s="1"/>
  <c r="AG74" i="59"/>
  <c r="AG29" i="59" s="1"/>
  <c r="AG33" i="59" s="1"/>
  <c r="K17" i="35" s="1"/>
  <c r="L19" i="55" s="1"/>
  <c r="L115" i="55" s="1"/>
  <c r="K115"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tc={C3543641-BD77-4654-B0BF-74DF8DC9E44D}</author>
    <author>tc={A51AA54C-AAFD-4FFD-BD46-B7B54115E232}</author>
    <author>tc={344D7ABE-26E3-4303-8241-3B2D9BE19C4C}</author>
    <author>tc={581A763D-69E7-4316-A641-33877C6ED334}</author>
    <author>tc={62AD165D-7A82-4BF4-8868-C46B05D9A871}</author>
    <author>tc={88370A64-FBDF-4CF1-9910-136364F7D354}</author>
    <author>tc={9CD67460-E1CB-4B53-9C37-E18E4A204770}</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tc={BB43241A-632E-43CC-BA8F-93EFF045E9AE}</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AG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AG25"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W2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50"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66"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66"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66"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66"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6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E72"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We need to base this off of CBO.</t>
      </text>
    </comment>
    <comment ref="U79"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79"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79" authorId="18" shapeId="0" xr:uid="{00000000-0006-0000-14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91" authorId="19" shapeId="0" xr:uid="{00000000-0006-0000-1400-000014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
Reply:
    This is now June 2024 CBO budget projections Table 1-4 Adjusted for the Effects of Timing Shifts, row 12 social security subtotal from 2023 onward</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tc={D06702F8-F5F4-41FB-BA11-B2023B5B68A7}</author>
    <author>tc={9443444D-0A20-425F-9300-C411DBC65A0D}</author>
    <author>tc={8773E616-7533-4D96-8216-0F45303BCB01}</author>
    <author>tc={F4C081DF-9BF8-4221-BECE-CB42A30EB5BC}</author>
    <author>tc={498AD0F5-D245-4256-A7C8-7D62910F1A6D}</author>
    <author>tc={1065F4CB-52AB-4B92-B793-654578199E67}</author>
    <author>tc={6EA59173-A6A4-4520-BC55-CD373EBDD6E4}</author>
    <author>tc={B7BB92B9-56AF-428A-90BE-8769E0F9A367}</author>
    <author>tc={F12C7BC9-1DAF-45BE-BFCA-781CDA4BC7CD}</author>
    <author>tc={54F6D9F3-8868-417E-999A-B95E2C1FC589}</author>
    <author>tc={8DA4ABCB-3EED-4DB4-A96F-296CD1D3D3EE}</author>
    <author>tc={1FB99C5A-E921-4C2B-94A6-469F8368DE8C}</author>
    <author>tc={71B63C0C-A14A-4CAA-AD37-D99BE7060ACF}</author>
    <author>tc={CE0F5DCB-3CCE-4E3D-A6E4-2AC8A4A5F19D}</author>
    <author>tc={B0E96582-484F-445D-8FF5-3592B5A172FA}</author>
    <author>tc={E6B5A35A-07FA-4F2B-9A9E-866D21A47917}</author>
    <author>tc={4A8F6F92-75ED-4D7D-9EAC-6799BA8D11ED}</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AC21"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For all state taxes, (lines 21,23,24), Change Y to AC when data come in</t>
      </text>
    </comment>
    <comment ref="V25"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Z25"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Change to Y in May</t>
      </text>
    </comment>
    <comment ref="K35"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9"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9"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M39"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Another additional add factor, similar to comment to the left</t>
      </text>
    </comment>
    <comment ref="D55"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
Reply:
    June 2024 CBO Budget Projections Table 1-1 Row 10</t>
      </text>
    </comment>
    <comment ref="M55"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Added CBO estimate to counterfactual from TCJA NOT expiring in https://www.cbo.gov/publication/60271
We also subtracted an addition 30, which is roughly half of the 48+11 from investment.</t>
      </text>
    </comment>
    <comment ref="D56"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
Reply:
    June 2024 CBO Budget Projections Table 1-1 Row 11</t>
      </text>
    </comment>
    <comment ref="D57"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Not updated June 2024. I could not find in the budget projections.</t>
      </text>
    </comment>
    <comment ref="D58"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59"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60"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
Reply:
    June 2024 CBO Budget projections table 1-1 row 12</t>
      </text>
    </comment>
    <comment ref="M60" authorId="20" shapeId="0" xr:uid="{00000000-0006-0000-1800-000015000000}">
      <text>
        <t xml:space="preserve">[Threaded comment]
Your version of Excel allows you to read this threaded comment; however, any edits to it will get removed if the file is opened in a newer version of Excel. Learn more: https://go.microsoft.com/fwlink/?linkid=870924
Comment:
    See comment in M56 on using CBO estimate of TCJA not expiring
</t>
      </text>
    </comment>
    <comment ref="D78"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
Reply:
    June 2024 Econ projections Fiscal Year sheet row 94. Pasted for 2021 onward</t>
      </text>
    </comment>
    <comment ref="D79" authorId="22"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
Reply:
    June 2024 Econ projections Fiscal Year sheet row 98. Pasted for 2021 onward</t>
      </text>
    </comment>
    <comment ref="D80" authorId="23"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
Reply:
    June 2024 CBO Economic Projections, Fiscal Year Table, row 118 pasted from 2021 onward</t>
      </text>
    </comment>
    <comment ref="D81" authorId="24"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
Reply:
    June 2024 CBO Economic Projections Fiscal Year Table, row 112 from 2021 onward</t>
      </text>
    </comment>
    <comment ref="D102" authorId="25"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
Reply:
    Ju 2024 economic projections quarterly table row 98 pasted from 2021 Q1 onward</t>
      </text>
    </comment>
    <comment ref="D103" authorId="26"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
Reply:
    June 2024 CBO Economic Projections Quarterly table row 100 from 2021 Q1 onward</t>
      </text>
    </comment>
    <comment ref="D104" authorId="27" shapeId="0" xr:uid="{00000000-0006-0000-1800-00001C000000}">
      <text>
        <t xml:space="preserve">[Threaded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
Reply:
    June 2024 CBO Economic Projections Quarterly Table, row 118 from 2021 Q1 onward
</t>
      </text>
    </comment>
    <comment ref="D105" authorId="28" shapeId="0" xr:uid="{00000000-0006-0000-1800-00001D000000}">
      <text>
        <t xml:space="preserve">[Threaded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
Reply:
    June 2024 CBO Economic Projections quarterly table row 114 corporate profits domestic with IVA and CCAdj, from 2021 Q1 onward
</t>
      </text>
    </comment>
    <comment ref="U128" authorId="29"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30"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31"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31" authorId="32"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2"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4"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
Reply:
    June 2024 CBO Economic Projections, Quarterly Table, Line 118 pasted from 2021 Q1 onward</t>
      </text>
    </comment>
    <comment ref="B6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
Reply:
    June 2024 CBO Economic Projections, Quarterly Table Line 129 from 2021 Q1 onward</t>
      </text>
    </comment>
    <comment ref="B66" authorId="3" shapeId="0" xr:uid="{00000000-0006-0000-1900-000004000000}">
      <text>
        <t xml:space="preserve">[Threaded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
Reply:
    June  2024 Economic Projections, Quarterly Table line 131 from 2021 Q1 onward
</t>
      </text>
    </comment>
    <comment ref="B67"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
Reply:
    June 2024 CBO Economic Projections, Quarterly Table, row 141 from 2021 Q1 onward</t>
      </text>
    </comment>
    <comment ref="B68"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
Reply:
    June 2024 CBO Economic Projections, Quarterly Table, Line 152 from 2021 Q1 onward</t>
      </text>
    </comment>
    <comment ref="B69"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tc={9A78D78B-9B91-4B19-B3C5-F387312A4076}</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
Reply:
    This is now June 2024 CBO Economic Projections, Quarterly table row 68 from 2021 Q1 onward</t>
      </text>
    </comment>
    <comment ref="AG22"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We decided to set this equal to the previous quarter estimate as a temporary measure.</t>
      </text>
    </comment>
    <comment ref="S23" authorId="3" shapeId="0" xr:uid="{00000000-0006-0000-0C00-000004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AG85"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R9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6"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7"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tc={E7D459C7-D63C-4E4A-AE4E-B08D7B79CF4D}</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
Reply:
    This is now June 2024 CBO Economic Projections Quarterly table row 129 from 2021 Q1 onward</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
Reply:
    This is now June 2024 CBO Economic Projections Quarterly table row 130 from 2021 Q1 onward.</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
Reply:
    This is now June 2024 CBO Economic Projections Quarterly table row 131 from 2021 Q1 onward.</t>
      </text>
    </comment>
    <comment ref="B25"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These data are from June 2024 CBO Economic Projections Quarterly table, row 132 from 2021 Q1 onward.</t>
      </text>
    </comment>
    <comment ref="B32"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tc={D984E10B-B7DF-4552-BF09-3EB2FF9587F0}</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AG45"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Hard coded to 0 because ARP Quarterly runs out of data and this is small anyway.</t>
      </text>
    </comment>
    <comment ref="S46"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
Reply:
    This is now June 2024 CBO Budget Projections table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
Reply:
    We added 2 pp to the growth rate because of CBO's very low &amp; declining forecast</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7"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
Reply:
    This is now June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sharedStrings.xml><?xml version="1.0" encoding="utf-8"?>
<sst xmlns="http://schemas.openxmlformats.org/spreadsheetml/2006/main" count="4950" uniqueCount="2285">
  <si>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</si>
  <si>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</si>
  <si>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</si>
  <si>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</si>
  <si>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</si>
  <si>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</si>
  <si>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</si>
  <si>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</si>
  <si>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</si>
  <si>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</si>
  <si>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</si>
  <si>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</si>
  <si>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</si>
  <si>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</si>
  <si>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</si>
  <si>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</si>
  <si>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</si>
  <si>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</si>
  <si>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</si>
  <si>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</si>
  <si>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</si>
  <si>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</si>
  <si>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</si>
  <si>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</si>
  <si>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</si>
  <si>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</si>
  <si>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</si>
  <si>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</si>
  <si>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</si>
  <si>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</si>
  <si>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</si>
  <si>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</si>
  <si>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</si>
  <si>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</si>
  <si>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</si>
  <si>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</si>
  <si>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</si>
  <si>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</si>
  <si>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</si>
  <si>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</si>
  <si>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</si>
  <si>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</si>
  <si>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</si>
  <si>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</si>
  <si>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</si>
  <si>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</si>
  <si>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</si>
  <si>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</si>
  <si>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</si>
  <si>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</si>
  <si>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</si>
  <si>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</si>
  <si>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</si>
  <si>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</si>
  <si>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</si>
  <si>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</si>
  <si>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</si>
  <si>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</si>
  <si>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</si>
  <si>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</si>
  <si>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</si>
  <si>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</si>
  <si>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</si>
  <si>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</si>
  <si>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</si>
  <si>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</si>
  <si>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</si>
  <si>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</si>
  <si>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</si>
  <si>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</si>
  <si>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</si>
  <si>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</si>
  <si>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</si>
  <si>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</si>
  <si>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</si>
  <si>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</si>
  <si>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</si>
  <si>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</si>
  <si>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</si>
  <si>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</si>
  <si>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</si>
  <si>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</si>
  <si>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</si>
  <si>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</si>
  <si>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</si>
  <si>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</si>
  <si>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</si>
  <si>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</si>
  <si>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</si>
  <si>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</si>
  <si>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</si>
  <si>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</si>
  <si>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</si>
  <si>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</si>
  <si>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</si>
  <si>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</si>
  <si>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</si>
  <si>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</si>
  <si>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</si>
  <si>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</si>
  <si>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</si>
  <si>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</si>
  <si>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</si>
  <si>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</si>
  <si>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</si>
  <si>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</si>
  <si>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</si>
  <si>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</si>
  <si>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</si>
  <si>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</si>
  <si>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</si>
  <si>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</si>
  <si>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</si>
  <si>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</si>
  <si>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</si>
  <si>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</si>
  <si>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</si>
  <si>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</si>
  <si>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</si>
  <si>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</si>
  <si>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</si>
  <si>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</si>
  <si>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</si>
  <si>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</si>
  <si>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</si>
  <si>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</si>
  <si>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</si>
  <si>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</si>
  <si>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</si>
  <si>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</si>
  <si>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</si>
  <si>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</si>
  <si>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</si>
  <si>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</si>
  <si>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</si>
  <si>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</si>
  <si>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</si>
  <si>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</si>
  <si>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</si>
  <si>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</si>
  <si>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</si>
  <si>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</si>
  <si>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</si>
  <si>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</si>
  <si>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</si>
  <si>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</si>
  <si>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</si>
  <si>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</si>
  <si>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</si>
  <si>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</si>
  <si>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</si>
  <si>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</si>
  <si>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</si>
  <si>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</si>
  <si>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</si>
  <si>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</si>
  <si>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</si>
  <si>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</si>
  <si>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</si>
  <si>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</si>
  <si>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</si>
  <si>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</si>
  <si>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</si>
  <si>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</si>
  <si>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</si>
  <si>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</si>
  <si>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</si>
  <si>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</si>
  <si>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</si>
  <si>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</si>
  <si>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</si>
  <si>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</si>
  <si>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</si>
  <si>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</si>
  <si>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</si>
  <si>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</si>
  <si>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</si>
  <si>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</si>
  <si>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</si>
  <si>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</si>
  <si>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</si>
  <si>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</si>
  <si>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</si>
  <si>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</si>
  <si>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</si>
  <si>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</si>
  <si>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</si>
  <si>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</si>
  <si>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</si>
  <si>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</si>
  <si>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</si>
  <si>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</si>
  <si>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</si>
  <si>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</si>
  <si>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</si>
  <si>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</si>
  <si>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</si>
  <si>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</si>
  <si>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</si>
  <si>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</si>
  <si>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</si>
  <si>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</si>
  <si>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</si>
  <si>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</si>
  <si>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</si>
  <si>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</si>
  <si>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</si>
  <si>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</si>
  <si>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</si>
  <si>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</si>
  <si>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</si>
  <si>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</si>
  <si>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</si>
  <si>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</si>
  <si>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</si>
  <si>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</si>
  <si>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</si>
  <si>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</si>
  <si>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</si>
  <si>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</si>
  <si>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</si>
  <si>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</si>
  <si>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</si>
  <si>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</si>
  <si>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</si>
  <si>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</si>
  <si>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</si>
  <si>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</si>
  <si>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</si>
  <si>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</si>
  <si>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</si>
  <si>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</si>
  <si>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</si>
  <si>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</si>
  <si>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</si>
  <si>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</si>
  <si>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</si>
  <si>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</si>
  <si>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</si>
  <si>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</si>
  <si>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</si>
  <si>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</si>
  <si>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</si>
  <si>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</si>
  <si>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</si>
  <si>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</si>
  <si>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</si>
  <si>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</si>
  <si>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</si>
  <si>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</si>
  <si>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</si>
  <si>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</si>
  <si>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</si>
  <si>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</si>
  <si>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</si>
  <si>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</si>
  <si>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</si>
  <si>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</si>
  <si>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</si>
  <si>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</si>
  <si>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</si>
  <si>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</si>
  <si>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</si>
  <si>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</si>
  <si>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</si>
  <si>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</si>
  <si>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</si>
  <si>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</si>
  <si>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</si>
  <si>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</si>
  <si>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</si>
  <si>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</si>
  <si>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</si>
  <si>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</si>
  <si>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</si>
  <si>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</si>
  <si>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</si>
  <si>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</si>
  <si>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</si>
  <si>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</si>
  <si>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</si>
  <si>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</si>
  <si>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</si>
  <si>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</si>
  <si>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</si>
  <si>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</si>
  <si>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</si>
  <si>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</si>
  <si>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</si>
  <si>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</si>
  <si>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</si>
  <si>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</si>
  <si>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</si>
  <si>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</si>
  <si>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</si>
  <si>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</si>
  <si>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</si>
  <si>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</si>
  <si>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</si>
  <si>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</si>
  <si>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</si>
  <si>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</si>
  <si>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</si>
  <si>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</si>
  <si>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</si>
  <si>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</si>
  <si>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</si>
  <si>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</si>
  <si>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</si>
  <si>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</si>
  <si>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</si>
  <si>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</si>
  <si>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</si>
  <si>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</si>
  <si>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</si>
  <si>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</si>
  <si>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</si>
  <si>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</si>
  <si>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</si>
  <si>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</si>
  <si>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</si>
  <si>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</si>
  <si>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</si>
  <si>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</si>
  <si>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</si>
  <si>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</si>
  <si>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</si>
  <si>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</si>
  <si>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</si>
  <si>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</si>
  <si>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</si>
  <si>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</si>
  <si>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</si>
  <si>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</si>
  <si>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</si>
  <si>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</si>
  <si>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</si>
  <si>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</si>
  <si>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</si>
  <si>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</si>
  <si>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</si>
  <si>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</si>
  <si>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</si>
  <si>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</si>
  <si>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</si>
  <si>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</si>
  <si>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</si>
  <si>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</si>
  <si>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</si>
  <si>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</si>
  <si>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</si>
  <si>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</si>
  <si>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</si>
  <si>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</si>
  <si>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</si>
  <si>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</si>
  <si>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</si>
  <si>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</si>
  <si>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</si>
  <si>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</si>
  <si>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</si>
  <si>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</si>
  <si>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</si>
  <si>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</si>
  <si>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</si>
  <si>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</si>
  <si>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</si>
  <si>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</si>
  <si>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</si>
  <si>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</si>
  <si>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</si>
  <si>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</si>
  <si>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</si>
  <si>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</si>
  <si>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</si>
  <si>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</si>
  <si>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</si>
  <si>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</si>
  <si>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</si>
  <si>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</si>
  <si>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</si>
  <si>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</si>
  <si>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</si>
  <si>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</si>
  <si>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</si>
  <si>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</si>
  <si>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</si>
  <si>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</si>
  <si>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</si>
  <si>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</si>
  <si>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</si>
  <si>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</si>
  <si>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</si>
  <si>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</si>
  <si>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</si>
  <si>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</si>
  <si>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</si>
  <si>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</si>
  <si>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</si>
  <si>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</si>
  <si>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</si>
  <si>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</si>
  <si>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</si>
  <si>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</si>
  <si>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</si>
  <si>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</si>
  <si>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</si>
  <si>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</si>
  <si>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</si>
  <si>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</si>
  <si>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</si>
  <si>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</si>
  <si>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</si>
  <si>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</si>
  <si>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</si>
  <si>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</si>
  <si>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</si>
  <si>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</si>
  <si>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</si>
  <si>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</si>
  <si>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</si>
  <si>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</si>
  <si>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</si>
  <si>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</si>
  <si>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</si>
  <si>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</si>
  <si>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</si>
  <si>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</si>
  <si>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</si>
  <si>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</si>
  <si>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</si>
  <si>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</si>
  <si>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</si>
  <si>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</si>
  <si>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</si>
  <si>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</si>
  <si>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</si>
  <si>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</si>
  <si>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</si>
  <si>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</si>
  <si>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</si>
  <si>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</si>
  <si>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</si>
  <si>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</si>
  <si>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</si>
  <si>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</si>
  <si>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</si>
  <si>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</si>
  <si>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</si>
  <si>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</si>
  <si>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</si>
  <si>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</si>
  <si>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</si>
  <si>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</si>
  <si>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</si>
  <si>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</si>
  <si>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</si>
  <si>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</si>
  <si>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</si>
  <si>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</si>
  <si>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</si>
  <si>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</si>
  <si>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</si>
  <si>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</si>
  <si>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</si>
  <si>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</si>
  <si>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</si>
  <si>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</si>
  <si>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</si>
  <si>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</si>
  <si>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</si>
  <si>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</si>
  <si>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</si>
  <si>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</si>
  <si>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</si>
  <si>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</si>
  <si>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</si>
  <si>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</si>
  <si>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</si>
  <si>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</si>
  <si>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</si>
  <si>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</si>
  <si>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</si>
  <si>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</si>
  <si>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</si>
  <si>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</si>
  <si>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</si>
  <si>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</si>
  <si>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</si>
  <si>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</si>
  <si>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</si>
  <si>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</si>
  <si>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</si>
  <si>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</si>
  <si>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</si>
  <si>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</si>
  <si>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</si>
  <si>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</si>
  <si>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</si>
  <si>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</si>
  <si>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</si>
  <si>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</si>
  <si>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</si>
  <si>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</si>
  <si>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</si>
  <si>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</si>
  <si>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</si>
  <si>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</si>
  <si>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</si>
  <si>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</si>
  <si>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</si>
  <si>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</si>
  <si>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</si>
  <si>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</si>
  <si>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</si>
  <si>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</si>
  <si>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</si>
  <si>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</si>
  <si>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</si>
  <si>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</si>
  <si>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</si>
  <si>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</si>
  <si>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</si>
  <si>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</si>
  <si>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</si>
  <si>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</si>
  <si>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</si>
  <si>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</si>
  <si>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</si>
  <si>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</si>
  <si>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</si>
  <si>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</si>
  <si>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</si>
  <si>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</si>
  <si>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</si>
  <si>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</si>
  <si>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</si>
  <si>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</si>
  <si>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</si>
  <si>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</si>
  <si>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</si>
  <si>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</si>
  <si>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</si>
  <si>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</si>
  <si>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</si>
  <si>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</si>
  <si>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</si>
  <si>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</si>
  <si>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</si>
  <si>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</si>
  <si>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</si>
  <si>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</si>
  <si>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</si>
  <si>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</si>
  <si>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</si>
  <si>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</si>
  <si>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</si>
  <si>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</si>
  <si>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</si>
  <si>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</si>
  <si>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</si>
  <si>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</si>
  <si>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</si>
  <si>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</si>
  <si>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</si>
  <si>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</si>
  <si>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</si>
  <si>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</si>
  <si>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</si>
  <si>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</si>
  <si>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</si>
  <si>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</si>
  <si>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</si>
  <si>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</si>
  <si>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</si>
  <si>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</si>
  <si>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</si>
  <si>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</si>
  <si>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</si>
  <si>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</si>
  <si>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</si>
  <si>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</si>
  <si>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</si>
  <si>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</si>
  <si>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</si>
  <si>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</si>
  <si>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</si>
  <si>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</si>
  <si>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</si>
  <si>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</si>
  <si>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</si>
  <si>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</si>
  <si>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</si>
  <si>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</si>
  <si>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</si>
  <si>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</si>
  <si>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</si>
  <si>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</si>
  <si>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</si>
  <si>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</si>
  <si>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</si>
  <si>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</si>
  <si>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</si>
  <si>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</si>
  <si>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</si>
  <si>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</si>
  <si>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</si>
  <si>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</si>
  <si>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</si>
  <si>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</si>
  <si>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</si>
  <si>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</si>
  <si>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</si>
  <si>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</si>
  <si>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</si>
  <si>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</si>
  <si>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</si>
  <si>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</si>
  <si>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</si>
  <si>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</si>
  <si>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</si>
  <si>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</si>
  <si>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</si>
  <si>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</si>
  <si>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</si>
  <si>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</si>
  <si>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</si>
  <si>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</si>
  <si>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</si>
  <si>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</si>
  <si>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</si>
  <si>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</si>
  <si>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</si>
  <si>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</si>
  <si>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</si>
  <si>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</si>
  <si>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</si>
  <si>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</si>
  <si>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</si>
  <si>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</si>
  <si>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</si>
  <si>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</si>
  <si>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</si>
  <si>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</si>
  <si>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</si>
  <si>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</si>
  <si>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</si>
  <si>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</si>
  <si>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</si>
  <si>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</si>
  <si>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</si>
  <si>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</si>
  <si>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</si>
  <si>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</si>
  <si>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</si>
  <si>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</si>
  <si>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</si>
  <si>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</si>
  <si>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</si>
  <si>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</si>
  <si>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</si>
  <si>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</si>
  <si>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</si>
  <si>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</si>
  <si>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</si>
  <si>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</si>
  <si>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</si>
  <si>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</si>
  <si>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</si>
  <si>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</si>
  <si>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</si>
  <si>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</si>
  <si>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</si>
  <si>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</si>
  <si>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</si>
  <si>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</si>
  <si>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</si>
  <si>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</si>
  <si>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</si>
  <si>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</si>
  <si>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</si>
  <si>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</si>
  <si>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</si>
  <si>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</si>
  <si>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</si>
  <si>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</si>
  <si>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</si>
  <si>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</si>
  <si>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</si>
  <si>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</si>
  <si>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</si>
  <si>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</si>
  <si>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</si>
  <si>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</si>
  <si>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</si>
  <si>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</si>
  <si>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</si>
  <si>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</si>
  <si>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</si>
  <si>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</si>
  <si>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</si>
  <si>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</si>
  <si>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</si>
  <si>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</si>
  <si>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</si>
  <si>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</si>
  <si>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</si>
  <si>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</si>
  <si>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</si>
  <si>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</si>
  <si>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</si>
  <si>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</si>
  <si>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</si>
  <si>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</si>
  <si>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</si>
  <si>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</si>
  <si>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</si>
  <si>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</si>
  <si>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</si>
  <si>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</si>
  <si>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</si>
  <si>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</si>
  <si>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</si>
  <si>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</si>
  <si>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</si>
  <si>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</si>
  <si>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</si>
  <si>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</si>
  <si>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</si>
  <si>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</si>
  <si>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</si>
  <si>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</si>
  <si>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</si>
  <si>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</si>
  <si>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</si>
  <si>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</si>
  <si>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</si>
  <si>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</si>
  <si>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</si>
  <si>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</si>
  <si>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</si>
  <si>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</si>
  <si>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</si>
  <si>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</si>
  <si>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</si>
  <si>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</si>
  <si>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</si>
  <si>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</si>
  <si>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</si>
  <si>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</si>
  <si>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</si>
  <si>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</si>
  <si>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</si>
  <si>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</si>
  <si>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</si>
  <si>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</si>
  <si>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</si>
  <si>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</si>
  <si>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</si>
  <si>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</si>
  <si>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</si>
  <si>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</si>
  <si>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</si>
  <si>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</si>
  <si>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</si>
  <si>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</si>
  <si>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</si>
  <si>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</si>
  <si>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</si>
  <si>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</si>
  <si>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</si>
  <si>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</si>
  <si>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</si>
  <si>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</si>
  <si>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</si>
  <si>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</si>
  <si>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</si>
  <si>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</si>
  <si>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</si>
  <si>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</si>
  <si>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</si>
  <si>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</si>
  <si>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</si>
  <si>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</si>
  <si>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</si>
  <si>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</si>
  <si>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</si>
  <si>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</si>
  <si>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</si>
  <si>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</si>
  <si>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</si>
  <si>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</si>
  <si>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</si>
  <si>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</si>
  <si>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</si>
  <si>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</si>
  <si>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</si>
  <si>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</si>
  <si>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</si>
  <si>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</si>
  <si>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</si>
  <si>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</si>
  <si>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</si>
  <si>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</si>
  <si>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</si>
  <si>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</si>
  <si>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</si>
  <si>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</si>
  <si>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</si>
  <si>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</si>
  <si>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</si>
  <si>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</si>
  <si>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</si>
  <si>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</si>
  <si>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</si>
  <si>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</si>
  <si>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</si>
  <si>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</si>
  <si>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</si>
  <si>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</si>
  <si>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</si>
  <si>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</si>
  <si>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</si>
  <si>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</si>
  <si>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</si>
  <si>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</si>
  <si>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</si>
  <si>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</si>
  <si>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</si>
  <si>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</si>
  <si>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</si>
  <si>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</si>
  <si>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</si>
  <si>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</si>
  <si>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</si>
  <si>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</si>
  <si>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</si>
  <si>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</si>
  <si>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</si>
  <si>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</si>
  <si>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</si>
  <si>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</si>
  <si>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</si>
  <si>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</si>
  <si>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</si>
  <si>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</si>
  <si>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</si>
  <si>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</si>
  <si>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</si>
  <si>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</si>
  <si>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</si>
  <si>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</si>
  <si>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</si>
  <si>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</si>
  <si>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</si>
  <si>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</si>
  <si>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</si>
  <si>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</si>
  <si>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</si>
  <si>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</si>
  <si>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</si>
  <si>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</si>
  <si>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</si>
  <si>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</si>
  <si>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</si>
  <si>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</si>
  <si>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</si>
  <si>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</si>
  <si>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</si>
  <si>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</si>
  <si>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</si>
  <si>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</si>
  <si>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</si>
  <si>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</si>
  <si>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</si>
  <si>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</si>
  <si>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</si>
  <si>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</si>
  <si>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</si>
  <si>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</si>
  <si>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</si>
  <si>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</si>
  <si>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</si>
  <si>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</si>
  <si>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</si>
  <si>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</si>
  <si>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</si>
  <si>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</si>
  <si>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</si>
  <si>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</si>
  <si>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</si>
  <si>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</si>
  <si>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</si>
  <si>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</si>
  <si>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</si>
  <si>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</si>
  <si>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</si>
  <si>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</si>
  <si>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</si>
  <si>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</si>
  <si>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</si>
  <si>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</si>
  <si>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</si>
  <si>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</si>
  <si>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</si>
  <si>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</si>
  <si>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</si>
  <si>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</si>
  <si>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</si>
  <si>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</si>
  <si>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</si>
  <si>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</si>
  <si>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</si>
  <si>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</si>
  <si>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</si>
  <si>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</si>
  <si>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</si>
  <si>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</si>
  <si>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</si>
  <si>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</si>
  <si>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</si>
  <si>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</si>
  <si>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</si>
  <si>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</si>
  <si>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</si>
  <si>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</si>
  <si>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</si>
  <si>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</si>
  <si>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</si>
  <si>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</si>
  <si>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</si>
  <si>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</si>
  <si>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</si>
  <si>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</si>
  <si>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</si>
  <si>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</si>
  <si>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</si>
  <si>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</si>
  <si>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</si>
  <si>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</si>
  <si>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</si>
  <si>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</si>
  <si>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</si>
  <si>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</si>
  <si>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</si>
  <si>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</si>
  <si>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</si>
  <si>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</si>
  <si>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</si>
  <si>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</si>
  <si>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</si>
  <si>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</si>
  <si>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</si>
  <si>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</si>
  <si>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</si>
  <si>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</si>
  <si>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</si>
  <si>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</si>
  <si>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</si>
  <si>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</si>
  <si>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</si>
  <si>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</si>
  <si>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</si>
  <si>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</si>
  <si>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</si>
  <si>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</si>
  <si>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</si>
  <si>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</si>
  <si>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</si>
  <si>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</si>
  <si>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</si>
  <si>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</si>
  <si>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</si>
  <si>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</si>
  <si>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</si>
  <si>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</si>
  <si>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</si>
  <si>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</si>
  <si>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</si>
  <si>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</si>
  <si>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</si>
  <si>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</si>
  <si>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</si>
  <si>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</si>
  <si>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</si>
  <si>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</si>
  <si>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</si>
  <si>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</si>
  <si>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</si>
  <si>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</si>
  <si>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</si>
  <si>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</si>
  <si>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</si>
  <si>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</si>
  <si>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</si>
  <si>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</si>
  <si>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</si>
  <si>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</si>
  <si>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</si>
  <si>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</si>
  <si>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</si>
  <si>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</si>
  <si>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</si>
  <si>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</si>
  <si>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</si>
  <si>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</si>
  <si>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</si>
  <si>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</si>
  <si>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</si>
  <si>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</si>
  <si>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</si>
  <si>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</si>
  <si>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</si>
  <si>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</si>
  <si>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</si>
  <si>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</si>
  <si>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</si>
  <si>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</si>
  <si>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</si>
  <si>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</si>
  <si>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</si>
  <si>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</si>
  <si>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</si>
  <si>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</si>
  <si>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</si>
  <si>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</si>
  <si>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</si>
  <si>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</si>
  <si>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</si>
  <si>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</si>
  <si>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</si>
  <si>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</si>
  <si>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</si>
  <si>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</si>
  <si>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</si>
  <si>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</si>
  <si>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</si>
  <si>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</si>
  <si>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</si>
  <si>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</si>
  <si>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</si>
  <si>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</si>
  <si>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</si>
  <si>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</si>
  <si>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</si>
  <si>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</si>
  <si>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</si>
  <si>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</si>
  <si>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</si>
  <si>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</si>
  <si>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</si>
  <si>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</si>
  <si>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</si>
  <si>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</si>
  <si>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</si>
  <si>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</si>
  <si>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</si>
  <si>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</si>
  <si>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</si>
  <si>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</si>
  <si>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</si>
  <si>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</si>
  <si>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</si>
  <si>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</si>
  <si>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</si>
  <si>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</si>
  <si>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</si>
  <si>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</si>
  <si>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</si>
  <si>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</si>
  <si>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</si>
  <si>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</si>
  <si>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</si>
  <si>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</si>
  <si>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</si>
  <si>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</si>
  <si>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</si>
  <si>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</si>
  <si>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</si>
  <si>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</si>
  <si>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</si>
  <si>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</si>
  <si>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</si>
  <si>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</si>
  <si>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</si>
  <si>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</si>
  <si>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</si>
  <si>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</si>
  <si>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</si>
  <si>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</si>
  <si>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</si>
  <si>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</si>
  <si>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</si>
  <si>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</si>
  <si>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</si>
  <si>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</si>
  <si>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</si>
  <si>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</si>
  <si>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</si>
  <si>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</si>
  <si>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</si>
  <si>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</si>
  <si>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</si>
  <si>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</si>
  <si>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</si>
  <si>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</si>
  <si>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</si>
  <si>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</si>
  <si>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</si>
  <si>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</si>
  <si>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</si>
  <si>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</si>
  <si>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</si>
  <si>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</si>
  <si>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</si>
  <si>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</si>
  <si>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</si>
  <si>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</si>
  <si>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</si>
  <si>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</si>
  <si>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</si>
  <si>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</si>
  <si>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</si>
  <si>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</si>
  <si>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</si>
  <si>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</si>
  <si>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</si>
  <si>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</si>
  <si>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</si>
  <si>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</si>
  <si>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</si>
  <si>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</si>
  <si>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</si>
  <si>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</si>
  <si>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</si>
  <si>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</si>
  <si>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</si>
  <si>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</si>
  <si>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</si>
  <si>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</si>
  <si>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</si>
  <si>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</si>
  <si>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</si>
  <si>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</si>
  <si>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</si>
  <si>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</si>
  <si>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</si>
  <si>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</si>
  <si>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</si>
  <si>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</si>
  <si>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</si>
  <si>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</si>
  <si>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</si>
  <si>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</si>
  <si>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</si>
  <si>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</si>
  <si>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</si>
  <si>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</si>
  <si>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</si>
  <si>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</si>
  <si>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</si>
  <si>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</si>
  <si>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</si>
  <si>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</si>
  <si>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</si>
  <si>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</si>
  <si>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</si>
  <si>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</si>
  <si>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</si>
  <si>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</si>
  <si>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</si>
  <si>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</si>
  <si>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</si>
  <si>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</si>
  <si>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</si>
  <si>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</si>
  <si>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</si>
  <si>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</si>
  <si>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</si>
  <si>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</si>
  <si>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</si>
  <si>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</si>
  <si>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</si>
  <si>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</si>
  <si>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</si>
  <si>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</si>
  <si>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</si>
  <si>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</si>
  <si>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</si>
  <si>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</si>
  <si>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</si>
  <si>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</si>
  <si>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</si>
  <si>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</si>
  <si>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</si>
  <si>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</si>
  <si>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</si>
  <si>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</si>
  <si>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</si>
  <si>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</si>
  <si>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</si>
  <si>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</si>
  <si>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</si>
  <si>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</si>
  <si>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</si>
  <si>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</si>
  <si>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</si>
  <si>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</si>
  <si>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</si>
  <si>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</si>
  <si>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</si>
  <si>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</si>
  <si>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</si>
  <si>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</si>
  <si>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</si>
  <si>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</si>
  <si>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</si>
  <si>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</si>
  <si>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</si>
  <si>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</si>
  <si>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</si>
  <si>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</si>
  <si>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</si>
  <si>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</si>
  <si>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</si>
  <si>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</si>
  <si>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</si>
  <si>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</si>
  <si>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</si>
  <si>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</si>
  <si>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</si>
  <si>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</si>
  <si>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</si>
  <si>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</si>
  <si>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</si>
  <si>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</si>
  <si>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</si>
  <si>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</si>
  <si>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</si>
  <si>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</si>
  <si>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</si>
  <si>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</si>
  <si>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</si>
  <si>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</si>
  <si>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</si>
  <si>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</si>
  <si>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</si>
  <si>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</si>
  <si>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</si>
  <si>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</si>
  <si>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</si>
  <si>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</si>
  <si>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</si>
  <si>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</si>
  <si>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</si>
  <si>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</si>
  <si>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</si>
  <si>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</si>
  <si>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</si>
  <si>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</si>
  <si>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</si>
  <si>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</si>
  <si>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</si>
  <si>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</si>
  <si>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</si>
  <si>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</si>
  <si>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</si>
  <si>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</si>
  <si>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</si>
  <si>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</si>
  <si>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</si>
  <si>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</si>
  <si>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</si>
  <si>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</si>
  <si>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</si>
  <si>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</si>
  <si>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</si>
  <si>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</si>
  <si>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</si>
  <si>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</si>
  <si>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</si>
  <si>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</si>
  <si>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</si>
  <si>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</si>
  <si>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</si>
  <si>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</si>
  <si>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</si>
  <si>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</si>
  <si>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</si>
  <si>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</si>
  <si>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</si>
  <si>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</si>
  <si>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</si>
  <si>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</si>
  <si>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</si>
  <si>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</si>
  <si>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</si>
  <si>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</si>
  <si>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</si>
  <si>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</si>
  <si>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</si>
  <si>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</si>
  <si>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</si>
  <si>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</si>
  <si>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</si>
  <si>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</si>
  <si>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</si>
  <si>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</si>
  <si>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</si>
  <si>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</si>
  <si>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</si>
  <si>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</si>
  <si>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</si>
  <si>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</si>
  <si>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</si>
  <si>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</si>
  <si>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</si>
  <si>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</si>
  <si>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</si>
  <si>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</si>
  <si>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</si>
  <si>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</si>
  <si>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</si>
  <si>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</si>
  <si>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</si>
  <si>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</si>
  <si>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</si>
  <si>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</si>
  <si>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</si>
  <si>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</si>
  <si>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</si>
  <si>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</si>
  <si>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</si>
  <si>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</si>
  <si>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</si>
  <si>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</si>
  <si>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</si>
  <si>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</si>
  <si>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</si>
  <si>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</si>
  <si>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</si>
  <si>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</si>
  <si>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</si>
  <si>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</si>
  <si>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</si>
  <si>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</si>
  <si>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</si>
  <si>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</si>
  <si>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</si>
  <si>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</si>
  <si>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</si>
  <si>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</si>
  <si>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</si>
  <si>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</si>
  <si>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</si>
  <si>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</si>
  <si>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</si>
  <si>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</si>
  <si>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</si>
  <si>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</si>
  <si>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</si>
  <si>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</si>
  <si>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</si>
  <si>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</si>
  <si>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</si>
  <si>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</si>
  <si>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</si>
  <si>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</si>
  <si>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</si>
  <si>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</si>
  <si>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</si>
  <si>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</si>
  <si>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</si>
  <si>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</si>
  <si>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</si>
  <si>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</si>
  <si>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</si>
  <si>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</si>
  <si>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</si>
  <si>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</si>
  <si>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</si>
  <si>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</si>
  <si>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</si>
  <si>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</si>
  <si>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</si>
  <si>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</si>
  <si>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</si>
  <si>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</si>
  <si>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</si>
  <si>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</si>
  <si>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</si>
  <si>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</si>
  <si>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</si>
  <si>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</si>
  <si>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</si>
  <si>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</si>
  <si>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</si>
  <si>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</si>
  <si>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</si>
  <si>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</si>
  <si>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</si>
  <si>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</si>
  <si>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</si>
  <si>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</si>
  <si>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</si>
  <si>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</si>
  <si>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</si>
  <si>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</si>
  <si>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</si>
  <si>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</si>
  <si>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</si>
  <si>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</si>
  <si>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</si>
  <si>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</si>
  <si>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</si>
  <si>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</si>
  <si>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</si>
  <si>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</si>
  <si>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</si>
  <si>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</si>
  <si>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</si>
  <si>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</si>
  <si>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</si>
  <si>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</si>
  <si>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</si>
  <si>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</si>
  <si>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</si>
  <si>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</si>
  <si>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</si>
  <si>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</si>
  <si>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</si>
  <si>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</si>
  <si>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</si>
  <si>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</si>
  <si>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</si>
  <si>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</si>
  <si>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</si>
  <si>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</si>
  <si>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</si>
  <si>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</si>
  <si>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</si>
  <si>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</si>
  <si>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</si>
  <si>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</si>
  <si>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</si>
  <si>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</si>
  <si>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</si>
  <si>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</si>
  <si>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</si>
  <si>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</si>
  <si>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</si>
  <si>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</si>
  <si>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</si>
  <si>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</si>
  <si>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</si>
  <si>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</si>
  <si>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</si>
  <si>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</si>
  <si>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</si>
  <si>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</si>
  <si>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</si>
  <si>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</si>
  <si>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</si>
  <si>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</si>
  <si>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</si>
  <si>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</si>
  <si>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</si>
  <si>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</si>
  <si>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</si>
  <si>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</si>
  <si>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</si>
  <si>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</si>
  <si>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</si>
  <si>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</si>
  <si>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</si>
  <si>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</si>
  <si>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</si>
  <si>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</si>
  <si>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</si>
  <si>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</si>
  <si>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</si>
  <si>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</si>
  <si>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</si>
  <si>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</si>
  <si>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</si>
  <si>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</si>
  <si>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</si>
  <si>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</si>
  <si>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</si>
  <si>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</si>
  <si>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</si>
  <si>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</si>
  <si>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</si>
  <si>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</si>
  <si>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</si>
  <si>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</si>
  <si>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</si>
  <si>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</si>
  <si>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</si>
  <si>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</si>
  <si>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</si>
  <si>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</si>
  <si>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</si>
  <si>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</si>
  <si>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</si>
  <si>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</si>
  <si>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</si>
  <si>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</si>
  <si>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</si>
  <si>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</si>
  <si>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</si>
  <si>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</si>
  <si>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</si>
  <si>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</si>
  <si>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</si>
  <si>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</si>
  <si>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</si>
  <si>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</si>
  <si>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</si>
  <si>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</si>
  <si>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</si>
  <si>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</si>
  <si>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</si>
  <si>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</si>
  <si>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</si>
  <si>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</si>
  <si>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</si>
  <si>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</si>
  <si>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</si>
  <si>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</si>
  <si>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</si>
  <si>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</si>
  <si>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</si>
  <si>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</si>
  <si>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</si>
  <si>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</si>
  <si>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</si>
  <si>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</si>
  <si>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</si>
  <si>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</si>
  <si>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</si>
  <si>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</si>
  <si>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</si>
  <si>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</si>
  <si>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</si>
  <si>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</si>
  <si>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</si>
  <si>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</si>
  <si>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</si>
  <si>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</si>
  <si>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</si>
  <si>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</si>
  <si>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</si>
  <si>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</si>
  <si>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</si>
  <si>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</si>
  <si>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</si>
  <si>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</si>
  <si>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</si>
  <si>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</si>
  <si>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</si>
  <si>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</si>
  <si>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</si>
  <si>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</si>
  <si>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</si>
  <si>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</si>
  <si>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</si>
  <si>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</si>
  <si>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</si>
  <si>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</si>
  <si>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</si>
  <si>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</si>
  <si>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</si>
  <si>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</si>
  <si>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</si>
  <si>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</si>
  <si>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</si>
  <si>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</si>
  <si>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</si>
  <si>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</si>
  <si>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</si>
  <si>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</si>
  <si>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</si>
  <si>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</si>
  <si>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</si>
  <si>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</si>
  <si>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</si>
  <si>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</si>
  <si>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</si>
  <si>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</si>
  <si>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</si>
  <si>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</si>
  <si>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</si>
  <si>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</si>
  <si>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</si>
  <si>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</si>
  <si>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</si>
  <si>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</si>
  <si>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</si>
  <si>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</si>
  <si>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</si>
  <si>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</si>
  <si>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</si>
  <si>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</si>
  <si>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</si>
  <si>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</si>
  <si>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</si>
  <si>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</si>
  <si>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</si>
  <si>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</si>
  <si>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</si>
  <si>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</si>
  <si>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</si>
  <si>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</si>
  <si>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</si>
  <si>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</si>
  <si>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</si>
  <si>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</si>
  <si>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</si>
  <si>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</si>
  <si>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</si>
  <si>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</si>
  <si>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</si>
  <si>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</si>
  <si>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</si>
  <si>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</si>
  <si>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</si>
  <si>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</si>
  <si>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</si>
  <si>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</si>
  <si>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</si>
  <si>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</si>
  <si>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</si>
  <si>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</si>
  <si>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</si>
  <si>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</si>
  <si>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</si>
  <si>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</si>
  <si>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</si>
  <si>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</si>
  <si>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</si>
  <si>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</si>
  <si>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</si>
  <si>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</si>
  <si>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</si>
  <si>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</si>
  <si>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</si>
  <si>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</si>
  <si>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</si>
  <si>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</si>
  <si>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</si>
  <si>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</si>
  <si>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</si>
  <si>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</si>
  <si>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</si>
  <si>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</si>
  <si>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</si>
  <si>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</si>
  <si>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</si>
  <si>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</si>
  <si>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</si>
  <si>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</si>
  <si>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</si>
  <si>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</si>
  <si>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</si>
  <si>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</si>
  <si>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</si>
  <si>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</si>
  <si>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</si>
  <si>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</si>
  <si>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</si>
  <si>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</si>
  <si>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</si>
  <si>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</si>
  <si>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</si>
  <si>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</si>
  <si>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</si>
  <si>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</si>
  <si>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</si>
  <si>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</si>
  <si>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</si>
  <si>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</si>
  <si>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</si>
  <si>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</si>
  <si>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</si>
  <si>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</si>
  <si>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</si>
  <si>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</si>
  <si>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</si>
  <si>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</si>
  <si>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</si>
  <si>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</si>
  <si>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</si>
  <si>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</si>
  <si>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</si>
  <si>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</si>
  <si>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</si>
  <si>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</si>
  <si>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</si>
  <si>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</si>
  <si>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</si>
  <si>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</si>
  <si>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</si>
  <si>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</si>
  <si>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</si>
  <si>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</si>
  <si>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</si>
  <si>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</si>
  <si>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</si>
  <si>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</si>
  <si>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</si>
  <si>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</si>
  <si>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</si>
  <si>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</si>
  <si>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</si>
  <si>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</si>
  <si>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</si>
  <si>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</si>
  <si>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</si>
  <si>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</si>
  <si>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</si>
  <si>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</si>
  <si>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</si>
  <si>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</si>
  <si>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</si>
  <si>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</si>
  <si>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</si>
  <si>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</si>
  <si>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</si>
  <si>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</si>
  <si>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</si>
  <si>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</si>
  <si>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</si>
  <si>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</si>
  <si>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</si>
  <si>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</si>
  <si>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</si>
  <si>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</si>
  <si>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</si>
  <si>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</si>
  <si>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</si>
  <si>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</si>
  <si>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</si>
  <si>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</si>
  <si>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</si>
  <si>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</si>
  <si>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</si>
  <si>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</si>
  <si>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</si>
  <si>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</si>
  <si>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</si>
  <si>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</si>
  <si>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</si>
  <si>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</si>
  <si>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</si>
  <si>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</si>
  <si>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</si>
  <si>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</si>
  <si>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</si>
  <si>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</si>
  <si>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</si>
  <si>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</si>
  <si>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</si>
  <si>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</si>
  <si>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</si>
  <si>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</si>
  <si>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</si>
  <si>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</si>
  <si>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</si>
  <si>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</si>
  <si>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</si>
  <si>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</si>
  <si>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</si>
  <si>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</si>
  <si>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</si>
  <si>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</si>
  <si>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</si>
  <si>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</si>
  <si>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</si>
  <si>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</si>
  <si>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</si>
  <si>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</si>
  <si>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</si>
  <si>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</si>
  <si>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</si>
  <si>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</si>
  <si>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</si>
  <si>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</si>
  <si>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</si>
  <si>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</si>
  <si>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</si>
  <si>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</si>
  <si>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</si>
  <si>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</si>
  <si>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</si>
  <si>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</si>
  <si>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</si>
  <si>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</si>
  <si>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</si>
  <si>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</si>
  <si>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</si>
  <si>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</si>
  <si>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</si>
  <si>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</si>
  <si>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</si>
  <si>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</si>
  <si>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</si>
  <si>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</si>
  <si>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</si>
  <si>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</si>
  <si>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</si>
  <si>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</si>
  <si>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</si>
  <si>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</si>
  <si>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</si>
  <si>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</si>
  <si>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</si>
  <si>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</si>
  <si>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</si>
  <si>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</si>
  <si>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</si>
  <si>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</si>
  <si>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</si>
  <si>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</si>
  <si>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</si>
  <si>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</si>
  <si>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</si>
  <si>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</si>
  <si>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</si>
  <si>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</si>
  <si>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</si>
  <si>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</si>
  <si>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</si>
  <si>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</si>
  <si>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</si>
  <si>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</si>
  <si>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</si>
  <si>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</si>
  <si>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</si>
  <si>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</si>
  <si>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</si>
  <si>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</si>
  <si>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</si>
  <si>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</si>
  <si>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</si>
  <si>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</si>
  <si>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</si>
  <si>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</si>
  <si>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</si>
  <si>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</si>
  <si>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</si>
  <si>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</si>
  <si>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</si>
  <si>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</si>
  <si>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</si>
  <si>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</si>
  <si>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</si>
  <si>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</si>
  <si>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</si>
  <si>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</si>
  <si>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</si>
  <si>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</si>
  <si>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</si>
  <si>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</si>
  <si>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</si>
  <si>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</si>
  <si>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</si>
  <si>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</si>
  <si>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</si>
  <si>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</si>
  <si>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</si>
  <si>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</si>
  <si>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</si>
  <si>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</si>
  <si>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</si>
  <si>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</si>
  <si>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</si>
  <si>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</si>
  <si>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</si>
  <si>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</si>
  <si>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</si>
  <si>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</si>
  <si>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</si>
  <si>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</si>
  <si>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</si>
  <si>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</si>
  <si>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</si>
  <si>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</si>
  <si>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</si>
  <si>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</si>
  <si>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</si>
  <si>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</si>
  <si>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</si>
  <si>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</si>
  <si>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</si>
  <si>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</si>
  <si>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</si>
  <si>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</si>
  <si>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</si>
  <si>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</si>
  <si>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</si>
  <si>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</si>
  <si>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</si>
  <si>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</si>
  <si>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t>Data (Billions)</t>
  </si>
  <si>
    <t>Supply Side IRA Override</t>
  </si>
  <si>
    <t>supply_side_ira_override</t>
  </si>
  <si>
    <t>supply_side_ira</t>
  </si>
  <si>
    <t>Equipment</t>
  </si>
  <si>
    <t>Smoothed Total</t>
  </si>
  <si>
    <t>March</t>
  </si>
  <si>
    <t>40% from leg</t>
  </si>
  <si>
    <t>Federal Student Loans Override</t>
  </si>
  <si>
    <t>federal_student_loans_override</t>
  </si>
  <si>
    <t>Personal add factor</t>
  </si>
  <si>
    <t>Individual income growth rate Hutchins Center adjustment</t>
  </si>
  <si>
    <t>Federal + State Non-Corporate</t>
  </si>
  <si>
    <t>what we thought it would be</t>
  </si>
  <si>
    <t>what it actually was</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</si>
  <si>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</si>
  <si>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</si>
  <si>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</si>
  <si>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</si>
  <si>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</si>
  <si>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</si>
  <si>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</si>
  <si>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state + local</t>
  </si>
  <si>
    <t>Assume75% of increase in private fixed incestment:manufacturing over 2019 levels is due to legislation</t>
  </si>
  <si>
    <t xml:space="preserve">February 2024 CBO projection of social security </t>
  </si>
  <si>
    <t>June</t>
  </si>
  <si>
    <t>July</t>
  </si>
  <si>
    <t>PCE deflator (2.8.4 top line)</t>
  </si>
  <si>
    <t>Consumption (CBO)</t>
  </si>
  <si>
    <t>FIM consumption deflator forecast</t>
  </si>
  <si>
    <t>consumption deflator add factor</t>
  </si>
  <si>
    <t xml:space="preserve">2024 Q1 </t>
  </si>
  <si>
    <t xml:space="preserve">2026 Q1 </t>
  </si>
  <si>
    <t>lasgova@usecon</t>
  </si>
  <si>
    <t>Our forecast for Q2</t>
  </si>
  <si>
    <t>purchases deflator add factor</t>
  </si>
  <si>
    <t>Federal + State Personal</t>
  </si>
  <si>
    <t>Federal + State Social Insurance</t>
  </si>
  <si>
    <t>Supply side ira</t>
  </si>
  <si>
    <r>
      <t xml:space="preserve">Methodology: Assume75% of increase over 2019 levels is due to legislation. </t>
    </r>
    <r>
      <rPr>
        <sz val="11"/>
        <color theme="1"/>
        <rFont val="Arial"/>
        <family val="2"/>
      </rPr>
      <t xml:space="preserve">	USE GS estimates (read from chart) 		https://publishing.gs.com/content/research/en/reports/2023/08/18/f5dffb24-0fd6-48a4-8b5b-724c33d4268b.html	     Add on for equipment using Goldman Sachs estimate - assume delay is 3 quarters		   Assume levels off after Q2 of 2025			    Note that an MPC of (1, 0, 0) is applied to all of the values in the code													
												</t>
    </r>
    <r>
      <rPr>
        <b/>
        <sz val="11"/>
        <color theme="1"/>
        <rFont val="Arial"/>
        <family val="2"/>
      </rPr>
      <t xml:space="preserve">											
																							</t>
    </r>
  </si>
  <si>
    <t>2024 Q1 initial update</t>
  </si>
  <si>
    <t>2024 Q1 first revision</t>
  </si>
  <si>
    <t>2024 Q1 first revision (May 2024)</t>
  </si>
  <si>
    <t>We haven't put in the CBO rate because the CBO assumes the TCJA expires</t>
  </si>
  <si>
    <t>Customs</t>
  </si>
  <si>
    <t>Excise</t>
  </si>
  <si>
    <t>Corporate Profits with IVA and CCAdj</t>
  </si>
  <si>
    <t>Taxable Personal Income</t>
  </si>
  <si>
    <t>add 5</t>
  </si>
  <si>
    <t>add 15</t>
  </si>
  <si>
    <t>take off 10</t>
  </si>
  <si>
    <t>add 30</t>
  </si>
  <si>
    <t>June 2024 CBO Unemployment Rate Projection</t>
  </si>
  <si>
    <t>June 2024 CBO Projection of Federal Purchases</t>
  </si>
  <si>
    <t>June 2024 CBO Federal Purchases Growth</t>
  </si>
  <si>
    <t>June 2024 CBO Projection of State and Local purchases</t>
  </si>
  <si>
    <t>June 2024 CBO State and Local Purchases Growth</t>
  </si>
  <si>
    <t>Judgmental Growth Rate</t>
  </si>
  <si>
    <t>2024 Q1 second revision (June 2024)</t>
  </si>
  <si>
    <t>June 2024 CBO Projection of Federal Medicaid Outlays</t>
  </si>
  <si>
    <t>Note from Lorae in June 2024: These are almost the same as the former estimate</t>
  </si>
  <si>
    <t>June 2024 CBO Annual Medicare Spending</t>
  </si>
  <si>
    <t>Note from Lorae June 2024: 2024 and 2025 projections are up by about 50 B!</t>
  </si>
  <si>
    <t>*Note from Lorae June 2024: income taxes are up by 200ish</t>
  </si>
  <si>
    <t>June 2024 CBO Projections of Federal Taxes (Fiscal Years)</t>
  </si>
  <si>
    <t>June 2024 CBO projection of the annual tax base</t>
  </si>
  <si>
    <t>June 2024 CBO Tax Base Quarterly Projections</t>
  </si>
  <si>
    <t xml:space="preserve"> Corporate Profits</t>
  </si>
  <si>
    <t>Personal Consumption Expenditures</t>
  </si>
  <si>
    <t>June 2024 CBO economic release</t>
  </si>
  <si>
    <t>Federal government consumption expenditures</t>
  </si>
  <si>
    <t>State and local government consumption expenditures</t>
  </si>
  <si>
    <t>Real Personal consumption expenditures, chained 2017 dollars</t>
  </si>
  <si>
    <t>Real Federal government consumption expenditures, chained 2017 dollars</t>
  </si>
  <si>
    <t>Real State and local government consumption expenditures, chained 2017</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</si>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</sst>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68"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scheme val="minor"/>
    </font>
    <font>
      <sz val="11"/>
      <color rgb="FF4F4F4F"/>
      <name val="Segoe UI"/>
      <family val="2"/>
    </font>
    <font>
      <b/>
      <sz val="16"/>
      <color theme="1"/>
      <name val="Calibri"/>
      <family val="2"/>
    </font>
    <font>
      <u/>
      <sz val="11"/>
      <color theme="10"/>
      <name val="Calibri"/>
      <family val="2"/>
    </font>
    <font>
      <b/>
      <sz val="11"/>
      <color rgb="FF4F4F4F"/>
      <name val="Segoe U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sz val="11"/>
      <color theme="1"/>
      <name val="Calibri"/>
      <family val="2"/>
      <scheme val="minor"/>
    </font>
    <font>
      <sz val="11"/>
      <color rgb="FFFF0000"/>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FFFF"/>
        <bgColor indexed="64"/>
      </patternFill>
    </fill>
    <fill>
      <patternFill patternType="solid">
        <fgColor theme="8" tint="0.79998168889431442"/>
        <bgColor indexed="64"/>
      </patternFill>
    </fill>
    <fill>
      <patternFill patternType="solid">
        <fgColor rgb="FFFF0000"/>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B0C4FE"/>
        <bgColor indexed="64"/>
      </patternFill>
    </fill>
    <fill>
      <patternFill patternType="solid">
        <fgColor rgb="FFFDFDCB"/>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top style="hair">
        <color indexed="64"/>
      </top>
      <bottom/>
      <diagonal/>
    </border>
    <border>
      <left/>
      <right style="hair">
        <color auto="1"/>
      </right>
      <top/>
      <bottom/>
      <diagonal/>
    </border>
    <border>
      <left style="hair">
        <color auto="1"/>
      </left>
      <right/>
      <top/>
      <bottom/>
      <diagonal/>
    </border>
    <border>
      <left style="hair">
        <color auto="1"/>
      </left>
      <right/>
      <top style="hair">
        <color auto="1"/>
      </top>
      <bottom/>
      <diagonal/>
    </border>
    <border>
      <left/>
      <right style="thin">
        <color indexed="64"/>
      </right>
      <top style="thin">
        <color theme="0" tint="-0.14999847407452621"/>
      </top>
      <bottom style="thin">
        <color theme="0" tint="-0.14999847407452621"/>
      </bottom>
      <diagonal/>
    </border>
    <border>
      <left style="hair">
        <color auto="1"/>
      </left>
      <right/>
      <top/>
      <bottom style="hair">
        <color auto="1"/>
      </bottom>
      <diagonal/>
    </border>
    <border>
      <left/>
      <right style="hair">
        <color auto="1"/>
      </right>
      <top style="hair">
        <color auto="1"/>
      </top>
      <bottom/>
      <diagonal/>
    </border>
    <border>
      <left/>
      <right style="hair">
        <color auto="1"/>
      </right>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thin">
        <color auto="1"/>
      </top>
      <bottom style="thin">
        <color indexed="64"/>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40">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1" fontId="1" fillId="0" borderId="0" xfId="0" applyNumberFormat="1" applyFont="1" applyAlignment="1">
      <alignment horizontal="center"/>
    </xf>
    <xf numFmtId="164" fontId="1" fillId="0" borderId="0" xfId="0" applyNumberFormat="1" applyFont="1"/>
    <xf numFmtId="167" fontId="1" fillId="0" borderId="0" xfId="0" applyNumberFormat="1" applyFont="1" applyAlignment="1">
      <alignment horizontal="center"/>
    </xf>
    <xf numFmtId="1" fontId="1" fillId="0" borderId="0" xfId="0" applyNumberFormat="1" applyFont="1"/>
    <xf numFmtId="167" fontId="1" fillId="0" borderId="0" xfId="0" applyNumberFormat="1" applyFont="1"/>
    <xf numFmtId="0" fontId="2" fillId="0" borderId="0" xfId="0" applyFont="1"/>
    <xf numFmtId="164" fontId="1" fillId="0" borderId="0" xfId="0" applyNumberFormat="1" applyFont="1" applyAlignment="1">
      <alignment horizontal="center"/>
    </xf>
    <xf numFmtId="10" fontId="1" fillId="0" borderId="1" xfId="0" applyNumberFormat="1" applyFont="1" applyBorder="1"/>
    <xf numFmtId="0" fontId="2" fillId="7" borderId="0" xfId="0" applyFont="1" applyFill="1" applyAlignment="1">
      <alignment horizontal="center"/>
    </xf>
    <xf numFmtId="3" fontId="1" fillId="0" borderId="15" xfId="0" applyNumberFormat="1" applyFont="1" applyBorder="1" applyAlignment="1">
      <alignment horizontal="right"/>
    </xf>
    <xf numFmtId="0" fontId="2" fillId="0" borderId="0" xfId="0" applyFont="1" applyAlignment="1">
      <alignment horizontal="center"/>
    </xf>
    <xf numFmtId="168" fontId="1" fillId="8" borderId="16" xfId="0" applyNumberFormat="1" applyFont="1" applyFill="1" applyBorder="1" applyAlignment="1">
      <alignment horizontal="center"/>
    </xf>
    <xf numFmtId="168" fontId="1" fillId="9" borderId="16" xfId="0" applyNumberFormat="1" applyFont="1" applyFill="1" applyBorder="1" applyAlignment="1">
      <alignment horizontal="center"/>
    </xf>
    <xf numFmtId="165" fontId="2" fillId="9" borderId="17" xfId="0" applyNumberFormat="1" applyFont="1" applyFill="1" applyBorder="1" applyAlignment="1">
      <alignment horizontal="right"/>
    </xf>
    <xf numFmtId="165" fontId="2"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1" fontId="1" fillId="10" borderId="18" xfId="0" applyNumberFormat="1" applyFont="1" applyFill="1" applyBorder="1" applyAlignment="1">
      <alignment horizontal="center"/>
    </xf>
    <xf numFmtId="168" fontId="1" fillId="11" borderId="16" xfId="0" applyNumberFormat="1" applyFont="1" applyFill="1" applyBorder="1" applyAlignment="1">
      <alignment horizontal="center"/>
    </xf>
    <xf numFmtId="165" fontId="2" fillId="11" borderId="0" xfId="0" applyNumberFormat="1" applyFont="1" applyFill="1" applyAlignment="1">
      <alignment horizontal="right"/>
    </xf>
    <xf numFmtId="165" fontId="2" fillId="11" borderId="17" xfId="0" applyNumberFormat="1" applyFont="1" applyFill="1" applyBorder="1" applyAlignment="1">
      <alignment horizontal="right"/>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3" fontId="1" fillId="11" borderId="15" xfId="0" applyNumberFormat="1" applyFont="1" applyFill="1" applyBorder="1" applyAlignment="1">
      <alignment horizontal="right"/>
    </xf>
    <xf numFmtId="165" fontId="1" fillId="0" borderId="0" xfId="0" applyNumberFormat="1" applyFont="1"/>
    <xf numFmtId="0" fontId="13" fillId="0" borderId="0" xfId="0" applyFont="1"/>
    <xf numFmtId="0" fontId="1" fillId="10" borderId="0" xfId="0" applyFont="1" applyFill="1" applyAlignment="1">
      <alignment horizontal="left" indent="3"/>
    </xf>
    <xf numFmtId="165" fontId="1" fillId="10" borderId="19" xfId="0" applyNumberFormat="1" applyFont="1" applyFill="1" applyBorder="1" applyAlignment="1">
      <alignment horizontal="right"/>
    </xf>
    <xf numFmtId="165" fontId="1" fillId="10" borderId="0" xfId="0" applyNumberFormat="1" applyFont="1" applyFill="1" applyAlignment="1">
      <alignment horizontal="right"/>
    </xf>
    <xf numFmtId="2" fontId="1" fillId="10" borderId="4" xfId="0" applyNumberFormat="1" applyFont="1" applyFill="1" applyBorder="1"/>
    <xf numFmtId="165" fontId="2" fillId="8" borderId="20" xfId="0" applyNumberFormat="1" applyFont="1" applyFill="1" applyBorder="1" applyAlignment="1">
      <alignment horizontal="right"/>
    </xf>
    <xf numFmtId="2" fontId="1" fillId="10" borderId="21" xfId="0" applyNumberFormat="1" applyFont="1" applyFill="1" applyBorder="1"/>
    <xf numFmtId="165" fontId="2" fillId="8" borderId="19" xfId="0" applyNumberFormat="1" applyFont="1" applyFill="1" applyBorder="1" applyAlignment="1">
      <alignment horizontal="right"/>
    </xf>
    <xf numFmtId="165" fontId="1" fillId="8" borderId="19" xfId="0" applyNumberFormat="1" applyFont="1" applyFill="1" applyBorder="1" applyAlignment="1">
      <alignment horizontal="right"/>
    </xf>
    <xf numFmtId="3" fontId="1" fillId="8" borderId="19" xfId="0" applyNumberFormat="1" applyFont="1" applyFill="1" applyBorder="1" applyAlignment="1">
      <alignment horizontal="right"/>
    </xf>
    <xf numFmtId="3" fontId="1" fillId="8" borderId="22" xfId="0" applyNumberFormat="1" applyFont="1" applyFill="1" applyBorder="1" applyAlignment="1">
      <alignment horizontal="right"/>
    </xf>
    <xf numFmtId="165" fontId="2" fillId="8" borderId="17" xfId="0" applyNumberFormat="1" applyFont="1" applyFill="1" applyBorder="1" applyAlignment="1">
      <alignment horizontal="right"/>
    </xf>
    <xf numFmtId="165" fontId="2" fillId="8" borderId="0" xfId="0" applyNumberFormat="1" applyFont="1" applyFill="1" applyAlignment="1">
      <alignment horizontal="right"/>
    </xf>
    <xf numFmtId="165" fontId="1" fillId="8" borderId="0" xfId="0" applyNumberFormat="1" applyFont="1" applyFill="1" applyAlignment="1">
      <alignment horizontal="right"/>
    </xf>
    <xf numFmtId="3" fontId="1" fillId="8" borderId="0" xfId="0" applyNumberFormat="1" applyFont="1" applyFill="1" applyAlignment="1">
      <alignment horizontal="right"/>
    </xf>
    <xf numFmtId="3" fontId="1" fillId="8" borderId="15" xfId="0" applyNumberFormat="1" applyFont="1" applyFill="1" applyBorder="1" applyAlignment="1">
      <alignment horizontal="right"/>
    </xf>
    <xf numFmtId="3" fontId="1" fillId="9" borderId="15" xfId="0" applyNumberFormat="1" applyFont="1" applyFill="1" applyBorder="1" applyAlignment="1">
      <alignment horizontal="right"/>
    </xf>
    <xf numFmtId="165" fontId="2" fillId="9" borderId="23" xfId="0" applyNumberFormat="1" applyFont="1" applyFill="1" applyBorder="1" applyAlignment="1">
      <alignment horizontal="right"/>
    </xf>
    <xf numFmtId="165" fontId="2" fillId="9" borderId="18" xfId="0" applyNumberFormat="1" applyFont="1" applyFill="1" applyBorder="1" applyAlignment="1">
      <alignment horizontal="right"/>
    </xf>
    <xf numFmtId="165" fontId="1" fillId="9" borderId="18" xfId="0" applyNumberFormat="1" applyFont="1" applyFill="1" applyBorder="1" applyAlignment="1">
      <alignment horizontal="right"/>
    </xf>
    <xf numFmtId="3" fontId="1" fillId="9" borderId="18" xfId="0" applyNumberFormat="1" applyFont="1" applyFill="1" applyBorder="1" applyAlignment="1">
      <alignment horizontal="right"/>
    </xf>
    <xf numFmtId="3" fontId="1" fillId="9" borderId="24" xfId="0" applyNumberFormat="1" applyFont="1" applyFill="1" applyBorder="1" applyAlignment="1">
      <alignment horizontal="right"/>
    </xf>
    <xf numFmtId="0" fontId="2" fillId="10" borderId="0" xfId="0" applyFont="1" applyFill="1" applyAlignment="1">
      <alignment horizontal="left" wrapText="1" indent="1"/>
    </xf>
    <xf numFmtId="0" fontId="14" fillId="12" borderId="0" xfId="0" applyFont="1" applyFill="1" applyAlignment="1">
      <alignment horizontal="right" vertical="center"/>
    </xf>
    <xf numFmtId="165" fontId="2" fillId="10" borderId="19" xfId="0" applyNumberFormat="1" applyFont="1" applyFill="1" applyBorder="1" applyAlignment="1">
      <alignment horizontal="right"/>
    </xf>
    <xf numFmtId="165" fontId="2" fillId="10" borderId="0" xfId="0" applyNumberFormat="1" applyFont="1" applyFill="1" applyAlignment="1">
      <alignment horizontal="right"/>
    </xf>
    <xf numFmtId="0" fontId="2" fillId="10" borderId="0" xfId="0" applyFont="1" applyFill="1" applyAlignment="1">
      <alignment horizontal="left"/>
    </xf>
    <xf numFmtId="49" fontId="1" fillId="0" borderId="0" xfId="0" applyNumberFormat="1" applyFont="1" applyAlignment="1">
      <alignment horizontal="left" wrapText="1" indent="1"/>
    </xf>
    <xf numFmtId="168" fontId="15" fillId="0" borderId="0" xfId="0" applyNumberFormat="1" applyFont="1" applyAlignment="1">
      <alignment horizontal="center"/>
    </xf>
    <xf numFmtId="0" fontId="1" fillId="0" borderId="0" xfId="0" applyFont="1" applyAlignment="1">
      <alignment horizontal="left" vertical="center" indent="2"/>
    </xf>
    <xf numFmtId="168" fontId="1" fillId="0" borderId="27" xfId="0" applyNumberFormat="1" applyFont="1" applyBorder="1" applyAlignment="1">
      <alignment horizontal="center"/>
    </xf>
    <xf numFmtId="168" fontId="1" fillId="0" borderId="19" xfId="0" applyNumberFormat="1" applyFont="1" applyBorder="1" applyAlignment="1">
      <alignment horizontal="center"/>
    </xf>
    <xf numFmtId="168" fontId="1" fillId="0" borderId="0" xfId="0" applyNumberFormat="1" applyFont="1" applyAlignment="1">
      <alignment horizontal="left" wrapText="1" indent="1"/>
    </xf>
    <xf numFmtId="0" fontId="1" fillId="0" borderId="0" xfId="0" applyFont="1" applyAlignment="1">
      <alignment horizontal="left" indent="1"/>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5" fillId="8" borderId="0" xfId="0" applyNumberFormat="1" applyFont="1" applyFill="1" applyAlignment="1">
      <alignment horizontal="center"/>
    </xf>
    <xf numFmtId="0" fontId="2" fillId="8" borderId="0" xfId="0" applyFont="1" applyFill="1"/>
    <xf numFmtId="0" fontId="1" fillId="0" borderId="0" xfId="0" applyFont="1" applyAlignment="1">
      <alignment horizontal="left" indent="3"/>
    </xf>
    <xf numFmtId="0" fontId="2" fillId="8" borderId="0" xfId="0" applyFont="1" applyFill="1" applyAlignment="1">
      <alignment horizontal="center"/>
    </xf>
    <xf numFmtId="168" fontId="1" fillId="8" borderId="0" xfId="0" applyNumberFormat="1" applyFont="1" applyFill="1" applyAlignment="1">
      <alignment horizontal="center"/>
    </xf>
    <xf numFmtId="1" fontId="1" fillId="8" borderId="0" xfId="0" applyNumberFormat="1" applyFont="1" applyFill="1" applyAlignment="1">
      <alignment horizontal="center"/>
    </xf>
    <xf numFmtId="168" fontId="1" fillId="8" borderId="0" xfId="0" applyNumberFormat="1" applyFont="1" applyFill="1" applyAlignment="1">
      <alignment horizontal="left" indent="1"/>
    </xf>
    <xf numFmtId="49" fontId="1" fillId="8" borderId="0" xfId="0" applyNumberFormat="1" applyFont="1" applyFill="1" applyAlignment="1">
      <alignment horizontal="left" wrapText="1" indent="1"/>
    </xf>
    <xf numFmtId="168" fontId="1" fillId="8" borderId="0" xfId="0" applyNumberFormat="1" applyFont="1" applyFill="1" applyAlignment="1">
      <alignment horizontal="left" wrapText="1" indent="1"/>
    </xf>
    <xf numFmtId="0" fontId="1" fillId="8" borderId="0" xfId="0" applyFont="1" applyFill="1" applyAlignment="1">
      <alignment horizontal="left" indent="1"/>
    </xf>
    <xf numFmtId="0" fontId="1" fillId="8" borderId="0" xfId="0" applyFont="1" applyFill="1"/>
    <xf numFmtId="17" fontId="12" fillId="8" borderId="32" xfId="0" applyNumberFormat="1" applyFont="1" applyFill="1" applyBorder="1" applyAlignment="1">
      <alignment horizontal="left" wrapText="1"/>
    </xf>
    <xf numFmtId="0" fontId="1" fillId="0" borderId="0" xfId="0" applyFont="1" applyAlignment="1">
      <alignment horizontal="left" indent="5"/>
    </xf>
    <xf numFmtId="168" fontId="15" fillId="9" borderId="0" xfId="0" applyNumberFormat="1" applyFont="1" applyFill="1" applyAlignment="1">
      <alignment horizontal="center"/>
    </xf>
    <xf numFmtId="0" fontId="2" fillId="9" borderId="0" xfId="0" applyFont="1" applyFill="1"/>
    <xf numFmtId="0" fontId="2"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0" fontId="1" fillId="0" borderId="0" xfId="0" applyFont="1" applyAlignment="1">
      <alignment horizontal="left" wrapText="1" indent="5"/>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32" xfId="0" applyNumberFormat="1" applyFont="1" applyFill="1" applyBorder="1" applyAlignment="1">
      <alignment horizontal="left" wrapText="1"/>
    </xf>
    <xf numFmtId="168" fontId="15" fillId="11" borderId="0" xfId="0" applyNumberFormat="1" applyFont="1" applyFill="1" applyAlignment="1">
      <alignment horizontal="center"/>
    </xf>
    <xf numFmtId="0" fontId="2" fillId="11" borderId="0" xfId="0" applyFont="1" applyFill="1"/>
    <xf numFmtId="0" fontId="2" fillId="11" borderId="0" xfId="0" applyFont="1" applyFill="1" applyAlignment="1">
      <alignment horizontal="center"/>
    </xf>
    <xf numFmtId="0" fontId="2" fillId="0" borderId="0" xfId="0" applyFont="1" applyAlignment="1">
      <alignment horizontal="left" wrapText="1" indent="1"/>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0" fontId="1" fillId="0" borderId="0" xfId="0" applyFont="1" applyAlignment="1">
      <alignment horizontal="left" wrapText="1" indent="3"/>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32" xfId="0" applyNumberFormat="1" applyFont="1" applyFill="1" applyBorder="1" applyAlignment="1">
      <alignment horizontal="left" wrapText="1"/>
    </xf>
    <xf numFmtId="1" fontId="1" fillId="0" borderId="23" xfId="0" applyNumberFormat="1" applyFont="1" applyBorder="1" applyAlignment="1">
      <alignment horizontal="center"/>
    </xf>
    <xf numFmtId="1" fontId="1" fillId="0" borderId="18" xfId="0" applyNumberFormat="1" applyFont="1" applyBorder="1" applyAlignment="1">
      <alignment horizontal="center"/>
    </xf>
    <xf numFmtId="1" fontId="1" fillId="0" borderId="18" xfId="0" applyNumberFormat="1" applyFont="1" applyBorder="1" applyAlignment="1">
      <alignment horizontal="center" vertical="top"/>
    </xf>
    <xf numFmtId="1" fontId="1" fillId="0" borderId="24" xfId="0" applyNumberFormat="1" applyFont="1" applyBorder="1" applyAlignment="1">
      <alignment horizontal="center"/>
    </xf>
    <xf numFmtId="165" fontId="2" fillId="9" borderId="20" xfId="0" applyNumberFormat="1" applyFont="1" applyFill="1" applyBorder="1" applyAlignment="1">
      <alignment horizontal="right"/>
    </xf>
    <xf numFmtId="165" fontId="2" fillId="9" borderId="19" xfId="0" applyNumberFormat="1" applyFont="1" applyFill="1" applyBorder="1" applyAlignment="1">
      <alignment horizontal="right"/>
    </xf>
    <xf numFmtId="165" fontId="1" fillId="9" borderId="19" xfId="0" applyNumberFormat="1" applyFont="1" applyFill="1" applyBorder="1" applyAlignment="1">
      <alignment horizontal="right"/>
    </xf>
    <xf numFmtId="3" fontId="1" fillId="9" borderId="19" xfId="0" applyNumberFormat="1" applyFont="1" applyFill="1" applyBorder="1" applyAlignment="1">
      <alignment horizontal="right"/>
    </xf>
    <xf numFmtId="3" fontId="1" fillId="9" borderId="22" xfId="0" applyNumberFormat="1" applyFont="1" applyFill="1" applyBorder="1" applyAlignment="1">
      <alignment horizontal="right"/>
    </xf>
    <xf numFmtId="2" fontId="1" fillId="0" borderId="0" xfId="0" applyNumberFormat="1" applyFont="1"/>
    <xf numFmtId="168" fontId="1" fillId="0" borderId="0" xfId="0" applyNumberFormat="1" applyFont="1" applyAlignment="1">
      <alignment horizontal="center"/>
    </xf>
    <xf numFmtId="17" fontId="12" fillId="3" borderId="32" xfId="0" applyNumberFormat="1" applyFont="1" applyFill="1" applyBorder="1" applyAlignment="1">
      <alignment horizontal="left" wrapText="1"/>
    </xf>
    <xf numFmtId="10" fontId="1" fillId="9" borderId="0" xfId="0" applyNumberFormat="1" applyFont="1" applyFill="1"/>
    <xf numFmtId="0" fontId="17" fillId="12" borderId="0" xfId="0" applyFont="1" applyFill="1" applyAlignment="1">
      <alignment horizontal="right" vertical="center"/>
    </xf>
    <xf numFmtId="168" fontId="1" fillId="0" borderId="0" xfId="0" applyNumberFormat="1" applyFont="1" applyAlignment="1">
      <alignment horizontal="left" indent="1"/>
    </xf>
    <xf numFmtId="168" fontId="1" fillId="0" borderId="16" xfId="0" applyNumberFormat="1" applyFont="1" applyBorder="1" applyAlignment="1">
      <alignment horizontal="center"/>
    </xf>
    <xf numFmtId="165" fontId="2" fillId="0" borderId="20" xfId="0" applyNumberFormat="1" applyFont="1" applyBorder="1" applyAlignment="1">
      <alignment horizontal="right"/>
    </xf>
    <xf numFmtId="165" fontId="2" fillId="0" borderId="17"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0" xfId="0" applyNumberFormat="1" applyFont="1" applyAlignment="1">
      <alignment horizontal="right"/>
    </xf>
    <xf numFmtId="3" fontId="1" fillId="0" borderId="22" xfId="0" applyNumberFormat="1" applyFont="1" applyBorder="1" applyAlignment="1">
      <alignment horizontal="right"/>
    </xf>
    <xf numFmtId="0" fontId="18" fillId="13" borderId="0" xfId="0" applyFont="1" applyFill="1"/>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0" fontId="19" fillId="7" borderId="0" xfId="0" applyFont="1" applyFill="1" applyAlignment="1">
      <alignment horizontal="center"/>
    </xf>
    <xf numFmtId="167" fontId="1" fillId="13" borderId="0" xfId="0" applyNumberFormat="1" applyFont="1" applyFill="1" applyAlignment="1">
      <alignment horizontal="center"/>
    </xf>
    <xf numFmtId="0" fontId="21"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4" fillId="7" borderId="33" xfId="0" applyFont="1" applyFill="1" applyBorder="1" applyAlignment="1">
      <alignment horizontal="center"/>
    </xf>
    <xf numFmtId="0" fontId="4" fillId="7" borderId="6" xfId="0" applyFont="1" applyFill="1" applyBorder="1" applyAlignment="1">
      <alignment horizontal="center"/>
    </xf>
    <xf numFmtId="0" fontId="4" fillId="13" borderId="2" xfId="0" applyFont="1" applyFill="1" applyBorder="1" applyAlignment="1">
      <alignment horizontal="center"/>
    </xf>
    <xf numFmtId="0" fontId="4" fillId="13" borderId="5" xfId="0" applyFont="1" applyFill="1" applyBorder="1" applyAlignment="1">
      <alignment horizontal="center"/>
    </xf>
    <xf numFmtId="0" fontId="4" fillId="13" borderId="6" xfId="0" applyFont="1" applyFill="1" applyBorder="1" applyAlignment="1">
      <alignment horizontal="center"/>
    </xf>
    <xf numFmtId="168" fontId="4" fillId="7" borderId="0" xfId="0" applyNumberFormat="1" applyFont="1" applyFill="1"/>
    <xf numFmtId="168" fontId="4" fillId="0" borderId="0" xfId="0" applyNumberFormat="1" applyFont="1"/>
    <xf numFmtId="0" fontId="1" fillId="0" borderId="4" xfId="0" applyFont="1" applyBorder="1"/>
    <xf numFmtId="0" fontId="1" fillId="0" borderId="8" xfId="0" applyFont="1" applyBorder="1"/>
    <xf numFmtId="165" fontId="4" fillId="0" borderId="0" xfId="0" applyNumberFormat="1" applyFont="1" applyAlignment="1">
      <alignment horizontal="center"/>
    </xf>
    <xf numFmtId="165" fontId="4" fillId="0" borderId="4" xfId="0" applyNumberFormat="1" applyFont="1" applyBorder="1" applyAlignment="1">
      <alignment horizontal="center"/>
    </xf>
    <xf numFmtId="165" fontId="22" fillId="0" borderId="0" xfId="0" applyNumberFormat="1" applyFont="1" applyAlignment="1">
      <alignment horizontal="center"/>
    </xf>
    <xf numFmtId="3" fontId="22"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14" borderId="0" xfId="0" applyNumberFormat="1" applyFont="1" applyFill="1" applyAlignment="1">
      <alignment horizontal="center"/>
    </xf>
    <xf numFmtId="168" fontId="4" fillId="14" borderId="0" xfId="0" applyNumberFormat="1" applyFont="1" applyFill="1"/>
    <xf numFmtId="0" fontId="4" fillId="0" borderId="0" xfId="0" applyFont="1" applyAlignment="1">
      <alignment horizontal="center"/>
    </xf>
    <xf numFmtId="0" fontId="4" fillId="13" borderId="0" xfId="0" applyFont="1" applyFill="1" applyAlignment="1">
      <alignment horizontal="center" wrapText="1"/>
    </xf>
    <xf numFmtId="165" fontId="4" fillId="7" borderId="0" xfId="0" applyNumberFormat="1" applyFont="1" applyFill="1" applyAlignment="1">
      <alignment horizontal="center"/>
    </xf>
    <xf numFmtId="165" fontId="22" fillId="7" borderId="0" xfId="0" applyNumberFormat="1" applyFont="1" applyFill="1" applyAlignment="1">
      <alignment horizontal="center"/>
    </xf>
    <xf numFmtId="0" fontId="12" fillId="7" borderId="0" xfId="0" applyFont="1" applyFill="1" applyAlignment="1">
      <alignment horizontal="center"/>
    </xf>
    <xf numFmtId="0" fontId="4" fillId="13" borderId="2" xfId="0" applyFont="1" applyFill="1" applyBorder="1"/>
    <xf numFmtId="0" fontId="4" fillId="0" borderId="0" xfId="0" applyFont="1"/>
    <xf numFmtId="168" fontId="4" fillId="10" borderId="0" xfId="0" applyNumberFormat="1" applyFont="1" applyFill="1"/>
    <xf numFmtId="2" fontId="1" fillId="3" borderId="2"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7"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22"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13" borderId="0" xfId="0" applyFont="1" applyFill="1"/>
    <xf numFmtId="165" fontId="22" fillId="0" borderId="1" xfId="0" applyNumberFormat="1" applyFont="1" applyBorder="1" applyAlignment="1">
      <alignment horizontal="center"/>
    </xf>
    <xf numFmtId="0" fontId="22"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3" xfId="0" applyNumberFormat="1" applyFont="1" applyFill="1" applyBorder="1" applyAlignment="1">
      <alignment horizontal="center"/>
    </xf>
    <xf numFmtId="0" fontId="22" fillId="0" borderId="1" xfId="0" applyFont="1" applyBorder="1" applyAlignment="1">
      <alignment horizontal="left" wrapText="1"/>
    </xf>
    <xf numFmtId="0" fontId="4" fillId="7" borderId="7"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13" borderId="8" xfId="0" applyFont="1" applyFill="1" applyBorder="1" applyAlignment="1">
      <alignment horizontal="center"/>
    </xf>
    <xf numFmtId="0" fontId="4" fillId="13" borderId="7" xfId="0" applyFont="1" applyFill="1" applyBorder="1" applyAlignment="1">
      <alignment horizontal="center"/>
    </xf>
    <xf numFmtId="0" fontId="4" fillId="13" borderId="3" xfId="0" applyFont="1" applyFill="1" applyBorder="1" applyAlignment="1">
      <alignment horizontal="center"/>
    </xf>
    <xf numFmtId="0" fontId="4" fillId="0" borderId="5" xfId="0" applyFont="1" applyBorder="1" applyAlignment="1">
      <alignment horizontal="center"/>
    </xf>
    <xf numFmtId="0" fontId="4" fillId="13" borderId="33" xfId="0" applyFont="1" applyFill="1" applyBorder="1"/>
    <xf numFmtId="0" fontId="4" fillId="7" borderId="33" xfId="0" applyFont="1" applyFill="1" applyBorder="1"/>
    <xf numFmtId="0" fontId="12" fillId="0" borderId="1" xfId="0" applyFont="1" applyBorder="1"/>
    <xf numFmtId="0" fontId="4" fillId="7" borderId="5" xfId="0" applyFont="1" applyFill="1" applyBorder="1" applyAlignment="1">
      <alignment horizontal="center"/>
    </xf>
    <xf numFmtId="0" fontId="4" fillId="13" borderId="33" xfId="0" applyFont="1" applyFill="1" applyBorder="1" applyAlignment="1">
      <alignment horizontal="center"/>
    </xf>
    <xf numFmtId="3" fontId="4" fillId="13" borderId="0" xfId="0" applyNumberFormat="1" applyFont="1" applyFill="1" applyAlignment="1">
      <alignment horizontal="center"/>
    </xf>
    <xf numFmtId="3" fontId="22" fillId="13" borderId="0" xfId="0" applyNumberFormat="1" applyFont="1" applyFill="1" applyAlignment="1">
      <alignment horizontal="center"/>
    </xf>
    <xf numFmtId="165" fontId="4" fillId="7" borderId="6" xfId="0" applyNumberFormat="1" applyFont="1" applyFill="1" applyBorder="1" applyAlignment="1">
      <alignment horizontal="center"/>
    </xf>
    <xf numFmtId="0" fontId="4" fillId="13" borderId="6" xfId="0" applyFont="1" applyFill="1" applyBorder="1"/>
    <xf numFmtId="0" fontId="4" fillId="3" borderId="0" xfId="0" applyFont="1" applyFill="1"/>
    <xf numFmtId="0" fontId="4" fillId="3" borderId="0" xfId="0" applyFont="1" applyFill="1" applyAlignment="1">
      <alignment horizontal="center"/>
    </xf>
    <xf numFmtId="165" fontId="22" fillId="7" borderId="4" xfId="0" applyNumberFormat="1" applyFont="1" applyFill="1" applyBorder="1" applyAlignment="1">
      <alignment horizontal="center"/>
    </xf>
    <xf numFmtId="3" fontId="22" fillId="13" borderId="4" xfId="0" applyNumberFormat="1" applyFont="1" applyFill="1" applyBorder="1" applyAlignment="1">
      <alignment horizontal="center"/>
    </xf>
    <xf numFmtId="0" fontId="4" fillId="13"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13"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5" xfId="0" applyNumberFormat="1" applyFont="1" applyFill="1" applyBorder="1"/>
    <xf numFmtId="168" fontId="4" fillId="7" borderId="37" xfId="0" applyNumberFormat="1" applyFont="1" applyFill="1" applyBorder="1"/>
    <xf numFmtId="3" fontId="4" fillId="0" borderId="3"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 fillId="0" borderId="7" xfId="0" applyFont="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22" fillId="0" borderId="33" xfId="0" applyNumberFormat="1" applyFont="1" applyBorder="1" applyAlignment="1">
      <alignment horizontal="center"/>
    </xf>
    <xf numFmtId="2" fontId="4" fillId="0" borderId="3" xfId="0" applyNumberFormat="1" applyFont="1" applyBorder="1"/>
    <xf numFmtId="165" fontId="4" fillId="14" borderId="0" xfId="0" applyNumberFormat="1" applyFont="1" applyFill="1" applyAlignment="1">
      <alignment horizontal="center" wrapText="1"/>
    </xf>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5" borderId="0" xfId="0" applyNumberFormat="1" applyFont="1" applyFill="1" applyAlignment="1">
      <alignment horizontal="center" wrapText="1"/>
    </xf>
    <xf numFmtId="165" fontId="4" fillId="15" borderId="0" xfId="0" applyNumberFormat="1" applyFont="1" applyFill="1" applyAlignment="1">
      <alignment horizontal="center" vertical="top" wrapText="1"/>
    </xf>
    <xf numFmtId="1" fontId="4" fillId="13" borderId="0" xfId="0" applyNumberFormat="1" applyFont="1" applyFill="1" applyAlignment="1">
      <alignment horizontal="center" wrapText="1"/>
    </xf>
    <xf numFmtId="1" fontId="4" fillId="13" borderId="0" xfId="0" applyNumberFormat="1" applyFont="1" applyFill="1" applyAlignment="1">
      <alignment horizontal="center"/>
    </xf>
    <xf numFmtId="3" fontId="4" fillId="10" borderId="0" xfId="0" applyNumberFormat="1" applyFont="1" applyFill="1" applyAlignment="1">
      <alignment horizontal="center"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13" borderId="2" xfId="0" applyFont="1" applyFill="1" applyBorder="1" applyAlignment="1">
      <alignment wrapText="1"/>
    </xf>
    <xf numFmtId="0" fontId="4" fillId="13" borderId="33" xfId="0" applyFont="1" applyFill="1" applyBorder="1" applyAlignment="1">
      <alignment wrapText="1"/>
    </xf>
    <xf numFmtId="0" fontId="4" fillId="7" borderId="33" xfId="0" applyFont="1" applyFill="1" applyBorder="1" applyAlignment="1">
      <alignment wrapText="1"/>
    </xf>
    <xf numFmtId="0" fontId="4" fillId="7" borderId="6" xfId="0" applyFont="1" applyFill="1" applyBorder="1" applyAlignment="1">
      <alignment wrapText="1"/>
    </xf>
    <xf numFmtId="165" fontId="22"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3"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32" xfId="0" applyFont="1" applyFill="1" applyBorder="1" applyAlignment="1">
      <alignment horizontal="center" vertical="center" wrapText="1"/>
    </xf>
    <xf numFmtId="0" fontId="12" fillId="8" borderId="0" xfId="0" applyFont="1" applyFill="1" applyAlignment="1">
      <alignment horizontal="center" vertical="center" wrapText="1"/>
    </xf>
    <xf numFmtId="165" fontId="4" fillId="10"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13"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7" borderId="3" xfId="0" applyNumberFormat="1" applyFont="1" applyFill="1" applyBorder="1"/>
    <xf numFmtId="165" fontId="22" fillId="7" borderId="33"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3"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3" xfId="0" applyNumberFormat="1" applyFont="1" applyBorder="1" applyAlignment="1">
      <alignment horizontal="center"/>
    </xf>
    <xf numFmtId="1" fontId="4" fillId="13" borderId="33" xfId="0" applyNumberFormat="1" applyFont="1" applyFill="1" applyBorder="1" applyAlignment="1">
      <alignment horizontal="center"/>
    </xf>
    <xf numFmtId="0" fontId="22" fillId="0" borderId="0" xfId="0" applyFont="1" applyAlignment="1">
      <alignment horizontal="left"/>
    </xf>
    <xf numFmtId="0" fontId="22" fillId="0" borderId="2" xfId="0" applyFont="1" applyBorder="1" applyAlignment="1">
      <alignment horizontal="left"/>
    </xf>
    <xf numFmtId="0" fontId="22" fillId="0" borderId="33"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6"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23"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4" fillId="0" borderId="0" xfId="0" applyFont="1"/>
    <xf numFmtId="165" fontId="4" fillId="7"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3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5"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22"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65" fontId="4" fillId="0" borderId="33" xfId="0" applyNumberFormat="1" applyFont="1" applyBorder="1" applyAlignment="1">
      <alignment horizontal="center"/>
    </xf>
    <xf numFmtId="3" fontId="4" fillId="0" borderId="0" xfId="0" applyNumberFormat="1" applyFont="1" applyAlignment="1">
      <alignment vertical="top"/>
    </xf>
    <xf numFmtId="1" fontId="4" fillId="0" borderId="0" xfId="0" applyNumberFormat="1" applyFont="1" applyAlignment="1">
      <alignment horizontal="center"/>
    </xf>
    <xf numFmtId="168" fontId="4" fillId="6" borderId="0" xfId="0" applyNumberFormat="1" applyFont="1" applyFill="1"/>
    <xf numFmtId="1" fontId="4" fillId="6" borderId="0" xfId="0" applyNumberFormat="1" applyFont="1" applyFill="1"/>
    <xf numFmtId="0" fontId="4" fillId="13" borderId="2" xfId="0" applyFont="1" applyFill="1" applyBorder="1" applyAlignment="1">
      <alignment horizontal="center" vertical="center"/>
    </xf>
    <xf numFmtId="1" fontId="4" fillId="7" borderId="0" xfId="0" applyNumberFormat="1" applyFont="1" applyFill="1"/>
    <xf numFmtId="1" fontId="4" fillId="0" borderId="0" xfId="0" applyNumberFormat="1" applyFont="1"/>
    <xf numFmtId="165" fontId="4" fillId="13" borderId="0" xfId="0" applyNumberFormat="1" applyFont="1" applyFill="1" applyAlignment="1">
      <alignment horizontal="center"/>
    </xf>
    <xf numFmtId="0" fontId="4" fillId="0" borderId="5" xfId="0" applyFont="1" applyBorder="1"/>
    <xf numFmtId="17" fontId="12" fillId="3" borderId="39" xfId="0" applyNumberFormat="1" applyFont="1" applyFill="1" applyBorder="1" applyAlignment="1">
      <alignment horizontal="left" wrapText="1"/>
    </xf>
    <xf numFmtId="0" fontId="12" fillId="3" borderId="2"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6" xfId="0" applyFont="1" applyBorder="1"/>
    <xf numFmtId="0" fontId="1" fillId="0" borderId="5" xfId="0" applyFont="1" applyBorder="1"/>
    <xf numFmtId="3" fontId="4" fillId="0" borderId="5" xfId="0" applyNumberFormat="1" applyFont="1" applyBorder="1" applyAlignment="1">
      <alignment horizontal="center"/>
    </xf>
    <xf numFmtId="0" fontId="7" fillId="0" borderId="0" xfId="0" applyFont="1" applyAlignment="1">
      <alignment horizontal="right" vertical="center" wrapText="1"/>
    </xf>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68" fontId="4" fillId="0" borderId="0" xfId="0" applyNumberFormat="1" applyFont="1" applyAlignment="1">
      <alignment horizontal="center" vertical="center"/>
    </xf>
    <xf numFmtId="1"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2" fillId="7" borderId="0" xfId="0" applyNumberFormat="1" applyFont="1" applyFill="1" applyAlignment="1">
      <alignment horizontal="center" vertical="center"/>
    </xf>
    <xf numFmtId="165" fontId="4" fillId="10" borderId="0" xfId="0" applyNumberFormat="1" applyFont="1" applyFill="1" applyAlignment="1">
      <alignment horizontal="center"/>
    </xf>
    <xf numFmtId="0" fontId="4" fillId="13" borderId="0" xfId="0" applyFont="1" applyFill="1" applyAlignment="1">
      <alignment horizontal="center" vertical="center"/>
    </xf>
    <xf numFmtId="3" fontId="22" fillId="7" borderId="0" xfId="0" applyNumberFormat="1" applyFont="1" applyFill="1" applyAlignment="1">
      <alignment horizontal="center"/>
    </xf>
    <xf numFmtId="0" fontId="4" fillId="0" borderId="1" xfId="0" applyFont="1" applyBorder="1" applyAlignment="1">
      <alignment horizontal="left"/>
    </xf>
    <xf numFmtId="3" fontId="4" fillId="0" borderId="33"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3" borderId="0" xfId="0" applyNumberFormat="1" applyFont="1" applyFill="1" applyAlignment="1">
      <alignment horizontal="center" vertical="center"/>
    </xf>
    <xf numFmtId="0" fontId="25" fillId="0" borderId="2"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0" fontId="4" fillId="0" borderId="0" xfId="0" applyFont="1" applyAlignment="1">
      <alignment horizontal="left"/>
    </xf>
    <xf numFmtId="3" fontId="4" fillId="13" borderId="33" xfId="0" applyNumberFormat="1" applyFont="1" applyFill="1" applyBorder="1" applyAlignment="1">
      <alignment horizontal="center"/>
    </xf>
    <xf numFmtId="0" fontId="25" fillId="0" borderId="1" xfId="0" applyFont="1" applyBorder="1" applyAlignment="1">
      <alignment horizontal="center" vertical="center" wrapText="1"/>
    </xf>
    <xf numFmtId="0" fontId="4" fillId="13" borderId="1" xfId="0" applyFont="1" applyFill="1" applyBorder="1" applyAlignment="1">
      <alignment horizontal="center" vertical="center"/>
    </xf>
    <xf numFmtId="0" fontId="4" fillId="13"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7"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3" xfId="0" applyNumberFormat="1" applyFont="1" applyBorder="1" applyAlignment="1">
      <alignment horizontal="center"/>
    </xf>
    <xf numFmtId="165" fontId="4" fillId="0" borderId="0" xfId="0" applyNumberFormat="1" applyFont="1"/>
    <xf numFmtId="0" fontId="4" fillId="0" borderId="2" xfId="0" applyFont="1" applyBorder="1" applyAlignment="1">
      <alignment wrapText="1"/>
    </xf>
    <xf numFmtId="0" fontId="4" fillId="0" borderId="7" xfId="0" applyFont="1" applyBorder="1" applyAlignment="1">
      <alignment vertical="top" wrapText="1"/>
    </xf>
    <xf numFmtId="0" fontId="22" fillId="0" borderId="1" xfId="0" applyFont="1" applyBorder="1" applyAlignment="1">
      <alignment horizontal="left" vertical="top" wrapText="1"/>
    </xf>
    <xf numFmtId="0" fontId="25" fillId="0" borderId="1" xfId="0" applyFont="1" applyBorder="1" applyAlignment="1">
      <alignment wrapText="1"/>
    </xf>
    <xf numFmtId="10" fontId="1" fillId="0" borderId="0" xfId="0" applyNumberFormat="1" applyFont="1"/>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3" xfId="0" applyNumberFormat="1" applyFont="1" applyBorder="1" applyAlignment="1">
      <alignment horizontal="center" wrapText="1"/>
    </xf>
    <xf numFmtId="0" fontId="3" fillId="0" borderId="0" xfId="0" applyFont="1"/>
    <xf numFmtId="0" fontId="1" fillId="0" borderId="33" xfId="0" applyFont="1" applyBorder="1"/>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14" borderId="0" xfId="0" applyFont="1" applyFill="1"/>
    <xf numFmtId="0" fontId="4" fillId="7" borderId="2" xfId="0" applyFont="1" applyFill="1" applyBorder="1"/>
    <xf numFmtId="0" fontId="1" fillId="7" borderId="33" xfId="0" applyFont="1" applyFill="1" applyBorder="1"/>
    <xf numFmtId="0" fontId="1" fillId="7" borderId="0" xfId="0" applyFont="1" applyFill="1"/>
    <xf numFmtId="3" fontId="22" fillId="7" borderId="0" xfId="0" applyNumberFormat="1" applyFont="1" applyFill="1" applyAlignment="1">
      <alignment horizontal="center" wrapText="1"/>
    </xf>
    <xf numFmtId="3" fontId="4" fillId="0" borderId="33" xfId="0" applyNumberFormat="1" applyFont="1" applyBorder="1" applyAlignment="1">
      <alignment horizontal="center" wrapText="1"/>
    </xf>
    <xf numFmtId="3" fontId="22" fillId="0" borderId="0" xfId="0" applyNumberFormat="1" applyFont="1" applyAlignment="1">
      <alignment horizontal="center" wrapText="1"/>
    </xf>
    <xf numFmtId="1" fontId="22" fillId="0" borderId="3" xfId="0" applyNumberFormat="1" applyFont="1" applyBorder="1" applyAlignment="1">
      <alignment horizontal="center"/>
    </xf>
    <xf numFmtId="3" fontId="4" fillId="7" borderId="33"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0" borderId="0" xfId="0" applyNumberFormat="1" applyFont="1" applyFill="1"/>
    <xf numFmtId="3" fontId="22" fillId="10" borderId="0" xfId="0" applyNumberFormat="1" applyFont="1" applyFill="1" applyAlignment="1">
      <alignment horizontal="center"/>
    </xf>
    <xf numFmtId="0" fontId="22" fillId="0" borderId="0" xfId="0" applyFont="1" applyAlignment="1">
      <alignment horizontal="center" wrapText="1"/>
    </xf>
    <xf numFmtId="0" fontId="26" fillId="0" borderId="1" xfId="0" applyFont="1" applyBorder="1" applyAlignment="1">
      <alignment horizontal="left" indent="2"/>
    </xf>
    <xf numFmtId="0" fontId="4" fillId="0" borderId="3" xfId="0" applyFont="1" applyBorder="1" applyAlignment="1">
      <alignment horizontal="center" wrapText="1"/>
    </xf>
    <xf numFmtId="3" fontId="12" fillId="7"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22" fillId="0" borderId="0" xfId="0" applyFont="1" applyAlignment="1">
      <alignment wrapText="1"/>
    </xf>
    <xf numFmtId="170" fontId="22" fillId="0" borderId="0" xfId="0" applyNumberFormat="1" applyFont="1" applyAlignment="1">
      <alignment wrapText="1"/>
    </xf>
    <xf numFmtId="0" fontId="12" fillId="0" borderId="33" xfId="0" applyFont="1" applyBorder="1" applyAlignment="1">
      <alignment horizontal="center" vertical="top" wrapText="1"/>
    </xf>
    <xf numFmtId="170" fontId="4" fillId="0" borderId="3" xfId="0" applyNumberFormat="1" applyFont="1" applyBorder="1" applyAlignment="1">
      <alignment horizontal="center" wrapText="1"/>
    </xf>
    <xf numFmtId="1" fontId="12" fillId="0" borderId="0" xfId="0" applyNumberFormat="1" applyFont="1" applyAlignment="1">
      <alignment horizontal="center" wrapText="1"/>
    </xf>
    <xf numFmtId="0" fontId="27" fillId="0" borderId="0" xfId="0" applyFont="1"/>
    <xf numFmtId="1" fontId="4" fillId="0" borderId="33" xfId="0" applyNumberFormat="1" applyFont="1" applyBorder="1" applyAlignment="1">
      <alignment horizontal="center" wrapText="1"/>
    </xf>
    <xf numFmtId="1" fontId="4" fillId="13" borderId="33" xfId="0" applyNumberFormat="1" applyFont="1" applyFill="1" applyBorder="1" applyAlignment="1">
      <alignment horizontal="center" wrapText="1"/>
    </xf>
    <xf numFmtId="0" fontId="22" fillId="0" borderId="7" xfId="0" applyFont="1" applyBorder="1"/>
    <xf numFmtId="0" fontId="22" fillId="0" borderId="3" xfId="0" applyFont="1" applyBorder="1"/>
    <xf numFmtId="1" fontId="22" fillId="0" borderId="0" xfId="0" applyNumberFormat="1" applyFont="1" applyAlignment="1">
      <alignment horizontal="center"/>
    </xf>
    <xf numFmtId="1" fontId="22" fillId="7" borderId="3" xfId="0" applyNumberFormat="1" applyFont="1" applyFill="1" applyBorder="1" applyAlignment="1">
      <alignment horizontal="center"/>
    </xf>
    <xf numFmtId="0" fontId="26" fillId="0" borderId="1" xfId="0" applyFont="1" applyBorder="1" applyAlignment="1">
      <alignment horizontal="left" indent="5"/>
    </xf>
    <xf numFmtId="0" fontId="4" fillId="0" borderId="1" xfId="0" applyFont="1" applyBorder="1" applyAlignment="1">
      <alignment horizontal="left" vertical="top" wrapText="1" indent="5"/>
    </xf>
    <xf numFmtId="3" fontId="4" fillId="7" borderId="5" xfId="0" applyNumberFormat="1" applyFont="1" applyFill="1" applyBorder="1" applyAlignment="1">
      <alignment horizontal="center" wrapText="1"/>
    </xf>
    <xf numFmtId="168" fontId="4" fillId="13"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xf numFmtId="168" fontId="22" fillId="0" borderId="0" xfId="0" applyNumberFormat="1" applyFont="1" applyAlignment="1">
      <alignment horizontal="center"/>
    </xf>
    <xf numFmtId="168" fontId="22" fillId="16" borderId="33"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7" borderId="5" xfId="0" applyFont="1" applyFill="1" applyBorder="1"/>
    <xf numFmtId="168" fontId="22" fillId="7" borderId="0" xfId="0" applyNumberFormat="1" applyFont="1" applyFill="1" applyAlignment="1">
      <alignment horizontal="center"/>
    </xf>
    <xf numFmtId="168" fontId="4" fillId="13" borderId="0" xfId="0" applyNumberFormat="1" applyFont="1" applyFill="1" applyAlignment="1">
      <alignment horizontal="center"/>
    </xf>
    <xf numFmtId="169" fontId="4" fillId="0" borderId="0" xfId="0" applyNumberFormat="1" applyFont="1" applyAlignment="1">
      <alignment horizontal="center"/>
    </xf>
    <xf numFmtId="0" fontId="4" fillId="13" borderId="5" xfId="0" applyFont="1" applyFill="1" applyBorder="1"/>
    <xf numFmtId="3" fontId="4" fillId="13" borderId="3" xfId="0" applyNumberFormat="1" applyFont="1" applyFill="1" applyBorder="1" applyAlignment="1">
      <alignment horizontal="center"/>
    </xf>
    <xf numFmtId="168" fontId="22" fillId="7" borderId="33" xfId="0" applyNumberFormat="1" applyFont="1" applyFill="1" applyBorder="1" applyAlignment="1">
      <alignment horizontal="center"/>
    </xf>
    <xf numFmtId="168" fontId="4" fillId="13" borderId="5" xfId="0" applyNumberFormat="1" applyFont="1" applyFill="1" applyBorder="1" applyAlignment="1">
      <alignment horizontal="center"/>
    </xf>
    <xf numFmtId="168" fontId="22" fillId="13"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12" fillId="8" borderId="2" xfId="0" applyFont="1" applyFill="1" applyBorder="1"/>
    <xf numFmtId="168" fontId="22" fillId="16" borderId="5" xfId="0" applyNumberFormat="1" applyFont="1" applyFill="1" applyBorder="1" applyAlignment="1">
      <alignment horizontal="center"/>
    </xf>
    <xf numFmtId="0" fontId="1" fillId="16"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3" xfId="0" applyNumberFormat="1" applyFont="1" applyBorder="1" applyAlignment="1">
      <alignment horizontal="center"/>
    </xf>
    <xf numFmtId="168" fontId="4" fillId="13" borderId="33" xfId="0" applyNumberFormat="1" applyFont="1" applyFill="1" applyBorder="1" applyAlignment="1">
      <alignment horizontal="center"/>
    </xf>
    <xf numFmtId="169" fontId="4" fillId="13" borderId="3" xfId="0" applyNumberFormat="1" applyFont="1" applyFill="1" applyBorder="1" applyAlignment="1">
      <alignment horizontal="center"/>
    </xf>
    <xf numFmtId="168" fontId="22" fillId="0" borderId="2" xfId="0" applyNumberFormat="1" applyFont="1" applyBorder="1" applyAlignment="1">
      <alignment horizontal="center"/>
    </xf>
    <xf numFmtId="168" fontId="22" fillId="0" borderId="33" xfId="0" applyNumberFormat="1" applyFont="1" applyBorder="1" applyAlignment="1">
      <alignment horizontal="center"/>
    </xf>
    <xf numFmtId="168" fontId="22" fillId="13"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22"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32" xfId="0" applyFont="1" applyFill="1" applyBorder="1"/>
    <xf numFmtId="0" fontId="12" fillId="3" borderId="34" xfId="0" applyFont="1" applyFill="1" applyBorder="1" applyAlignment="1">
      <alignment horizontal="center"/>
    </xf>
    <xf numFmtId="0" fontId="12" fillId="3" borderId="32" xfId="0" applyFont="1" applyFill="1" applyBorder="1" applyAlignment="1">
      <alignment horizontal="center"/>
    </xf>
    <xf numFmtId="168" fontId="4" fillId="7" borderId="3" xfId="0" applyNumberFormat="1" applyFont="1" applyFill="1" applyBorder="1" applyAlignment="1">
      <alignment horizontal="center"/>
    </xf>
    <xf numFmtId="168" fontId="22" fillId="7" borderId="5" xfId="0" applyNumberFormat="1" applyFont="1" applyFill="1" applyBorder="1" applyAlignment="1">
      <alignment horizontal="center"/>
    </xf>
    <xf numFmtId="0" fontId="22" fillId="0" borderId="2" xfId="0" applyFont="1" applyBorder="1"/>
    <xf numFmtId="0" fontId="22" fillId="0" borderId="5" xfId="0" applyFont="1" applyBorder="1"/>
    <xf numFmtId="168" fontId="22"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29"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3" xfId="0" applyNumberFormat="1" applyFont="1" applyFill="1" applyBorder="1" applyAlignment="1">
      <alignment horizontal="center"/>
    </xf>
    <xf numFmtId="168" fontId="18" fillId="0" borderId="0" xfId="0" applyNumberFormat="1" applyFont="1"/>
    <xf numFmtId="168" fontId="1" fillId="0" borderId="4" xfId="0" applyNumberFormat="1" applyFont="1" applyBorder="1"/>
    <xf numFmtId="168" fontId="22" fillId="13" borderId="0" xfId="0" applyNumberFormat="1" applyFont="1" applyFill="1" applyAlignment="1">
      <alignment horizontal="center"/>
    </xf>
    <xf numFmtId="3" fontId="4" fillId="0" borderId="40" xfId="0" applyNumberFormat="1" applyFont="1" applyBorder="1" applyAlignment="1">
      <alignment horizontal="right"/>
    </xf>
    <xf numFmtId="0" fontId="22" fillId="0" borderId="1" xfId="0" applyFont="1" applyBorder="1" applyAlignment="1">
      <alignment horizontal="left"/>
    </xf>
    <xf numFmtId="169" fontId="4" fillId="0" borderId="0" xfId="0" applyNumberFormat="1" applyFont="1"/>
    <xf numFmtId="168" fontId="4" fillId="17" borderId="0" xfId="0" applyNumberFormat="1" applyFont="1" applyFill="1" applyAlignment="1">
      <alignment horizontal="center" wrapText="1"/>
    </xf>
    <xf numFmtId="169" fontId="4" fillId="16"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8" borderId="0" xfId="0" applyNumberFormat="1" applyFont="1" applyFill="1" applyAlignment="1">
      <alignment horizontal="center"/>
    </xf>
    <xf numFmtId="168" fontId="4" fillId="18" borderId="0" xfId="0" applyNumberFormat="1" applyFont="1" applyFill="1" applyAlignment="1">
      <alignment horizontal="center" wrapText="1"/>
    </xf>
    <xf numFmtId="169" fontId="4" fillId="9" borderId="3" xfId="0" applyNumberFormat="1" applyFont="1" applyFill="1" applyBorder="1" applyAlignment="1">
      <alignment horizontal="center"/>
    </xf>
    <xf numFmtId="0" fontId="1" fillId="18"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31" fillId="0" borderId="0" xfId="0" applyNumberFormat="1" applyFont="1"/>
    <xf numFmtId="0" fontId="4" fillId="0" borderId="4" xfId="0" applyFont="1" applyBorder="1"/>
    <xf numFmtId="173" fontId="4" fillId="0" borderId="0" xfId="0" applyNumberFormat="1" applyFont="1"/>
    <xf numFmtId="0" fontId="4" fillId="11" borderId="2" xfId="0" applyFont="1" applyFill="1" applyBorder="1"/>
    <xf numFmtId="0" fontId="4" fillId="11" borderId="5" xfId="0" applyFont="1" applyFill="1" applyBorder="1"/>
    <xf numFmtId="0" fontId="4" fillId="11" borderId="6" xfId="0" applyFont="1" applyFill="1" applyBorder="1"/>
    <xf numFmtId="0" fontId="4" fillId="18" borderId="1" xfId="0" applyFont="1" applyFill="1" applyBorder="1" applyAlignment="1">
      <alignment horizontal="left" vertical="top" wrapText="1" indent="3"/>
    </xf>
    <xf numFmtId="168" fontId="4" fillId="18"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16" fillId="0" borderId="0" xfId="0" applyFont="1"/>
    <xf numFmtId="0" fontId="1" fillId="0" borderId="0" xfId="0" applyFont="1" applyAlignment="1">
      <alignment horizontal="center"/>
    </xf>
    <xf numFmtId="0" fontId="22"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8" borderId="33" xfId="0" applyNumberFormat="1" applyFont="1" applyFill="1" applyBorder="1" applyAlignment="1">
      <alignment horizontal="center"/>
    </xf>
    <xf numFmtId="0" fontId="1" fillId="18" borderId="0" xfId="0" applyFont="1" applyFill="1" applyAlignment="1">
      <alignment horizontal="center"/>
    </xf>
    <xf numFmtId="10" fontId="1" fillId="18" borderId="0" xfId="0" applyNumberFormat="1" applyFont="1" applyFill="1" applyAlignment="1">
      <alignment horizontal="center"/>
    </xf>
    <xf numFmtId="10" fontId="4" fillId="18" borderId="5" xfId="0" applyNumberFormat="1" applyFont="1" applyFill="1" applyBorder="1"/>
    <xf numFmtId="10" fontId="4" fillId="18" borderId="2" xfId="0" applyNumberFormat="1" applyFont="1" applyFill="1" applyBorder="1"/>
    <xf numFmtId="10" fontId="4" fillId="18" borderId="5" xfId="0" applyNumberFormat="1" applyFont="1" applyFill="1" applyBorder="1" applyAlignment="1">
      <alignment horizontal="center"/>
    </xf>
    <xf numFmtId="10" fontId="1" fillId="18" borderId="5" xfId="0" applyNumberFormat="1" applyFont="1" applyFill="1" applyBorder="1" applyAlignment="1">
      <alignment horizontal="center"/>
    </xf>
    <xf numFmtId="0" fontId="22" fillId="18" borderId="0" xfId="0" applyFont="1" applyFill="1"/>
    <xf numFmtId="0" fontId="22" fillId="18" borderId="1" xfId="0" applyFont="1" applyFill="1" applyBorder="1"/>
    <xf numFmtId="0" fontId="22" fillId="18" borderId="0" xfId="0" applyFont="1" applyFill="1" applyAlignment="1">
      <alignment horizontal="center"/>
    </xf>
    <xf numFmtId="0" fontId="22" fillId="18" borderId="3" xfId="0" applyFont="1" applyFill="1" applyBorder="1"/>
    <xf numFmtId="0" fontId="22" fillId="18" borderId="7" xfId="0" applyFont="1" applyFill="1" applyBorder="1"/>
    <xf numFmtId="0" fontId="22" fillId="18" borderId="3" xfId="0" applyFont="1" applyFill="1" applyBorder="1" applyAlignment="1">
      <alignment horizontal="center"/>
    </xf>
    <xf numFmtId="0" fontId="1" fillId="18" borderId="3" xfId="0" applyFont="1" applyFill="1" applyBorder="1" applyAlignment="1">
      <alignment horizontal="center"/>
    </xf>
    <xf numFmtId="1" fontId="1" fillId="18" borderId="3" xfId="0" applyNumberFormat="1" applyFont="1" applyFill="1" applyBorder="1" applyAlignment="1">
      <alignment horizontal="center"/>
    </xf>
    <xf numFmtId="0" fontId="1" fillId="0" borderId="3" xfId="0" applyFont="1" applyBorder="1" applyAlignment="1">
      <alignment horizontal="center"/>
    </xf>
    <xf numFmtId="0" fontId="22"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4" fillId="0" borderId="3" xfId="0" applyFont="1" applyBorder="1" applyAlignment="1">
      <alignment horizontal="left" vertical="top" wrapText="1"/>
    </xf>
    <xf numFmtId="0" fontId="4" fillId="0" borderId="38" xfId="0" applyFont="1" applyBorder="1"/>
    <xf numFmtId="0" fontId="12" fillId="0" borderId="7"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4" fillId="0" borderId="17" xfId="0" applyNumberFormat="1" applyFont="1" applyBorder="1"/>
    <xf numFmtId="1" fontId="4" fillId="0" borderId="15" xfId="0" applyNumberFormat="1" applyFont="1" applyBorder="1"/>
    <xf numFmtId="167" fontId="4" fillId="0" borderId="15" xfId="0" applyNumberFormat="1" applyFont="1" applyBorder="1"/>
    <xf numFmtId="0" fontId="32" fillId="0" borderId="1" xfId="0" applyFont="1" applyBorder="1" applyAlignment="1">
      <alignment horizontal="left" wrapText="1" indent="1"/>
    </xf>
    <xf numFmtId="0" fontId="32" fillId="0" borderId="1" xfId="0" applyFont="1" applyBorder="1" applyAlignment="1">
      <alignment horizontal="left" indent="1"/>
    </xf>
    <xf numFmtId="0" fontId="4" fillId="0" borderId="1" xfId="0" applyFont="1" applyBorder="1" applyAlignment="1">
      <alignment horizontal="left" indent="2"/>
    </xf>
    <xf numFmtId="0" fontId="33" fillId="0" borderId="1" xfId="0" applyFont="1" applyBorder="1" applyAlignment="1">
      <alignment horizontal="left" indent="1"/>
    </xf>
    <xf numFmtId="0" fontId="4" fillId="19" borderId="1" xfId="0" applyFont="1" applyFill="1" applyBorder="1" applyAlignment="1">
      <alignment horizontal="left"/>
    </xf>
    <xf numFmtId="0" fontId="4" fillId="19" borderId="2" xfId="0" applyFont="1" applyFill="1" applyBorder="1"/>
    <xf numFmtId="168" fontId="4" fillId="7" borderId="0" xfId="0" applyNumberFormat="1" applyFont="1" applyFill="1" applyAlignment="1">
      <alignment horizontal="center"/>
    </xf>
    <xf numFmtId="0" fontId="4" fillId="14" borderId="0" xfId="0" applyFont="1" applyFill="1" applyAlignment="1">
      <alignment horizontal="left" wrapText="1" indent="1"/>
    </xf>
    <xf numFmtId="168" fontId="12" fillId="7" borderId="0" xfId="0" applyNumberFormat="1" applyFont="1" applyFill="1" applyAlignment="1">
      <alignment horizontal="center"/>
    </xf>
    <xf numFmtId="0" fontId="4" fillId="7" borderId="0" xfId="0" applyFont="1" applyFill="1"/>
    <xf numFmtId="0" fontId="4" fillId="0" borderId="0" xfId="0" applyFont="1" applyAlignment="1">
      <alignment horizontal="left" wrapText="1" indent="1"/>
    </xf>
    <xf numFmtId="1" fontId="4" fillId="13" borderId="0" xfId="0" applyNumberFormat="1" applyFont="1" applyFill="1"/>
    <xf numFmtId="1" fontId="4" fillId="3" borderId="0" xfId="0" applyNumberFormat="1" applyFont="1" applyFill="1"/>
    <xf numFmtId="167" fontId="4" fillId="13" borderId="15" xfId="0" applyNumberFormat="1" applyFont="1" applyFill="1" applyBorder="1"/>
    <xf numFmtId="167" fontId="4" fillId="0" borderId="0" xfId="0" applyNumberFormat="1" applyFont="1"/>
    <xf numFmtId="168" fontId="4" fillId="7" borderId="33" xfId="0" applyNumberFormat="1" applyFont="1" applyFill="1" applyBorder="1" applyAlignment="1">
      <alignment horizontal="center"/>
    </xf>
    <xf numFmtId="1" fontId="4" fillId="13"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2" fillId="7" borderId="4" xfId="0" applyNumberFormat="1" applyFont="1" applyFill="1" applyBorder="1" applyAlignment="1">
      <alignment horizontal="center"/>
    </xf>
    <xf numFmtId="0" fontId="12" fillId="13" borderId="2" xfId="0" applyFont="1" applyFill="1" applyBorder="1" applyAlignment="1">
      <alignment horizontal="centerContinuous" vertical="center"/>
    </xf>
    <xf numFmtId="0" fontId="12" fillId="13" borderId="6"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22" fillId="0" borderId="3" xfId="0" applyNumberFormat="1" applyFont="1" applyBorder="1" applyAlignment="1">
      <alignment horizontal="center"/>
    </xf>
    <xf numFmtId="1" fontId="4" fillId="7" borderId="5" xfId="0" applyNumberFormat="1" applyFont="1" applyFill="1" applyBorder="1"/>
    <xf numFmtId="0" fontId="4" fillId="0" borderId="20" xfId="0" applyFont="1" applyBorder="1"/>
    <xf numFmtId="0" fontId="4" fillId="0" borderId="17" xfId="0" applyFont="1" applyBorder="1"/>
    <xf numFmtId="1" fontId="4" fillId="7" borderId="17"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2" xfId="0" applyFont="1" applyBorder="1" applyAlignment="1">
      <alignment horizontal="left" wrapText="1" indent="2"/>
    </xf>
    <xf numFmtId="0" fontId="4" fillId="0" borderId="15" xfId="0" applyFont="1" applyBorder="1"/>
    <xf numFmtId="1" fontId="4" fillId="0" borderId="41" xfId="0" applyNumberFormat="1" applyFont="1" applyBorder="1"/>
    <xf numFmtId="1" fontId="4" fillId="3" borderId="17" xfId="0" applyNumberFormat="1" applyFont="1" applyFill="1" applyBorder="1"/>
    <xf numFmtId="1" fontId="4" fillId="20" borderId="17" xfId="0" applyNumberFormat="1" applyFont="1" applyFill="1" applyBorder="1"/>
    <xf numFmtId="1" fontId="4" fillId="20" borderId="0" xfId="0" applyNumberFormat="1" applyFont="1" applyFill="1"/>
    <xf numFmtId="1" fontId="4" fillId="0" borderId="42" xfId="0" applyNumberFormat="1" applyFont="1" applyBorder="1"/>
    <xf numFmtId="1" fontId="4" fillId="3" borderId="15" xfId="0" applyNumberFormat="1" applyFont="1" applyFill="1" applyBorder="1"/>
    <xf numFmtId="1" fontId="4" fillId="20" borderId="15" xfId="0" applyNumberFormat="1" applyFont="1" applyFill="1" applyBorder="1"/>
    <xf numFmtId="1" fontId="4" fillId="7" borderId="15" xfId="0" applyNumberFormat="1" applyFont="1" applyFill="1" applyBorder="1"/>
    <xf numFmtId="1" fontId="4" fillId="13" borderId="15" xfId="0" applyNumberFormat="1" applyFont="1" applyFill="1" applyBorder="1"/>
    <xf numFmtId="167" fontId="4" fillId="7" borderId="15"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12" fillId="0" borderId="33" xfId="0" applyFont="1" applyBorder="1" applyAlignment="1">
      <alignment horizontal="center"/>
    </xf>
    <xf numFmtId="0" fontId="22"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32" xfId="0" applyFont="1" applyBorder="1"/>
    <xf numFmtId="169" fontId="4" fillId="10" borderId="3"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10" borderId="8" xfId="0" applyNumberFormat="1" applyFont="1" applyFill="1" applyBorder="1"/>
    <xf numFmtId="3" fontId="4" fillId="0" borderId="2" xfId="0" applyNumberFormat="1" applyFont="1" applyBorder="1"/>
    <xf numFmtId="1" fontId="4" fillId="7" borderId="33" xfId="0" applyNumberFormat="1" applyFont="1" applyFill="1" applyBorder="1"/>
    <xf numFmtId="0" fontId="4" fillId="0" borderId="0" xfId="0" applyFont="1" applyAlignment="1">
      <alignment horizontal="right"/>
    </xf>
    <xf numFmtId="168" fontId="4" fillId="10" borderId="0" xfId="0" applyNumberFormat="1" applyFont="1" applyFill="1" applyAlignment="1">
      <alignment horizontal="center"/>
    </xf>
    <xf numFmtId="168" fontId="4" fillId="21" borderId="0" xfId="0" applyNumberFormat="1" applyFont="1" applyFill="1" applyAlignment="1">
      <alignment horizontal="center"/>
    </xf>
    <xf numFmtId="168" fontId="22"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7"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18" fillId="14" borderId="0" xfId="0" applyFont="1" applyFill="1"/>
    <xf numFmtId="0" fontId="34" fillId="0" borderId="0" xfId="0" applyFont="1"/>
    <xf numFmtId="2" fontId="18" fillId="0" borderId="0" xfId="0" applyNumberFormat="1" applyFont="1"/>
    <xf numFmtId="0" fontId="35" fillId="14" borderId="0" xfId="0" applyFont="1" applyFill="1"/>
    <xf numFmtId="2" fontId="35" fillId="14" borderId="0" xfId="0" applyNumberFormat="1" applyFont="1" applyFill="1"/>
    <xf numFmtId="0" fontId="36" fillId="0" borderId="0" xfId="0" applyFont="1"/>
    <xf numFmtId="0" fontId="7" fillId="0" borderId="0" xfId="0" applyFont="1"/>
    <xf numFmtId="0" fontId="7" fillId="23" borderId="0" xfId="0" applyFont="1" applyFill="1" applyAlignment="1">
      <alignment horizontal="center"/>
    </xf>
    <xf numFmtId="0" fontId="26" fillId="14" borderId="1" xfId="0" applyFont="1" applyFill="1" applyBorder="1" applyAlignment="1">
      <alignment horizontal="left" indent="2"/>
    </xf>
    <xf numFmtId="0" fontId="12" fillId="0" borderId="6" xfId="0" applyFont="1" applyBorder="1" applyAlignment="1">
      <alignment horizontal="center"/>
    </xf>
    <xf numFmtId="174" fontId="37" fillId="7" borderId="2" xfId="0" applyNumberFormat="1" applyFont="1" applyFill="1" applyBorder="1" applyAlignment="1">
      <alignment horizontal="center"/>
    </xf>
    <xf numFmtId="174" fontId="37" fillId="7" borderId="33" xfId="0" applyNumberFormat="1" applyFont="1" applyFill="1" applyBorder="1" applyAlignment="1">
      <alignment horizontal="center"/>
    </xf>
    <xf numFmtId="174" fontId="37" fillId="7" borderId="6" xfId="0" applyNumberFormat="1" applyFont="1" applyFill="1" applyBorder="1" applyAlignment="1">
      <alignment horizontal="center"/>
    </xf>
    <xf numFmtId="1" fontId="26" fillId="0" borderId="0" xfId="0" applyNumberFormat="1" applyFont="1" applyAlignment="1">
      <alignment horizontal="center"/>
    </xf>
    <xf numFmtId="0" fontId="18" fillId="0" borderId="6" xfId="0" applyFont="1" applyBorder="1"/>
    <xf numFmtId="0" fontId="18" fillId="0" borderId="40" xfId="0" applyFont="1" applyBorder="1"/>
    <xf numFmtId="0" fontId="12" fillId="15" borderId="33" xfId="0" applyFont="1" applyFill="1" applyBorder="1" applyAlignment="1">
      <alignment horizontal="center"/>
    </xf>
    <xf numFmtId="174" fontId="26" fillId="0" borderId="0" xfId="0" applyNumberFormat="1" applyFont="1" applyAlignment="1">
      <alignment horizontal="center"/>
    </xf>
    <xf numFmtId="174" fontId="26" fillId="0" borderId="33" xfId="0" applyNumberFormat="1" applyFont="1" applyBorder="1" applyAlignment="1">
      <alignment horizontal="center"/>
    </xf>
    <xf numFmtId="174" fontId="26" fillId="0" borderId="3" xfId="0" applyNumberFormat="1" applyFont="1" applyBorder="1" applyAlignment="1">
      <alignment horizontal="center"/>
    </xf>
    <xf numFmtId="0" fontId="18" fillId="0" borderId="8" xfId="0" applyFont="1" applyBorder="1"/>
    <xf numFmtId="0" fontId="26" fillId="0" borderId="2" xfId="0" applyFont="1" applyBorder="1" applyAlignment="1">
      <alignment horizontal="left" indent="1"/>
    </xf>
    <xf numFmtId="167" fontId="4" fillId="0" borderId="33" xfId="0" applyNumberFormat="1" applyFont="1" applyBorder="1" applyAlignment="1">
      <alignment horizontal="center"/>
    </xf>
    <xf numFmtId="167" fontId="4" fillId="0" borderId="6" xfId="0" applyNumberFormat="1" applyFont="1" applyBorder="1" applyAlignment="1">
      <alignment vertical="center" wrapText="1"/>
    </xf>
    <xf numFmtId="167" fontId="4" fillId="0" borderId="40" xfId="0" applyNumberFormat="1" applyFont="1" applyBorder="1" applyAlignment="1">
      <alignment vertical="center" wrapText="1"/>
    </xf>
    <xf numFmtId="167" fontId="4" fillId="0" borderId="8" xfId="0" applyNumberFormat="1" applyFont="1" applyBorder="1" applyAlignment="1">
      <alignment vertical="center" wrapText="1"/>
    </xf>
    <xf numFmtId="1" fontId="4" fillId="0" borderId="0" xfId="0" applyNumberFormat="1" applyFont="1" applyAlignment="1">
      <alignment horizontal="center" vertical="center"/>
    </xf>
    <xf numFmtId="0" fontId="12" fillId="0" borderId="14" xfId="0" applyFont="1" applyBorder="1" applyAlignment="1">
      <alignment horizontal="left" indent="1"/>
    </xf>
    <xf numFmtId="2" fontId="4" fillId="0" borderId="33" xfId="0" applyNumberFormat="1" applyFont="1" applyBorder="1" applyAlignment="1">
      <alignment horizontal="center"/>
    </xf>
    <xf numFmtId="9" fontId="4" fillId="0" borderId="0" xfId="0" applyNumberFormat="1" applyFont="1"/>
    <xf numFmtId="174" fontId="26" fillId="0" borderId="2" xfId="0" applyNumberFormat="1" applyFont="1" applyBorder="1" applyAlignment="1">
      <alignment horizontal="center"/>
    </xf>
    <xf numFmtId="174" fontId="26" fillId="0" borderId="1" xfId="0" applyNumberFormat="1" applyFont="1" applyBorder="1" applyAlignment="1">
      <alignment horizontal="center"/>
    </xf>
    <xf numFmtId="174" fontId="26" fillId="0" borderId="40" xfId="0" applyNumberFormat="1" applyFont="1" applyBorder="1" applyAlignment="1">
      <alignment horizontal="center"/>
    </xf>
    <xf numFmtId="0" fontId="4" fillId="14" borderId="1" xfId="0" applyFont="1" applyFill="1" applyBorder="1"/>
    <xf numFmtId="1" fontId="4" fillId="14" borderId="0" xfId="0" applyNumberFormat="1" applyFont="1" applyFill="1" applyAlignment="1">
      <alignment horizontal="center"/>
    </xf>
    <xf numFmtId="0" fontId="4" fillId="14" borderId="1" xfId="0" applyFont="1" applyFill="1" applyBorder="1" applyAlignment="1">
      <alignment horizontal="left" indent="2"/>
    </xf>
    <xf numFmtId="1" fontId="26" fillId="14" borderId="0" xfId="0" applyNumberFormat="1" applyFont="1" applyFill="1" applyAlignment="1">
      <alignment horizontal="center"/>
    </xf>
    <xf numFmtId="37" fontId="4" fillId="14" borderId="0" xfId="0" applyNumberFormat="1" applyFont="1" applyFill="1" applyAlignment="1">
      <alignment horizontal="center" wrapText="1"/>
    </xf>
    <xf numFmtId="0" fontId="4" fillId="14" borderId="40" xfId="0" applyFont="1" applyFill="1" applyBorder="1" applyAlignment="1">
      <alignment horizontal="center"/>
    </xf>
    <xf numFmtId="174" fontId="26" fillId="14" borderId="40" xfId="0" applyNumberFormat="1" applyFont="1" applyFill="1" applyBorder="1" applyAlignment="1">
      <alignment horizontal="center"/>
    </xf>
    <xf numFmtId="174" fontId="37" fillId="15" borderId="6" xfId="0" applyNumberFormat="1" applyFont="1" applyFill="1" applyBorder="1" applyAlignment="1">
      <alignment horizontal="center"/>
    </xf>
    <xf numFmtId="174" fontId="26" fillId="0" borderId="0" xfId="0" applyNumberFormat="1" applyFont="1" applyAlignment="1">
      <alignment horizontal="left"/>
    </xf>
    <xf numFmtId="0" fontId="26" fillId="0" borderId="1" xfId="0" applyFont="1" applyBorder="1" applyAlignment="1">
      <alignment horizontal="left" indent="1"/>
    </xf>
    <xf numFmtId="0" fontId="26" fillId="0" borderId="7" xfId="0" applyFont="1" applyBorder="1" applyAlignment="1">
      <alignment horizontal="left" indent="1"/>
    </xf>
    <xf numFmtId="167" fontId="4" fillId="0" borderId="0" xfId="0" applyNumberFormat="1" applyFont="1" applyAlignment="1">
      <alignment vertical="center" wrapText="1"/>
    </xf>
    <xf numFmtId="0" fontId="4" fillId="0" borderId="1" xfId="0" applyFont="1" applyBorder="1" applyAlignment="1">
      <alignment horizontal="left" indent="4"/>
    </xf>
    <xf numFmtId="0" fontId="12" fillId="3" borderId="0" xfId="0" applyFont="1" applyFill="1" applyAlignment="1">
      <alignment horizontal="left"/>
    </xf>
    <xf numFmtId="0" fontId="12" fillId="3" borderId="0" xfId="0" applyFont="1" applyFill="1"/>
    <xf numFmtId="168" fontId="22" fillId="0" borderId="1" xfId="0" applyNumberFormat="1" applyFont="1" applyBorder="1" applyAlignment="1">
      <alignment horizontal="center" vertical="top" wrapText="1"/>
    </xf>
    <xf numFmtId="168" fontId="22" fillId="0" borderId="7" xfId="0" applyNumberFormat="1" applyFont="1" applyBorder="1" applyAlignment="1">
      <alignment horizontal="center" vertical="top" wrapText="1"/>
    </xf>
    <xf numFmtId="0" fontId="4" fillId="0" borderId="2" xfId="0" applyFont="1" applyBorder="1" applyAlignment="1">
      <alignment horizontal="left" indent="2"/>
    </xf>
    <xf numFmtId="0" fontId="4" fillId="0" borderId="0" xfId="0" applyFont="1" applyAlignment="1">
      <alignment horizontal="left" indent="2"/>
    </xf>
    <xf numFmtId="174" fontId="26" fillId="0" borderId="8" xfId="0" applyNumberFormat="1" applyFont="1" applyBorder="1" applyAlignment="1">
      <alignment horizontal="center"/>
    </xf>
    <xf numFmtId="10" fontId="22" fillId="0" borderId="0" xfId="0" applyNumberFormat="1" applyFont="1" applyAlignment="1">
      <alignment horizontal="center" vertical="top" wrapText="1"/>
    </xf>
    <xf numFmtId="0" fontId="37" fillId="0" borderId="2" xfId="0" applyFont="1" applyBorder="1" applyAlignment="1">
      <alignment horizontal="left"/>
    </xf>
    <xf numFmtId="1" fontId="4" fillId="7" borderId="15"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0" borderId="15"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5" fillId="0" borderId="0" xfId="0" applyFont="1" applyAlignment="1">
      <alignment horizontal="center" vertical="top" wrapText="1"/>
    </xf>
    <xf numFmtId="0" fontId="12" fillId="0" borderId="2" xfId="0" applyFont="1" applyBorder="1" applyAlignment="1">
      <alignment horizontal="left" vertical="top" wrapText="1"/>
    </xf>
    <xf numFmtId="168" fontId="22" fillId="0" borderId="3" xfId="0" applyNumberFormat="1" applyFont="1" applyBorder="1" applyAlignment="1">
      <alignment horizontal="center" vertical="top" wrapText="1"/>
    </xf>
    <xf numFmtId="168" fontId="38" fillId="7" borderId="3" xfId="0" applyNumberFormat="1" applyFont="1" applyFill="1" applyBorder="1" applyAlignment="1">
      <alignment horizontal="center"/>
    </xf>
    <xf numFmtId="168" fontId="22" fillId="24"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3" borderId="8" xfId="0" applyNumberFormat="1" applyFont="1" applyFill="1" applyBorder="1" applyAlignment="1">
      <alignment horizontal="center"/>
    </xf>
    <xf numFmtId="0" fontId="4" fillId="18" borderId="1" xfId="0" applyFont="1" applyFill="1" applyBorder="1" applyAlignment="1">
      <alignment horizontal="left" indent="2"/>
    </xf>
    <xf numFmtId="0" fontId="1" fillId="18" borderId="4" xfId="0" applyFont="1" applyFill="1" applyBorder="1"/>
    <xf numFmtId="167" fontId="4" fillId="18" borderId="0" xfId="0" applyNumberFormat="1" applyFont="1" applyFill="1" applyAlignment="1">
      <alignment horizontal="center"/>
    </xf>
    <xf numFmtId="0" fontId="4" fillId="18" borderId="0" xfId="0" applyFont="1" applyFill="1" applyAlignment="1">
      <alignment horizontal="center"/>
    </xf>
    <xf numFmtId="0" fontId="4" fillId="18" borderId="1" xfId="0" applyFont="1" applyFill="1" applyBorder="1" applyAlignment="1">
      <alignment horizontal="left" indent="4"/>
    </xf>
    <xf numFmtId="0" fontId="4" fillId="18" borderId="4" xfId="0" applyFont="1" applyFill="1" applyBorder="1"/>
    <xf numFmtId="0" fontId="4" fillId="18" borderId="7" xfId="0" applyFont="1" applyFill="1" applyBorder="1" applyAlignment="1">
      <alignment horizontal="left" indent="2"/>
    </xf>
    <xf numFmtId="0" fontId="4" fillId="18" borderId="8" xfId="0" applyFont="1" applyFill="1" applyBorder="1"/>
    <xf numFmtId="167" fontId="4" fillId="18" borderId="3" xfId="0" applyNumberFormat="1" applyFont="1" applyFill="1" applyBorder="1" applyAlignment="1">
      <alignment horizontal="center"/>
    </xf>
    <xf numFmtId="0" fontId="4" fillId="18" borderId="3" xfId="0" applyFont="1" applyFill="1" applyBorder="1" applyAlignment="1">
      <alignment horizontal="center"/>
    </xf>
    <xf numFmtId="0" fontId="12" fillId="0" borderId="2" xfId="0" applyFont="1" applyBorder="1"/>
    <xf numFmtId="0" fontId="37" fillId="0" borderId="2" xfId="0" applyFont="1" applyBorder="1" applyAlignment="1">
      <alignment wrapText="1"/>
    </xf>
    <xf numFmtId="165" fontId="2" fillId="0" borderId="18" xfId="0" applyNumberFormat="1" applyFont="1" applyBorder="1" applyAlignment="1">
      <alignment horizontal="right"/>
    </xf>
    <xf numFmtId="174" fontId="37" fillId="0" borderId="33" xfId="0" applyNumberFormat="1" applyFont="1" applyBorder="1" applyAlignment="1">
      <alignment horizontal="center"/>
    </xf>
    <xf numFmtId="174" fontId="37" fillId="0" borderId="6" xfId="0" applyNumberFormat="1" applyFont="1" applyBorder="1" applyAlignment="1">
      <alignment horizontal="center"/>
    </xf>
    <xf numFmtId="0" fontId="26" fillId="0" borderId="2" xfId="0" applyFont="1" applyBorder="1" applyAlignment="1">
      <alignment wrapText="1"/>
    </xf>
    <xf numFmtId="1" fontId="26" fillId="0" borderId="33" xfId="0" applyNumberFormat="1" applyFont="1" applyBorder="1" applyAlignment="1">
      <alignment horizontal="center"/>
    </xf>
    <xf numFmtId="0" fontId="26" fillId="0" borderId="7" xfId="0" applyFont="1" applyBorder="1"/>
    <xf numFmtId="1" fontId="26" fillId="0" borderId="3" xfId="0" applyNumberFormat="1" applyFont="1" applyBorder="1" applyAlignment="1">
      <alignment horizontal="center"/>
    </xf>
    <xf numFmtId="174" fontId="37" fillId="15" borderId="33"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3" xfId="0" applyNumberFormat="1" applyFont="1" applyBorder="1"/>
    <xf numFmtId="168" fontId="22" fillId="0" borderId="0" xfId="0" applyNumberFormat="1" applyFont="1"/>
    <xf numFmtId="1" fontId="4" fillId="7" borderId="6" xfId="0" applyNumberFormat="1" applyFont="1" applyFill="1" applyBorder="1" applyAlignment="1">
      <alignment horizontal="center"/>
    </xf>
    <xf numFmtId="1" fontId="4" fillId="7" borderId="33" xfId="0" applyNumberFormat="1" applyFont="1" applyFill="1" applyBorder="1" applyAlignment="1">
      <alignment horizontal="center"/>
    </xf>
    <xf numFmtId="168" fontId="4" fillId="0" borderId="1" xfId="0" applyNumberFormat="1" applyFont="1" applyBorder="1" applyAlignment="1">
      <alignment horizontal="center" vertical="top" wrapText="1"/>
    </xf>
    <xf numFmtId="174" fontId="37" fillId="0" borderId="2" xfId="0" applyNumberFormat="1" applyFont="1" applyBorder="1" applyAlignment="1">
      <alignment horizontal="center"/>
    </xf>
    <xf numFmtId="1" fontId="4" fillId="0" borderId="3" xfId="0" applyNumberFormat="1" applyFont="1" applyBorder="1"/>
    <xf numFmtId="1" fontId="4" fillId="7" borderId="3" xfId="0" applyNumberFormat="1" applyFont="1" applyFill="1" applyBorder="1"/>
    <xf numFmtId="1" fontId="4" fillId="7" borderId="4" xfId="0" applyNumberFormat="1" applyFont="1" applyFill="1" applyBorder="1"/>
    <xf numFmtId="1" fontId="4" fillId="7" borderId="8" xfId="0" applyNumberFormat="1" applyFont="1" applyFill="1" applyBorder="1"/>
    <xf numFmtId="168" fontId="22" fillId="24" borderId="0" xfId="0" applyNumberFormat="1" applyFont="1" applyFill="1" applyAlignment="1">
      <alignment horizontal="center" vertical="top" wrapText="1"/>
    </xf>
    <xf numFmtId="2" fontId="4" fillId="0" borderId="0" xfId="0" applyNumberFormat="1" applyFont="1" applyAlignment="1">
      <alignment horizontal="center"/>
    </xf>
    <xf numFmtId="9" fontId="1" fillId="0" borderId="0" xfId="0" applyNumberFormat="1" applyFont="1"/>
    <xf numFmtId="1" fontId="4" fillId="16" borderId="0" xfId="0" applyNumberFormat="1" applyFont="1" applyFill="1" applyAlignment="1">
      <alignment horizontal="center" vertical="top" wrapText="1"/>
    </xf>
    <xf numFmtId="0" fontId="25" fillId="0" borderId="0" xfId="0" applyFont="1" applyAlignment="1">
      <alignment horizontal="left" vertical="top" wrapText="1"/>
    </xf>
    <xf numFmtId="1" fontId="22" fillId="0" borderId="0" xfId="0" applyNumberFormat="1" applyFont="1" applyAlignment="1">
      <alignment horizontal="center" vertical="top" wrapText="1"/>
    </xf>
    <xf numFmtId="1" fontId="4" fillId="0" borderId="15" xfId="0" applyNumberFormat="1" applyFont="1" applyBorder="1" applyAlignment="1">
      <alignment horizontal="center" vertical="top" wrapText="1"/>
    </xf>
    <xf numFmtId="168" fontId="22"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 fontId="4" fillId="0" borderId="1" xfId="0" applyNumberFormat="1" applyFont="1" applyBorder="1" applyAlignment="1">
      <alignment horizontal="center"/>
    </xf>
    <xf numFmtId="167" fontId="4" fillId="7" borderId="3" xfId="0" applyNumberFormat="1" applyFont="1" applyFill="1" applyBorder="1" applyAlignment="1">
      <alignment horizontal="center"/>
    </xf>
    <xf numFmtId="167" fontId="4" fillId="13" borderId="4" xfId="0" applyNumberFormat="1" applyFont="1" applyFill="1" applyBorder="1" applyAlignment="1">
      <alignment horizontal="center"/>
    </xf>
    <xf numFmtId="167" fontId="4" fillId="13"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0" fontId="22" fillId="0" borderId="0" xfId="0" applyFont="1" applyAlignment="1">
      <alignment horizontal="center" vertical="top" wrapText="1"/>
    </xf>
    <xf numFmtId="3" fontId="22" fillId="0" borderId="0" xfId="0" applyNumberFormat="1" applyFont="1" applyAlignment="1">
      <alignment horizontal="center" vertical="top" wrapText="1"/>
    </xf>
    <xf numFmtId="0" fontId="22" fillId="0" borderId="0" xfId="0" applyFont="1" applyAlignment="1">
      <alignment horizontal="left" vertical="top" wrapText="1"/>
    </xf>
    <xf numFmtId="0" fontId="26" fillId="0" borderId="42" xfId="0" applyFont="1" applyBorder="1" applyAlignment="1">
      <alignment horizontal="left" indent="2"/>
    </xf>
    <xf numFmtId="165" fontId="4" fillId="0" borderId="15" xfId="0" applyNumberFormat="1" applyFont="1" applyBorder="1" applyAlignment="1">
      <alignment horizontal="center" vertical="top" wrapText="1"/>
    </xf>
    <xf numFmtId="0" fontId="4" fillId="0" borderId="2" xfId="0" applyFont="1" applyBorder="1" applyAlignment="1">
      <alignment horizontal="left" indent="1"/>
    </xf>
    <xf numFmtId="0" fontId="37" fillId="0" borderId="1" xfId="0" applyFont="1" applyBorder="1" applyAlignment="1">
      <alignment horizontal="left" wrapText="1"/>
    </xf>
    <xf numFmtId="0" fontId="39" fillId="0" borderId="0" xfId="0" applyFont="1"/>
    <xf numFmtId="0" fontId="26" fillId="0" borderId="0" xfId="0" applyFont="1"/>
    <xf numFmtId="0" fontId="37" fillId="0" borderId="0" xfId="0" applyFont="1"/>
    <xf numFmtId="0" fontId="40" fillId="0" borderId="1" xfId="0" applyFont="1" applyBorder="1" applyAlignment="1">
      <alignment horizontal="left"/>
    </xf>
    <xf numFmtId="167" fontId="22" fillId="0" borderId="0" xfId="0" applyNumberFormat="1" applyFont="1"/>
    <xf numFmtId="0" fontId="22" fillId="0" borderId="7" xfId="0" applyFont="1" applyBorder="1" applyAlignment="1">
      <alignment horizontal="left" vertical="top" wrapText="1"/>
    </xf>
    <xf numFmtId="0" fontId="4" fillId="0" borderId="44" xfId="0" applyFont="1" applyBorder="1"/>
    <xf numFmtId="168" fontId="22" fillId="0" borderId="0" xfId="0" applyNumberFormat="1" applyFont="1" applyAlignment="1">
      <alignment horizontal="right" vertical="top" wrapText="1"/>
    </xf>
    <xf numFmtId="174" fontId="37"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33" xfId="0" applyNumberFormat="1" applyFont="1" applyBorder="1" applyAlignment="1">
      <alignment horizontal="center" vertical="center"/>
    </xf>
    <xf numFmtId="168" fontId="4" fillId="13" borderId="0" xfId="0" applyNumberFormat="1" applyFont="1" applyFill="1" applyAlignment="1">
      <alignment horizontal="center" vertical="top" wrapText="1"/>
    </xf>
    <xf numFmtId="1" fontId="22"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2" fillId="24" borderId="3" xfId="0" applyNumberFormat="1" applyFont="1" applyFill="1" applyBorder="1" applyAlignment="1">
      <alignment horizontal="center" vertical="top" wrapText="1"/>
    </xf>
    <xf numFmtId="168" fontId="22" fillId="15"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7" fontId="4" fillId="13"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68" fontId="4" fillId="7"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37" fillId="0" borderId="0" xfId="0" applyNumberFormat="1" applyFont="1" applyAlignment="1">
      <alignment horizontal="center"/>
    </xf>
    <xf numFmtId="174" fontId="37" fillId="0" borderId="0" xfId="0" applyNumberFormat="1" applyFont="1"/>
    <xf numFmtId="0" fontId="37" fillId="0" borderId="0" xfId="0" applyFont="1" applyAlignment="1">
      <alignment horizontal="left" indent="2"/>
    </xf>
    <xf numFmtId="175" fontId="37" fillId="0" borderId="0" xfId="0" applyNumberFormat="1" applyFont="1" applyAlignment="1">
      <alignment horizontal="center"/>
    </xf>
    <xf numFmtId="1" fontId="12" fillId="0" borderId="0" xfId="0" applyNumberFormat="1" applyFont="1" applyAlignment="1">
      <alignment horizontal="center"/>
    </xf>
    <xf numFmtId="168" fontId="4" fillId="0" borderId="1" xfId="0" applyNumberFormat="1" applyFont="1" applyBorder="1" applyAlignment="1">
      <alignment horizontal="right" vertical="top" wrapText="1"/>
    </xf>
    <xf numFmtId="3" fontId="22" fillId="0" borderId="3" xfId="0" applyNumberFormat="1" applyFont="1" applyBorder="1" applyAlignment="1">
      <alignment horizontal="center" vertical="top" wrapText="1"/>
    </xf>
    <xf numFmtId="175" fontId="26" fillId="0" borderId="0" xfId="0" applyNumberFormat="1" applyFont="1" applyAlignment="1">
      <alignment horizontal="center"/>
    </xf>
    <xf numFmtId="0" fontId="12" fillId="15" borderId="34" xfId="0" applyFont="1" applyFill="1" applyBorder="1" applyAlignment="1">
      <alignment horizontal="center"/>
    </xf>
    <xf numFmtId="0" fontId="12" fillId="15" borderId="32" xfId="0" applyFont="1" applyFill="1" applyBorder="1" applyAlignment="1">
      <alignment horizontal="center"/>
    </xf>
    <xf numFmtId="0" fontId="12" fillId="15" borderId="6" xfId="0" applyFont="1" applyFill="1" applyBorder="1" applyAlignment="1">
      <alignment horizontal="center"/>
    </xf>
    <xf numFmtId="0" fontId="26" fillId="0" borderId="1" xfId="0" applyFont="1" applyBorder="1"/>
    <xf numFmtId="0" fontId="18" fillId="0" borderId="0" xfId="0" applyFont="1"/>
    <xf numFmtId="0" fontId="22" fillId="0" borderId="8" xfId="0" applyFont="1" applyBorder="1" applyAlignment="1">
      <alignment horizontal="center"/>
    </xf>
    <xf numFmtId="0" fontId="1" fillId="18" borderId="1" xfId="0" applyFont="1" applyFill="1" applyBorder="1"/>
    <xf numFmtId="0" fontId="1" fillId="18" borderId="7" xfId="0" applyFont="1" applyFill="1" applyBorder="1"/>
    <xf numFmtId="0" fontId="4" fillId="7" borderId="13" xfId="0" applyFont="1" applyFill="1" applyBorder="1" applyAlignment="1">
      <alignment horizontal="center"/>
    </xf>
    <xf numFmtId="10" fontId="41" fillId="0" borderId="7" xfId="0" applyNumberFormat="1" applyFont="1" applyBorder="1" applyAlignment="1">
      <alignment horizontal="center"/>
    </xf>
    <xf numFmtId="10" fontId="41" fillId="0" borderId="3" xfId="0" applyNumberFormat="1" applyFont="1" applyBorder="1" applyAlignment="1">
      <alignment horizontal="center"/>
    </xf>
    <xf numFmtId="10" fontId="41" fillId="0" borderId="8" xfId="0" applyNumberFormat="1" applyFont="1" applyBorder="1" applyAlignment="1">
      <alignment horizontal="center"/>
    </xf>
    <xf numFmtId="0" fontId="12" fillId="0" borderId="1" xfId="0" applyFont="1" applyBorder="1" applyAlignment="1">
      <alignment wrapText="1"/>
    </xf>
    <xf numFmtId="0" fontId="41" fillId="0" borderId="1" xfId="0" applyFont="1" applyBorder="1" applyAlignment="1">
      <alignment wrapText="1"/>
    </xf>
    <xf numFmtId="0" fontId="41" fillId="0" borderId="0" xfId="0" applyFont="1" applyAlignment="1">
      <alignment wrapText="1"/>
    </xf>
    <xf numFmtId="2" fontId="41"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1" fillId="0" borderId="3" xfId="0" applyNumberFormat="1" applyFont="1" applyBorder="1" applyAlignment="1">
      <alignment horizontal="center"/>
    </xf>
    <xf numFmtId="2" fontId="41" fillId="0" borderId="5" xfId="0" applyNumberFormat="1" applyFont="1" applyBorder="1" applyAlignment="1">
      <alignment horizontal="center"/>
    </xf>
    <xf numFmtId="2" fontId="41" fillId="0" borderId="4" xfId="0" applyNumberFormat="1" applyFont="1" applyBorder="1" applyAlignment="1">
      <alignment horizontal="center"/>
    </xf>
    <xf numFmtId="2" fontId="41" fillId="0" borderId="8" xfId="0" applyNumberFormat="1" applyFont="1" applyBorder="1" applyAlignment="1">
      <alignment horizontal="center"/>
    </xf>
    <xf numFmtId="0" fontId="12" fillId="0" borderId="2" xfId="0" applyFont="1" applyBorder="1" applyAlignment="1">
      <alignment vertical="center" wrapText="1"/>
    </xf>
    <xf numFmtId="0" fontId="43" fillId="0" borderId="2" xfId="0" applyFont="1" applyBorder="1" applyAlignment="1">
      <alignment wrapText="1"/>
    </xf>
    <xf numFmtId="0" fontId="43" fillId="0" borderId="6" xfId="0" applyFont="1" applyBorder="1" applyAlignment="1">
      <alignment wrapText="1"/>
    </xf>
    <xf numFmtId="0" fontId="43" fillId="0" borderId="34" xfId="0" applyFont="1" applyBorder="1" applyAlignment="1">
      <alignment wrapText="1"/>
    </xf>
    <xf numFmtId="0" fontId="43" fillId="0" borderId="32" xfId="0" applyFont="1" applyBorder="1" applyAlignment="1">
      <alignment wrapText="1"/>
    </xf>
    <xf numFmtId="10" fontId="41" fillId="18" borderId="0" xfId="0" applyNumberFormat="1" applyFont="1" applyFill="1" applyAlignment="1">
      <alignment horizontal="center"/>
    </xf>
    <xf numFmtId="10" fontId="41" fillId="18" borderId="4" xfId="0" applyNumberFormat="1" applyFont="1" applyFill="1" applyBorder="1" applyAlignment="1">
      <alignment horizontal="center"/>
    </xf>
    <xf numFmtId="10" fontId="1" fillId="18" borderId="1" xfId="0" applyNumberFormat="1" applyFont="1" applyFill="1" applyBorder="1"/>
    <xf numFmtId="10" fontId="41" fillId="0" borderId="0" xfId="0" applyNumberFormat="1" applyFont="1" applyAlignment="1">
      <alignment horizontal="center"/>
    </xf>
    <xf numFmtId="10" fontId="41" fillId="10" borderId="0" xfId="0" applyNumberFormat="1" applyFont="1" applyFill="1" applyAlignment="1">
      <alignment horizontal="center"/>
    </xf>
    <xf numFmtId="0" fontId="3" fillId="0" borderId="0" xfId="0" applyFont="1" applyAlignment="1">
      <alignment horizontal="left"/>
    </xf>
    <xf numFmtId="10" fontId="41" fillId="13" borderId="0" xfId="0" applyNumberFormat="1" applyFont="1" applyFill="1" applyAlignment="1">
      <alignment horizontal="center"/>
    </xf>
    <xf numFmtId="0" fontId="4" fillId="0" borderId="0" xfId="0" applyFont="1" applyAlignment="1">
      <alignment vertical="top"/>
    </xf>
    <xf numFmtId="10" fontId="41" fillId="0" borderId="6" xfId="0" applyNumberFormat="1" applyFont="1" applyBorder="1" applyAlignment="1">
      <alignment horizontal="center"/>
    </xf>
    <xf numFmtId="10" fontId="41" fillId="13" borderId="5" xfId="0" applyNumberFormat="1" applyFont="1" applyFill="1" applyBorder="1" applyAlignment="1">
      <alignment horizontal="center"/>
    </xf>
    <xf numFmtId="10" fontId="41" fillId="0" borderId="33" xfId="0" applyNumberFormat="1" applyFont="1" applyBorder="1" applyAlignment="1">
      <alignment horizontal="center"/>
    </xf>
    <xf numFmtId="0" fontId="3" fillId="18" borderId="4" xfId="0" applyFont="1" applyFill="1" applyBorder="1" applyAlignment="1">
      <alignment horizontal="left"/>
    </xf>
    <xf numFmtId="0" fontId="3" fillId="18" borderId="8" xfId="0" applyFont="1" applyFill="1" applyBorder="1" applyAlignment="1">
      <alignment horizontal="left"/>
    </xf>
    <xf numFmtId="10" fontId="41" fillId="18" borderId="3" xfId="0" applyNumberFormat="1" applyFont="1" applyFill="1" applyBorder="1" applyAlignment="1">
      <alignment horizontal="center"/>
    </xf>
    <xf numFmtId="10" fontId="41" fillId="18"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1" fillId="0" borderId="45" xfId="0" applyNumberFormat="1" applyFont="1" applyBorder="1" applyAlignment="1">
      <alignment horizontal="center"/>
    </xf>
    <xf numFmtId="10" fontId="41" fillId="0" borderId="46" xfId="0" applyNumberFormat="1" applyFont="1" applyBorder="1" applyAlignment="1">
      <alignment horizontal="center"/>
    </xf>
    <xf numFmtId="10" fontId="41" fillId="0" borderId="47" xfId="0" applyNumberFormat="1" applyFont="1" applyBorder="1" applyAlignment="1">
      <alignment horizontal="center"/>
    </xf>
    <xf numFmtId="10" fontId="1" fillId="0" borderId="7" xfId="0" applyNumberFormat="1" applyFont="1" applyBorder="1"/>
    <xf numFmtId="0" fontId="12" fillId="0" borderId="33" xfId="0" applyFont="1" applyBorder="1" applyAlignment="1">
      <alignment vertical="center" wrapText="1"/>
    </xf>
    <xf numFmtId="10" fontId="41" fillId="13" borderId="3" xfId="0" applyNumberFormat="1" applyFont="1" applyFill="1" applyBorder="1" applyAlignment="1">
      <alignment horizontal="center"/>
    </xf>
    <xf numFmtId="10" fontId="41" fillId="0" borderId="2" xfId="0" applyNumberFormat="1" applyFont="1" applyBorder="1" applyAlignment="1">
      <alignment horizontal="center"/>
    </xf>
    <xf numFmtId="10" fontId="41" fillId="13" borderId="33" xfId="0" applyNumberFormat="1" applyFont="1" applyFill="1" applyBorder="1" applyAlignment="1">
      <alignment horizontal="center"/>
    </xf>
    <xf numFmtId="0" fontId="43" fillId="0" borderId="0" xfId="0" applyFont="1" applyAlignment="1">
      <alignment wrapText="1"/>
    </xf>
    <xf numFmtId="0" fontId="43" fillId="0" borderId="3" xfId="0" applyFont="1" applyBorder="1" applyAlignment="1">
      <alignment wrapText="1"/>
    </xf>
    <xf numFmtId="2" fontId="41"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6" fontId="1" fillId="0" borderId="0" xfId="0" applyNumberFormat="1" applyFont="1"/>
    <xf numFmtId="10" fontId="41" fillId="0" borderId="5" xfId="0" applyNumberFormat="1" applyFont="1" applyBorder="1" applyAlignment="1">
      <alignment horizontal="center"/>
    </xf>
    <xf numFmtId="10" fontId="41" fillId="0" borderId="1" xfId="0" applyNumberFormat="1" applyFont="1" applyBorder="1" applyAlignment="1">
      <alignment horizontal="center"/>
    </xf>
    <xf numFmtId="10" fontId="41" fillId="0" borderId="4" xfId="0" applyNumberFormat="1" applyFont="1" applyBorder="1" applyAlignment="1">
      <alignment horizontal="center"/>
    </xf>
    <xf numFmtId="3" fontId="4" fillId="0" borderId="1" xfId="0" applyNumberFormat="1" applyFont="1" applyBorder="1" applyAlignment="1">
      <alignment horizontal="center"/>
    </xf>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7" borderId="12" xfId="0" applyFont="1" applyFill="1" applyBorder="1" applyAlignment="1">
      <alignment horizontal="center" wrapText="1"/>
    </xf>
    <xf numFmtId="0" fontId="4" fillId="13" borderId="39" xfId="0" applyFont="1" applyFill="1" applyBorder="1" applyAlignment="1">
      <alignment horizontal="center" wrapText="1"/>
    </xf>
    <xf numFmtId="0" fontId="4" fillId="13" borderId="32" xfId="0" applyFont="1" applyFill="1" applyBorder="1" applyAlignment="1">
      <alignment horizontal="center" wrapText="1"/>
    </xf>
    <xf numFmtId="14" fontId="4" fillId="13" borderId="14" xfId="0" applyNumberFormat="1" applyFont="1" applyFill="1" applyBorder="1" applyAlignment="1">
      <alignment horizontal="right"/>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3" borderId="13" xfId="0" applyNumberFormat="1" applyFont="1" applyFill="1" applyBorder="1" applyAlignment="1">
      <alignment horizontal="right"/>
    </xf>
    <xf numFmtId="14" fontId="4" fillId="13"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3" borderId="7" xfId="0" applyFont="1" applyFill="1" applyBorder="1" applyAlignment="1">
      <alignment horizontal="center" wrapText="1"/>
    </xf>
    <xf numFmtId="0" fontId="4" fillId="13" borderId="3" xfId="0" applyFont="1" applyFill="1" applyBorder="1" applyAlignment="1">
      <alignment horizontal="center" wrapText="1"/>
    </xf>
    <xf numFmtId="165" fontId="1" fillId="13" borderId="4" xfId="0" applyNumberFormat="1" applyFont="1" applyFill="1" applyBorder="1" applyAlignment="1">
      <alignment horizontal="center"/>
    </xf>
    <xf numFmtId="0" fontId="1" fillId="13"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3" borderId="14" xfId="0" applyFont="1" applyFill="1" applyBorder="1" applyAlignment="1">
      <alignment horizontal="center" wrapText="1"/>
    </xf>
    <xf numFmtId="0" fontId="1" fillId="3" borderId="32"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4" xfId="0" applyFont="1" applyFill="1" applyBorder="1" applyAlignment="1">
      <alignment horizontal="center"/>
    </xf>
    <xf numFmtId="165" fontId="1" fillId="10" borderId="8" xfId="0" applyNumberFormat="1" applyFont="1" applyFill="1" applyBorder="1" applyAlignment="1">
      <alignment horizontal="center"/>
    </xf>
    <xf numFmtId="0" fontId="3" fillId="0" borderId="2" xfId="0" applyFont="1" applyBorder="1" applyAlignment="1">
      <alignment horizontal="left" wrapText="1" indent="2"/>
    </xf>
    <xf numFmtId="0" fontId="1" fillId="13" borderId="3" xfId="0" applyFont="1" applyFill="1" applyBorder="1" applyAlignment="1">
      <alignment horizontal="center"/>
    </xf>
    <xf numFmtId="165" fontId="1" fillId="0" borderId="33" xfId="0" applyNumberFormat="1" applyFont="1" applyBorder="1" applyAlignment="1">
      <alignment horizontal="center"/>
    </xf>
    <xf numFmtId="165" fontId="1" fillId="13"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2" xfId="0" applyFont="1" applyBorder="1" applyAlignment="1">
      <alignment horizontal="left" wrapText="1" indent="2"/>
    </xf>
    <xf numFmtId="0" fontId="1" fillId="0" borderId="33" xfId="0" applyFont="1" applyBorder="1" applyAlignment="1">
      <alignment horizontal="left" wrapText="1" indent="2"/>
    </xf>
    <xf numFmtId="0" fontId="22" fillId="13" borderId="4" xfId="0" applyFont="1" applyFill="1" applyBorder="1" applyAlignment="1">
      <alignment horizontal="center"/>
    </xf>
    <xf numFmtId="0" fontId="1" fillId="0" borderId="1" xfId="0" applyFont="1" applyBorder="1" applyAlignment="1">
      <alignment horizontal="center"/>
    </xf>
    <xf numFmtId="0" fontId="22" fillId="7" borderId="3" xfId="0" applyFont="1" applyFill="1" applyBorder="1" applyAlignment="1">
      <alignment horizontal="center"/>
    </xf>
    <xf numFmtId="0" fontId="22" fillId="7" borderId="8" xfId="0" applyFont="1" applyFill="1" applyBorder="1" applyAlignment="1">
      <alignment horizontal="center"/>
    </xf>
    <xf numFmtId="0" fontId="1" fillId="0" borderId="12" xfId="0" applyFont="1" applyBorder="1" applyAlignment="1">
      <alignment horizontal="left"/>
    </xf>
    <xf numFmtId="0" fontId="1" fillId="13"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22" fillId="7" borderId="0" xfId="0" applyFont="1" applyFill="1" applyAlignment="1">
      <alignment horizontal="center"/>
    </xf>
    <xf numFmtId="0" fontId="22" fillId="7" borderId="4" xfId="0" applyFont="1" applyFill="1" applyBorder="1" applyAlignment="1">
      <alignment horizontal="center"/>
    </xf>
    <xf numFmtId="0" fontId="22" fillId="13" borderId="0" xfId="0" applyFont="1" applyFill="1" applyAlignment="1">
      <alignment horizontal="center"/>
    </xf>
    <xf numFmtId="2" fontId="1" fillId="14" borderId="0" xfId="0" applyNumberFormat="1" applyFont="1" applyFill="1"/>
    <xf numFmtId="14" fontId="1" fillId="0" borderId="0" xfId="0" applyNumberFormat="1" applyFont="1"/>
    <xf numFmtId="0" fontId="1" fillId="26" borderId="0" xfId="0" applyFont="1" applyFill="1" applyAlignment="1">
      <alignment wrapText="1"/>
    </xf>
    <xf numFmtId="0" fontId="1" fillId="26" borderId="0" xfId="0" applyFont="1" applyFill="1"/>
    <xf numFmtId="0" fontId="1" fillId="0" borderId="0" xfId="0" applyFont="1" applyAlignment="1">
      <alignment vertical="center" wrapText="1"/>
    </xf>
    <xf numFmtId="0" fontId="1" fillId="26" borderId="0" xfId="0" applyFont="1" applyFill="1" applyAlignment="1">
      <alignment horizontal="center" wrapText="1"/>
    </xf>
    <xf numFmtId="177" fontId="1" fillId="0" borderId="0" xfId="0" applyNumberFormat="1" applyFont="1"/>
    <xf numFmtId="0" fontId="1" fillId="26" borderId="0" xfId="0" applyFont="1" applyFill="1" applyAlignment="1">
      <alignment horizontal="center"/>
    </xf>
    <xf numFmtId="2" fontId="1" fillId="26" borderId="0" xfId="0" applyNumberFormat="1" applyFont="1" applyFill="1"/>
    <xf numFmtId="0" fontId="41" fillId="0" borderId="0" xfId="0" applyFont="1"/>
    <xf numFmtId="166" fontId="1" fillId="0" borderId="0" xfId="0" applyNumberFormat="1" applyFont="1"/>
    <xf numFmtId="169" fontId="41" fillId="0" borderId="0" xfId="0" applyNumberFormat="1" applyFont="1"/>
    <xf numFmtId="2" fontId="7" fillId="0" borderId="0" xfId="0" applyNumberFormat="1" applyFont="1"/>
    <xf numFmtId="0" fontId="4" fillId="0" borderId="3" xfId="0" applyFont="1" applyBorder="1" applyAlignment="1">
      <alignment horizontal="right" vertical="center"/>
    </xf>
    <xf numFmtId="0" fontId="4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6" fillId="0" borderId="0" xfId="0" applyFont="1" applyAlignment="1">
      <alignment horizontal="left"/>
    </xf>
    <xf numFmtId="0" fontId="46" fillId="0" borderId="0" xfId="0" applyFont="1" applyAlignment="1">
      <alignment horizontal="center" wrapText="1"/>
    </xf>
    <xf numFmtId="1" fontId="47" fillId="0" borderId="48" xfId="0" applyNumberFormat="1" applyFont="1" applyBorder="1" applyAlignment="1">
      <alignment horizontal="center" vertical="top"/>
    </xf>
    <xf numFmtId="0" fontId="46" fillId="27" borderId="48" xfId="0" applyFont="1" applyFill="1" applyBorder="1" applyAlignment="1">
      <alignment horizontal="center" vertical="top"/>
    </xf>
    <xf numFmtId="0" fontId="46" fillId="0" borderId="0" xfId="0" applyFont="1" applyAlignment="1">
      <alignment horizontal="center"/>
    </xf>
    <xf numFmtId="0" fontId="46" fillId="0" borderId="0" xfId="0" applyFont="1" applyAlignment="1">
      <alignment horizontal="left" wrapText="1"/>
    </xf>
    <xf numFmtId="0" fontId="47" fillId="0" borderId="0" xfId="0" applyFont="1" applyAlignment="1">
      <alignment horizontal="left" vertical="top"/>
    </xf>
    <xf numFmtId="0" fontId="47" fillId="0" borderId="0" xfId="0" applyFont="1" applyAlignment="1">
      <alignment horizontal="center" vertical="top" wrapText="1"/>
    </xf>
    <xf numFmtId="1" fontId="47" fillId="14" borderId="0" xfId="0" applyNumberFormat="1" applyFont="1" applyFill="1" applyAlignment="1">
      <alignment horizontal="center" vertical="top"/>
    </xf>
    <xf numFmtId="0" fontId="46" fillId="14" borderId="0" xfId="0" applyFont="1" applyFill="1" applyAlignment="1">
      <alignment horizontal="center" vertical="top"/>
    </xf>
    <xf numFmtId="0" fontId="46" fillId="14" borderId="0" xfId="0" applyFont="1" applyFill="1" applyAlignment="1">
      <alignment horizontal="left" vertical="top" wrapText="1"/>
    </xf>
    <xf numFmtId="0" fontId="46" fillId="0" borderId="0" xfId="0" applyFont="1" applyAlignment="1">
      <alignment horizontal="left" vertical="top" wrapText="1"/>
    </xf>
    <xf numFmtId="0" fontId="47" fillId="0" borderId="34" xfId="0" applyFont="1" applyBorder="1" applyAlignment="1">
      <alignment horizontal="left" vertical="top"/>
    </xf>
    <xf numFmtId="0" fontId="47" fillId="0" borderId="34" xfId="0" applyFont="1" applyBorder="1" applyAlignment="1">
      <alignment horizontal="center" vertical="top" wrapText="1"/>
    </xf>
    <xf numFmtId="1" fontId="47" fillId="3" borderId="34" xfId="0" applyNumberFormat="1" applyFont="1" applyFill="1" applyBorder="1" applyAlignment="1">
      <alignment horizontal="center" vertical="top"/>
    </xf>
    <xf numFmtId="3" fontId="47" fillId="3" borderId="34" xfId="0" applyNumberFormat="1" applyFont="1" applyFill="1" applyBorder="1" applyAlignment="1">
      <alignment horizontal="center" vertical="top"/>
    </xf>
    <xf numFmtId="0" fontId="46" fillId="3" borderId="34" xfId="0" applyFont="1" applyFill="1" applyBorder="1" applyAlignment="1">
      <alignment horizontal="center" vertical="top"/>
    </xf>
    <xf numFmtId="0" fontId="46" fillId="0" borderId="34" xfId="0" applyFont="1" applyBorder="1" applyAlignment="1">
      <alignment horizontal="left" vertical="top" wrapText="1"/>
    </xf>
    <xf numFmtId="0" fontId="47" fillId="0" borderId="5" xfId="0" applyFont="1" applyBorder="1" applyAlignment="1">
      <alignment horizontal="left" vertical="top"/>
    </xf>
    <xf numFmtId="0" fontId="47" fillId="0" borderId="5" xfId="0" applyFont="1" applyBorder="1" applyAlignment="1">
      <alignment horizontal="center" vertical="top" wrapText="1"/>
    </xf>
    <xf numFmtId="3" fontId="48" fillId="0" borderId="0" xfId="0" applyNumberFormat="1" applyFont="1" applyAlignment="1">
      <alignment vertical="top"/>
    </xf>
    <xf numFmtId="0" fontId="47" fillId="14" borderId="5" xfId="0" applyFont="1" applyFill="1" applyBorder="1" applyAlignment="1">
      <alignment horizontal="center" vertical="top"/>
    </xf>
    <xf numFmtId="0" fontId="46" fillId="0" borderId="5" xfId="0" applyFont="1" applyBorder="1" applyAlignment="1">
      <alignment horizontal="left" vertical="top" wrapText="1"/>
    </xf>
    <xf numFmtId="0" fontId="46" fillId="0" borderId="0" xfId="0" applyFont="1" applyAlignment="1">
      <alignment horizontal="left" vertical="top"/>
    </xf>
    <xf numFmtId="0" fontId="46" fillId="0" borderId="0" xfId="0" applyFont="1" applyAlignment="1">
      <alignment horizontal="center" vertical="top" wrapText="1"/>
    </xf>
    <xf numFmtId="3" fontId="47" fillId="14" borderId="0" xfId="0" applyNumberFormat="1" applyFont="1" applyFill="1" applyAlignment="1">
      <alignment horizontal="center" vertical="top"/>
    </xf>
    <xf numFmtId="0" fontId="47" fillId="14" borderId="0" xfId="0" applyFont="1" applyFill="1" applyAlignment="1">
      <alignment horizontal="center" vertical="top"/>
    </xf>
    <xf numFmtId="1" fontId="46" fillId="14" borderId="0" xfId="0" applyNumberFormat="1" applyFont="1" applyFill="1" applyAlignment="1">
      <alignment horizontal="center" vertical="top"/>
    </xf>
    <xf numFmtId="0" fontId="46" fillId="0" borderId="0" xfId="0" applyFont="1" applyAlignment="1">
      <alignment horizontal="center" vertical="top"/>
    </xf>
    <xf numFmtId="1" fontId="46" fillId="14" borderId="0" xfId="0" applyNumberFormat="1" applyFont="1" applyFill="1" applyAlignment="1">
      <alignment horizontal="center"/>
    </xf>
    <xf numFmtId="1" fontId="46" fillId="14" borderId="0" xfId="0" applyNumberFormat="1" applyFont="1" applyFill="1" applyAlignment="1">
      <alignment horizontal="center" vertical="center"/>
    </xf>
    <xf numFmtId="1" fontId="47" fillId="14" borderId="0" xfId="0" applyNumberFormat="1" applyFont="1" applyFill="1" applyAlignment="1">
      <alignment horizontal="center" vertical="center"/>
    </xf>
    <xf numFmtId="0" fontId="46" fillId="0" borderId="0" xfId="0" applyFont="1" applyAlignment="1">
      <alignment horizontal="left" vertical="center"/>
    </xf>
    <xf numFmtId="0" fontId="46" fillId="0" borderId="0" xfId="0" applyFont="1" applyAlignment="1">
      <alignment horizontal="center" vertical="center" wrapText="1"/>
    </xf>
    <xf numFmtId="0" fontId="47" fillId="0" borderId="0" xfId="0" applyFont="1" applyAlignment="1">
      <alignment horizontal="left" vertical="top" wrapText="1"/>
    </xf>
    <xf numFmtId="1" fontId="47" fillId="14" borderId="5" xfId="0" applyNumberFormat="1" applyFont="1" applyFill="1" applyBorder="1" applyAlignment="1">
      <alignment horizontal="center" vertical="top"/>
    </xf>
    <xf numFmtId="3" fontId="47" fillId="14" borderId="5" xfId="0" applyNumberFormat="1" applyFont="1" applyFill="1" applyBorder="1" applyAlignment="1">
      <alignment horizontal="center" vertical="top"/>
    </xf>
    <xf numFmtId="0" fontId="46" fillId="14" borderId="5" xfId="0" applyFont="1" applyFill="1" applyBorder="1" applyAlignment="1">
      <alignment horizontal="center" vertical="top"/>
    </xf>
    <xf numFmtId="0" fontId="16" fillId="14" borderId="5" xfId="0" applyFont="1" applyFill="1" applyBorder="1" applyAlignment="1">
      <alignment horizontal="left" vertical="top" wrapText="1"/>
    </xf>
    <xf numFmtId="0" fontId="47" fillId="27" borderId="0" xfId="0" applyFont="1" applyFill="1" applyAlignment="1">
      <alignment horizontal="center"/>
    </xf>
    <xf numFmtId="0" fontId="46" fillId="27" borderId="0" xfId="0" applyFont="1" applyFill="1" applyAlignment="1">
      <alignment horizontal="left" wrapText="1"/>
    </xf>
    <xf numFmtId="1" fontId="47" fillId="28" borderId="0" xfId="0" applyNumberFormat="1" applyFont="1" applyFill="1" applyAlignment="1">
      <alignment horizontal="center" vertical="top"/>
    </xf>
    <xf numFmtId="3" fontId="47" fillId="28" borderId="0" xfId="0" applyNumberFormat="1" applyFont="1" applyFill="1" applyAlignment="1">
      <alignment horizontal="center" vertical="top"/>
    </xf>
    <xf numFmtId="0" fontId="46" fillId="28" borderId="0" xfId="0" applyFont="1" applyFill="1" applyAlignment="1">
      <alignment horizontal="center" vertical="top"/>
    </xf>
    <xf numFmtId="0" fontId="46" fillId="28" borderId="0" xfId="0" applyFont="1" applyFill="1" applyAlignment="1">
      <alignment horizontal="left" vertical="top" wrapText="1"/>
    </xf>
    <xf numFmtId="1" fontId="46" fillId="29" borderId="0" xfId="0" applyNumberFormat="1" applyFont="1" applyFill="1" applyAlignment="1">
      <alignment horizontal="center" vertical="top"/>
    </xf>
    <xf numFmtId="0" fontId="46" fillId="29" borderId="0" xfId="0" applyFont="1" applyFill="1" applyAlignment="1">
      <alignment horizontal="center" vertical="top"/>
    </xf>
    <xf numFmtId="0" fontId="46" fillId="29" borderId="0" xfId="0" applyFont="1" applyFill="1" applyAlignment="1">
      <alignment horizontal="left" vertical="top" wrapText="1"/>
    </xf>
    <xf numFmtId="1" fontId="46" fillId="29" borderId="0" xfId="0" applyNumberFormat="1" applyFont="1" applyFill="1" applyAlignment="1">
      <alignment horizontal="center"/>
    </xf>
    <xf numFmtId="1" fontId="47" fillId="29" borderId="0" xfId="0" applyNumberFormat="1" applyFont="1" applyFill="1" applyAlignment="1">
      <alignment horizontal="center" vertical="top"/>
    </xf>
    <xf numFmtId="3" fontId="47" fillId="29" borderId="0" xfId="0" applyNumberFormat="1" applyFont="1" applyFill="1" applyAlignment="1">
      <alignment horizontal="center" vertical="top"/>
    </xf>
    <xf numFmtId="1" fontId="47" fillId="30" borderId="0" xfId="0" applyNumberFormat="1" applyFont="1" applyFill="1" applyAlignment="1">
      <alignment horizontal="center" vertical="top"/>
    </xf>
    <xf numFmtId="0" fontId="46" fillId="30" borderId="0" xfId="0" applyFont="1" applyFill="1" applyAlignment="1">
      <alignment horizontal="center" vertical="top"/>
    </xf>
    <xf numFmtId="3" fontId="47" fillId="30" borderId="0" xfId="0" applyNumberFormat="1" applyFont="1" applyFill="1" applyAlignment="1">
      <alignment horizontal="center" vertical="top"/>
    </xf>
    <xf numFmtId="0" fontId="47" fillId="30" borderId="0" xfId="0" applyFont="1" applyFill="1" applyAlignment="1">
      <alignment horizontal="center" vertical="top"/>
    </xf>
    <xf numFmtId="0" fontId="47" fillId="31" borderId="0" xfId="0" applyFont="1" applyFill="1" applyAlignment="1">
      <alignment horizontal="left" vertical="top"/>
    </xf>
    <xf numFmtId="0" fontId="47" fillId="31" borderId="0" xfId="0" applyFont="1" applyFill="1" applyAlignment="1">
      <alignment horizontal="center" vertical="top" wrapText="1"/>
    </xf>
    <xf numFmtId="0" fontId="46" fillId="31" borderId="0" xfId="0" applyFont="1" applyFill="1" applyAlignment="1">
      <alignment horizontal="left" vertical="top" wrapText="1"/>
    </xf>
    <xf numFmtId="1" fontId="47" fillId="30" borderId="38" xfId="0" applyNumberFormat="1" applyFont="1" applyFill="1" applyBorder="1" applyAlignment="1">
      <alignment horizontal="center" vertical="top"/>
    </xf>
    <xf numFmtId="1" fontId="47" fillId="30" borderId="34" xfId="0" applyNumberFormat="1" applyFont="1" applyFill="1" applyBorder="1" applyAlignment="1">
      <alignment horizontal="center" vertical="top"/>
    </xf>
    <xf numFmtId="3" fontId="47" fillId="30" borderId="34" xfId="0" applyNumberFormat="1" applyFont="1" applyFill="1" applyBorder="1" applyAlignment="1">
      <alignment horizontal="center" vertical="top"/>
    </xf>
    <xf numFmtId="0" fontId="46" fillId="30" borderId="32" xfId="0" applyFont="1" applyFill="1" applyBorder="1" applyAlignment="1">
      <alignment horizontal="center" vertical="top" wrapText="1"/>
    </xf>
    <xf numFmtId="1" fontId="47" fillId="13" borderId="0" xfId="0" applyNumberFormat="1" applyFont="1" applyFill="1" applyAlignment="1">
      <alignment horizontal="center" vertical="top"/>
    </xf>
    <xf numFmtId="1" fontId="46" fillId="13" borderId="0" xfId="0" applyNumberFormat="1" applyFont="1" applyFill="1" applyAlignment="1">
      <alignment horizontal="center" vertical="top"/>
    </xf>
    <xf numFmtId="1" fontId="48" fillId="0" borderId="0" xfId="0" applyNumberFormat="1" applyFont="1" applyAlignment="1">
      <alignment horizontal="center" vertical="top"/>
    </xf>
    <xf numFmtId="0" fontId="49" fillId="27" borderId="0" xfId="0" applyFont="1" applyFill="1" applyAlignment="1">
      <alignment vertical="top"/>
    </xf>
    <xf numFmtId="0" fontId="47" fillId="14" borderId="33" xfId="0" applyFont="1" applyFill="1" applyBorder="1" applyAlignment="1">
      <alignment horizontal="center" vertical="top"/>
    </xf>
    <xf numFmtId="0" fontId="46" fillId="14" borderId="33" xfId="0" applyFont="1" applyFill="1" applyBorder="1" applyAlignment="1">
      <alignment horizontal="center" vertical="top"/>
    </xf>
    <xf numFmtId="0" fontId="46" fillId="30" borderId="0" xfId="0" applyFont="1" applyFill="1" applyAlignment="1">
      <alignment horizontal="center" vertical="top" wrapText="1"/>
    </xf>
    <xf numFmtId="0" fontId="47" fillId="13" borderId="0" xfId="0" applyFont="1" applyFill="1" applyAlignment="1">
      <alignment horizontal="center" vertical="top"/>
    </xf>
    <xf numFmtId="0" fontId="16" fillId="0" borderId="0" xfId="0" applyFont="1" applyAlignment="1">
      <alignment horizontal="left" vertical="top" wrapText="1"/>
    </xf>
    <xf numFmtId="1" fontId="47" fillId="32" borderId="0" xfId="0" applyNumberFormat="1" applyFont="1" applyFill="1" applyAlignment="1">
      <alignment horizontal="center" vertical="top"/>
    </xf>
    <xf numFmtId="3" fontId="47" fillId="32" borderId="0" xfId="0" applyNumberFormat="1" applyFont="1" applyFill="1" applyAlignment="1">
      <alignment horizontal="center" vertical="top"/>
    </xf>
    <xf numFmtId="0" fontId="47" fillId="0" borderId="0" xfId="0" applyFont="1" applyAlignment="1">
      <alignment horizontal="center" vertical="top"/>
    </xf>
    <xf numFmtId="0" fontId="46" fillId="32" borderId="0" xfId="0" applyFont="1" applyFill="1" applyAlignment="1">
      <alignment horizontal="left" vertical="top" wrapText="1"/>
    </xf>
    <xf numFmtId="0" fontId="46" fillId="32" borderId="0" xfId="0" applyFont="1" applyFill="1" applyAlignment="1">
      <alignment horizontal="center" vertical="top"/>
    </xf>
    <xf numFmtId="0" fontId="47" fillId="32" borderId="0" xfId="0" applyFont="1" applyFill="1" applyAlignment="1">
      <alignment horizontal="center" vertical="top"/>
    </xf>
    <xf numFmtId="0" fontId="50" fillId="32" borderId="0" xfId="0" applyFont="1" applyFill="1" applyAlignment="1">
      <alignment horizontal="left" vertical="top" wrapText="1"/>
    </xf>
    <xf numFmtId="1" fontId="48" fillId="0" borderId="48" xfId="0" applyNumberFormat="1" applyFont="1" applyBorder="1" applyAlignment="1">
      <alignment vertical="top"/>
    </xf>
    <xf numFmtId="1" fontId="48" fillId="0" borderId="48" xfId="0" applyNumberFormat="1" applyFont="1" applyBorder="1" applyAlignment="1">
      <alignment horizontal="right" vertical="top"/>
    </xf>
    <xf numFmtId="0" fontId="49" fillId="27"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32" xfId="0" applyNumberFormat="1" applyFont="1" applyBorder="1"/>
    <xf numFmtId="1" fontId="48" fillId="0" borderId="0" xfId="0" applyNumberFormat="1" applyFont="1" applyAlignment="1">
      <alignment vertical="top"/>
    </xf>
    <xf numFmtId="1" fontId="48" fillId="0" borderId="0" xfId="0" applyNumberFormat="1" applyFont="1" applyAlignment="1">
      <alignment horizontal="right" vertical="top"/>
    </xf>
    <xf numFmtId="0" fontId="49" fillId="27" borderId="3" xfId="0" applyFont="1" applyFill="1" applyBorder="1" applyAlignment="1">
      <alignment vertical="top"/>
    </xf>
    <xf numFmtId="1" fontId="51" fillId="0" borderId="0" xfId="0" applyNumberFormat="1" applyFont="1"/>
    <xf numFmtId="1" fontId="46" fillId="32" borderId="0" xfId="0" applyNumberFormat="1" applyFont="1" applyFill="1" applyAlignment="1">
      <alignment horizontal="center"/>
    </xf>
    <xf numFmtId="0" fontId="47" fillId="27" borderId="0" xfId="0" applyFont="1" applyFill="1" applyAlignment="1">
      <alignment horizontal="center" vertical="center"/>
    </xf>
    <xf numFmtId="0" fontId="46" fillId="27" borderId="0" xfId="0" applyFont="1" applyFill="1" applyAlignment="1">
      <alignment horizontal="left" vertical="center" wrapText="1"/>
    </xf>
    <xf numFmtId="1" fontId="47" fillId="6" borderId="0" xfId="0" applyNumberFormat="1" applyFont="1" applyFill="1" applyAlignment="1">
      <alignment horizontal="center" vertical="top"/>
    </xf>
    <xf numFmtId="0" fontId="46" fillId="6" borderId="0" xfId="0" applyFont="1" applyFill="1" applyAlignment="1">
      <alignment horizontal="center" vertical="top"/>
    </xf>
    <xf numFmtId="0" fontId="51" fillId="0" borderId="0" xfId="0" applyFont="1"/>
    <xf numFmtId="0" fontId="2" fillId="14"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1" fillId="0" borderId="0" xfId="0" applyNumberFormat="1" applyFont="1"/>
    <xf numFmtId="2" fontId="51" fillId="0" borderId="0" xfId="0" applyNumberFormat="1" applyFont="1"/>
    <xf numFmtId="0" fontId="52"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3" fillId="0" borderId="0" xfId="0" applyFont="1" applyAlignment="1">
      <alignment horizontal="left" vertical="top"/>
    </xf>
    <xf numFmtId="0" fontId="12" fillId="0" borderId="0" xfId="0" applyFont="1" applyAlignment="1">
      <alignment horizontal="left"/>
    </xf>
    <xf numFmtId="0" fontId="54"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5" fillId="0" borderId="0" xfId="0" applyFont="1" applyAlignment="1">
      <alignment horizontal="right" vertical="top"/>
    </xf>
    <xf numFmtId="3" fontId="41" fillId="0" borderId="0" xfId="0" applyNumberFormat="1" applyFont="1"/>
    <xf numFmtId="3" fontId="56" fillId="0" borderId="0" xfId="0" applyNumberFormat="1" applyFont="1" applyAlignment="1">
      <alignment horizontal="right" vertical="top"/>
    </xf>
    <xf numFmtId="0" fontId="57" fillId="36" borderId="0" xfId="0" applyFont="1" applyFill="1" applyAlignment="1">
      <alignment horizontal="right"/>
    </xf>
    <xf numFmtId="0" fontId="58" fillId="0" borderId="0" xfId="0" applyFont="1"/>
    <xf numFmtId="0" fontId="47" fillId="0" borderId="0" xfId="0" applyFont="1" applyAlignment="1">
      <alignment horizontal="right"/>
    </xf>
    <xf numFmtId="165" fontId="59" fillId="0" borderId="0" xfId="0" applyNumberFormat="1" applyFont="1" applyAlignment="1">
      <alignment horizontal="right" vertical="top"/>
    </xf>
    <xf numFmtId="165" fontId="57" fillId="36" borderId="0" xfId="0" applyNumberFormat="1" applyFont="1" applyFill="1" applyAlignment="1">
      <alignment horizontal="right"/>
    </xf>
    <xf numFmtId="3" fontId="7" fillId="0" borderId="0" xfId="0" applyNumberFormat="1" applyFont="1"/>
    <xf numFmtId="165" fontId="47" fillId="0" borderId="0" xfId="0" applyNumberFormat="1" applyFont="1" applyAlignment="1">
      <alignment horizontal="right"/>
    </xf>
    <xf numFmtId="3" fontId="47"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1" fillId="39" borderId="0" xfId="0" applyFont="1" applyFill="1"/>
    <xf numFmtId="0" fontId="7" fillId="39" borderId="0" xfId="0" applyFont="1" applyFill="1"/>
    <xf numFmtId="0" fontId="60"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60" fillId="0" borderId="0" xfId="0" applyFont="1"/>
    <xf numFmtId="1" fontId="8" fillId="0" borderId="0" xfId="0" applyNumberFormat="1" applyFont="1" applyAlignment="1">
      <alignment vertical="top"/>
    </xf>
    <xf numFmtId="0" fontId="7" fillId="0" borderId="0" xfId="0" applyFont="1" applyAlignment="1">
      <alignment horizontal="right"/>
    </xf>
    <xf numFmtId="0" fontId="41" fillId="0" borderId="0" xfId="0" applyFont="1" applyAlignment="1">
      <alignment horizontal="right"/>
    </xf>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1" fillId="10" borderId="0" xfId="0" applyFont="1" applyFill="1" applyAlignment="1">
      <alignment horizontal="right"/>
    </xf>
    <xf numFmtId="0" fontId="7" fillId="10" borderId="0" xfId="0" applyFont="1" applyFill="1" applyAlignment="1">
      <alignment horizontal="right"/>
    </xf>
    <xf numFmtId="0" fontId="57" fillId="0" borderId="0" xfId="0" applyFont="1"/>
    <xf numFmtId="170" fontId="55" fillId="0" borderId="0" xfId="0" applyNumberFormat="1" applyFont="1" applyAlignment="1">
      <alignment horizontal="right" vertical="top"/>
    </xf>
    <xf numFmtId="1" fontId="7" fillId="0" borderId="0" xfId="0" applyNumberFormat="1" applyFont="1"/>
    <xf numFmtId="0" fontId="41" fillId="44" borderId="0" xfId="0" applyFont="1" applyFill="1" applyAlignment="1">
      <alignment wrapText="1"/>
    </xf>
    <xf numFmtId="0" fontId="1" fillId="44" borderId="0" xfId="0" applyFont="1" applyFill="1"/>
    <xf numFmtId="0" fontId="41"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5" borderId="0" xfId="0" applyFont="1"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5" fillId="0" borderId="0" xfId="0" applyNumberFormat="1" applyFont="1" applyAlignment="1">
      <alignment horizontal="center"/>
    </xf>
    <xf numFmtId="0" fontId="2" fillId="0" borderId="25" xfId="0" applyFont="1" applyBorder="1" applyAlignment="1">
      <alignment horizontal="center"/>
    </xf>
    <xf numFmtId="168" fontId="1" fillId="0" borderId="23"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4" xfId="0" applyNumberFormat="1" applyFont="1" applyBorder="1" applyAlignment="1">
      <alignment horizontal="center" vertic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 fillId="0" borderId="17" xfId="0" applyNumberFormat="1" applyFont="1" applyBorder="1" applyAlignment="1">
      <alignment horizontal="left" indent="1"/>
    </xf>
    <xf numFmtId="0" fontId="20"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12" fillId="13" borderId="2" xfId="0" applyFont="1" applyFill="1" applyBorder="1" applyAlignment="1">
      <alignment horizontal="center"/>
    </xf>
    <xf numFmtId="0" fontId="12" fillId="13" borderId="6" xfId="0" applyFont="1" applyFill="1" applyBorder="1" applyAlignment="1">
      <alignment horizontal="center"/>
    </xf>
    <xf numFmtId="0" fontId="12" fillId="13" borderId="1" xfId="0" applyFont="1" applyFill="1" applyBorder="1" applyAlignment="1">
      <alignment horizontal="center"/>
    </xf>
    <xf numFmtId="0" fontId="12" fillId="13" borderId="4" xfId="0" applyFont="1" applyFill="1" applyBorder="1" applyAlignment="1">
      <alignment horizontal="center"/>
    </xf>
    <xf numFmtId="0" fontId="12" fillId="13" borderId="7" xfId="0" applyFont="1" applyFill="1" applyBorder="1" applyAlignment="1">
      <alignment horizontal="center"/>
    </xf>
    <xf numFmtId="0" fontId="12" fillId="13" borderId="8" xfId="0" applyFont="1" applyFill="1" applyBorder="1" applyAlignment="1">
      <alignment horizontal="center"/>
    </xf>
    <xf numFmtId="0" fontId="4" fillId="7" borderId="2" xfId="0" applyFont="1" applyFill="1" applyBorder="1" applyAlignment="1">
      <alignment horizontal="center"/>
    </xf>
    <xf numFmtId="0" fontId="4" fillId="7" borderId="33" xfId="0" applyFont="1" applyFill="1" applyBorder="1" applyAlignment="1">
      <alignment horizontal="center"/>
    </xf>
    <xf numFmtId="0" fontId="4" fillId="7" borderId="6" xfId="0" applyFont="1" applyFill="1" applyBorder="1" applyAlignment="1">
      <alignment horizontal="center"/>
    </xf>
    <xf numFmtId="0" fontId="4" fillId="13" borderId="2" xfId="0" applyFont="1" applyFill="1" applyBorder="1" applyAlignment="1">
      <alignment horizontal="center"/>
    </xf>
    <xf numFmtId="0" fontId="4" fillId="13" borderId="5" xfId="0" applyFont="1" applyFill="1" applyBorder="1" applyAlignment="1">
      <alignment horizontal="center"/>
    </xf>
    <xf numFmtId="0" fontId="4" fillId="13" borderId="6" xfId="0" applyFont="1" applyFill="1" applyBorder="1" applyAlignment="1">
      <alignment horizontal="center"/>
    </xf>
    <xf numFmtId="0" fontId="4" fillId="13" borderId="0" xfId="0" applyFont="1" applyFill="1" applyAlignment="1">
      <alignment horizontal="right"/>
    </xf>
    <xf numFmtId="0" fontId="12" fillId="7" borderId="2" xfId="0" applyFont="1" applyFill="1" applyBorder="1" applyAlignment="1">
      <alignment horizontal="center"/>
    </xf>
    <xf numFmtId="0" fontId="12" fillId="7" borderId="33" xfId="0" applyFont="1" applyFill="1" applyBorder="1" applyAlignment="1">
      <alignment horizontal="center"/>
    </xf>
    <xf numFmtId="0" fontId="12" fillId="7" borderId="34" xfId="0" applyFont="1" applyFill="1" applyBorder="1" applyAlignment="1">
      <alignment horizontal="center"/>
    </xf>
    <xf numFmtId="0" fontId="12" fillId="7" borderId="6" xfId="0" applyFont="1" applyFill="1" applyBorder="1" applyAlignment="1">
      <alignment horizontal="center"/>
    </xf>
    <xf numFmtId="0" fontId="12" fillId="13" borderId="3" xfId="0" applyFont="1" applyFill="1" applyBorder="1" applyAlignment="1">
      <alignment horizontal="center"/>
    </xf>
    <xf numFmtId="0" fontId="12" fillId="13" borderId="0" xfId="0" applyFont="1" applyFill="1" applyAlignment="1">
      <alignment horizontal="center"/>
    </xf>
    <xf numFmtId="0" fontId="4" fillId="7" borderId="5"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13" borderId="2" xfId="0" applyFont="1" applyFill="1" applyBorder="1" applyAlignment="1">
      <alignment horizontal="right"/>
    </xf>
    <xf numFmtId="0" fontId="4" fillId="13" borderId="33" xfId="0" applyFont="1" applyFill="1" applyBorder="1" applyAlignment="1">
      <alignment horizontal="right"/>
    </xf>
    <xf numFmtId="0" fontId="4" fillId="0" borderId="4" xfId="0" applyFont="1" applyBorder="1" applyAlignment="1">
      <alignment horizontal="center" wrapText="1"/>
    </xf>
    <xf numFmtId="0" fontId="12" fillId="7" borderId="7" xfId="0" applyFont="1" applyFill="1" applyBorder="1" applyAlignment="1">
      <alignment horizontal="center"/>
    </xf>
    <xf numFmtId="0" fontId="12" fillId="7" borderId="3"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8" borderId="38" xfId="0" applyFont="1" applyFill="1" applyBorder="1" applyAlignment="1">
      <alignment horizontal="center" vertical="center" wrapText="1"/>
    </xf>
    <xf numFmtId="0" fontId="12" fillId="8" borderId="34"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12" fillId="8"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13" borderId="33"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38" xfId="0" applyFont="1" applyFill="1" applyBorder="1" applyAlignment="1">
      <alignment horizontal="center"/>
    </xf>
    <xf numFmtId="0" fontId="12" fillId="7" borderId="32" xfId="0" applyFont="1" applyFill="1" applyBorder="1" applyAlignment="1">
      <alignment horizontal="center"/>
    </xf>
    <xf numFmtId="0" fontId="12" fillId="0" borderId="0" xfId="0" applyFont="1" applyAlignment="1">
      <alignment horizontal="left" wrapText="1"/>
    </xf>
    <xf numFmtId="0" fontId="12" fillId="14" borderId="0" xfId="0" applyFont="1" applyFill="1" applyAlignment="1">
      <alignment horizontal="center"/>
    </xf>
    <xf numFmtId="0" fontId="12" fillId="13" borderId="5" xfId="0" applyFont="1" applyFill="1" applyBorder="1" applyAlignment="1">
      <alignment horizontal="center"/>
    </xf>
    <xf numFmtId="0" fontId="12" fillId="13" borderId="2" xfId="0" applyFont="1" applyFill="1" applyBorder="1" applyAlignment="1">
      <alignment horizontal="center" vertical="center"/>
    </xf>
    <xf numFmtId="0" fontId="12" fillId="13" borderId="6"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4" xfId="0" applyFont="1" applyFill="1" applyBorder="1" applyAlignment="1">
      <alignment horizontal="center" vertical="center"/>
    </xf>
    <xf numFmtId="0" fontId="4" fillId="13" borderId="2" xfId="0" applyFont="1" applyFill="1" applyBorder="1" applyAlignment="1">
      <alignment horizontal="center" vertical="center"/>
    </xf>
    <xf numFmtId="0" fontId="4" fillId="13" borderId="5" xfId="0" applyFont="1" applyFill="1" applyBorder="1" applyAlignment="1">
      <alignment horizontal="center" vertical="center"/>
    </xf>
    <xf numFmtId="0" fontId="4" fillId="13" borderId="6" xfId="0" applyFont="1" applyFill="1" applyBorder="1" applyAlignment="1">
      <alignment horizontal="center" vertical="center"/>
    </xf>
    <xf numFmtId="0" fontId="4" fillId="13" borderId="3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0" xfId="0" applyFont="1" applyFill="1" applyAlignment="1">
      <alignment horizontal="center" vertic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8" borderId="1" xfId="0" applyFont="1" applyFill="1" applyBorder="1" applyAlignment="1">
      <alignment horizontal="left" vertical="top" wrapText="1" indent="3"/>
    </xf>
    <xf numFmtId="0" fontId="4" fillId="8" borderId="0" xfId="0" applyFont="1" applyFill="1" applyAlignment="1">
      <alignment horizontal="left" vertical="top" wrapText="1" indent="3"/>
    </xf>
    <xf numFmtId="0" fontId="4" fillId="8"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8" borderId="1" xfId="0" applyFont="1" applyFill="1" applyBorder="1" applyAlignment="1">
      <alignment horizontal="left" wrapText="1" indent="3"/>
    </xf>
    <xf numFmtId="0" fontId="4" fillId="8" borderId="0" xfId="0" applyFont="1" applyFill="1" applyAlignment="1">
      <alignment horizontal="left" wrapText="1" indent="3"/>
    </xf>
    <xf numFmtId="0" fontId="4" fillId="8"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28" fillId="0" borderId="0" xfId="0" applyFont="1" applyAlignment="1">
      <alignment horizontal="left" vertical="top" wrapText="1"/>
    </xf>
    <xf numFmtId="0" fontId="12" fillId="0" borderId="0" xfId="0" applyFont="1" applyAlignment="1">
      <alignment horizontal="center" vertical="top" wrapText="1"/>
    </xf>
    <xf numFmtId="0" fontId="30" fillId="0" borderId="0" xfId="0" applyFont="1" applyAlignment="1">
      <alignment horizontal="left" vertical="top" wrapText="1"/>
    </xf>
    <xf numFmtId="0" fontId="4" fillId="13" borderId="5" xfId="0" applyFont="1" applyFill="1" applyBorder="1" applyAlignment="1">
      <alignment horizontal="right"/>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3" borderId="2" xfId="0" applyFont="1" applyFill="1" applyBorder="1" applyAlignment="1">
      <alignment horizontal="center" wrapText="1"/>
    </xf>
    <xf numFmtId="0" fontId="12" fillId="13" borderId="6"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12" fillId="8" borderId="0" xfId="0" applyFont="1" applyFill="1" applyAlignment="1">
      <alignment horizontal="center"/>
    </xf>
    <xf numFmtId="0" fontId="12" fillId="13" borderId="32" xfId="0" applyFont="1" applyFill="1" applyBorder="1" applyAlignment="1">
      <alignment horizontal="center"/>
    </xf>
    <xf numFmtId="0" fontId="1" fillId="0" borderId="0" xfId="0" applyFont="1" applyAlignment="1">
      <alignment horizontal="center" wrapText="1"/>
    </xf>
    <xf numFmtId="0" fontId="12" fillId="0" borderId="38" xfId="0" applyFont="1" applyBorder="1" applyAlignment="1">
      <alignment horizontal="center"/>
    </xf>
    <xf numFmtId="0" fontId="12" fillId="0" borderId="34" xfId="0" applyFont="1" applyBorder="1" applyAlignment="1">
      <alignment horizontal="center"/>
    </xf>
    <xf numFmtId="0" fontId="12" fillId="0" borderId="32" xfId="0" applyFont="1" applyBorder="1" applyAlignment="1">
      <alignment horizontal="center"/>
    </xf>
    <xf numFmtId="0" fontId="12" fillId="13" borderId="7" xfId="0" applyFont="1" applyFill="1" applyBorder="1" applyAlignment="1">
      <alignment horizontal="center" wrapText="1"/>
    </xf>
    <xf numFmtId="0" fontId="12" fillId="13" borderId="3" xfId="0" applyFont="1" applyFill="1" applyBorder="1" applyAlignment="1">
      <alignment horizontal="center" wrapText="1"/>
    </xf>
    <xf numFmtId="0" fontId="12" fillId="13" borderId="8" xfId="0" applyFont="1" applyFill="1" applyBorder="1" applyAlignment="1">
      <alignment horizontal="center" wrapText="1"/>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5" fillId="0" borderId="3" xfId="0" applyFont="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3" fillId="18" borderId="1" xfId="0" applyFont="1" applyFill="1" applyBorder="1" applyAlignment="1">
      <alignment horizontal="center"/>
    </xf>
    <xf numFmtId="0" fontId="3" fillId="18" borderId="0" xfId="0" applyFont="1" applyFill="1" applyAlignment="1">
      <alignment horizontal="center"/>
    </xf>
    <xf numFmtId="0" fontId="22" fillId="0" borderId="3" xfId="0" applyFont="1" applyBorder="1" applyAlignment="1">
      <alignment horizontal="left" vertical="top" wrapText="1"/>
    </xf>
    <xf numFmtId="0" fontId="22" fillId="0" borderId="7" xfId="0" applyFont="1" applyBorder="1" applyAlignment="1">
      <alignment horizontal="center"/>
    </xf>
    <xf numFmtId="0" fontId="22" fillId="0" borderId="3" xfId="0" applyFont="1" applyBorder="1" applyAlignment="1">
      <alignment horizontal="center"/>
    </xf>
    <xf numFmtId="0" fontId="22" fillId="0" borderId="8" xfId="0" applyFont="1" applyBorder="1" applyAlignment="1">
      <alignment horizontal="center"/>
    </xf>
    <xf numFmtId="0" fontId="1" fillId="0" borderId="0" xfId="0" applyFont="1" applyAlignment="1">
      <alignment horizontal="left" vertical="top" wrapText="1"/>
    </xf>
    <xf numFmtId="0" fontId="2" fillId="13" borderId="2" xfId="0" applyFont="1" applyFill="1" applyBorder="1" applyAlignment="1">
      <alignment horizontal="center" wrapText="1"/>
    </xf>
    <xf numFmtId="0" fontId="2" fillId="13" borderId="5" xfId="0" applyFont="1" applyFill="1" applyBorder="1" applyAlignment="1">
      <alignment horizontal="center" wrapText="1"/>
    </xf>
    <xf numFmtId="0" fontId="2" fillId="13" borderId="1" xfId="0" applyFont="1" applyFill="1" applyBorder="1" applyAlignment="1">
      <alignment horizontal="center" wrapText="1"/>
    </xf>
    <xf numFmtId="0" fontId="2" fillId="13" borderId="0" xfId="0" applyFont="1" applyFill="1" applyAlignment="1">
      <alignment horizontal="center" wrapText="1"/>
    </xf>
    <xf numFmtId="0" fontId="1" fillId="13" borderId="2" xfId="0" applyFont="1" applyFill="1" applyBorder="1" applyAlignment="1">
      <alignment horizontal="center"/>
    </xf>
    <xf numFmtId="0" fontId="1" fillId="13" borderId="5" xfId="0" applyFont="1" applyFill="1" applyBorder="1" applyAlignment="1">
      <alignment horizontal="center"/>
    </xf>
    <xf numFmtId="0" fontId="1" fillId="13" borderId="2" xfId="0" applyFont="1" applyFill="1" applyBorder="1" applyAlignment="1">
      <alignment horizontal="center" wrapText="1"/>
    </xf>
    <xf numFmtId="0" fontId="1" fillId="13" borderId="5" xfId="0" applyFont="1" applyFill="1" applyBorder="1" applyAlignment="1">
      <alignment horizontal="center" wrapText="1"/>
    </xf>
    <xf numFmtId="0" fontId="1" fillId="13" borderId="6" xfId="0" applyFont="1" applyFill="1" applyBorder="1" applyAlignment="1">
      <alignment horizontal="center" wrapText="1"/>
    </xf>
    <xf numFmtId="0" fontId="44" fillId="13" borderId="2" xfId="0" applyFont="1" applyFill="1" applyBorder="1" applyAlignment="1">
      <alignment horizontal="center"/>
    </xf>
    <xf numFmtId="0" fontId="44" fillId="13" borderId="5" xfId="0" applyFont="1" applyFill="1" applyBorder="1" applyAlignment="1">
      <alignment horizontal="center"/>
    </xf>
    <xf numFmtId="0" fontId="44" fillId="13" borderId="6" xfId="0" applyFont="1" applyFill="1" applyBorder="1" applyAlignment="1">
      <alignment horizontal="center"/>
    </xf>
    <xf numFmtId="0" fontId="1" fillId="13" borderId="33" xfId="0" applyFont="1" applyFill="1" applyBorder="1" applyAlignment="1">
      <alignment horizontal="center"/>
    </xf>
    <xf numFmtId="0" fontId="1" fillId="13" borderId="6"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0" borderId="0" xfId="0" applyFont="1" applyFill="1" applyAlignment="1">
      <alignment horizontal="left" vertical="top" wrapText="1"/>
    </xf>
    <xf numFmtId="1" fontId="48" fillId="0" borderId="49" xfId="0" applyNumberFormat="1" applyFont="1" applyBorder="1" applyAlignment="1">
      <alignment horizontal="center" vertical="top"/>
    </xf>
    <xf numFmtId="1" fontId="48" fillId="0" borderId="0" xfId="0" applyNumberFormat="1" applyFont="1" applyAlignment="1">
      <alignment horizontal="center" vertical="top"/>
    </xf>
    <xf numFmtId="1" fontId="48" fillId="0" borderId="38" xfId="0" applyNumberFormat="1" applyFont="1" applyBorder="1" applyAlignment="1">
      <alignment horizontal="center" vertical="top"/>
    </xf>
    <xf numFmtId="1" fontId="48" fillId="0" borderId="34" xfId="0" applyNumberFormat="1" applyFont="1" applyBorder="1" applyAlignment="1">
      <alignment horizontal="center" vertical="top"/>
    </xf>
    <xf numFmtId="1" fontId="48" fillId="0" borderId="32"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10"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6350</xdr:colOff>
      <xdr:row>0</xdr:row>
      <xdr:rowOff>114300</xdr:rowOff>
    </xdr:from>
    <xdr:to>
      <xdr:col>15</xdr:col>
      <xdr:colOff>558800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561975</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561975</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8" name="Text Box 5" hidden="1">
          <a:extLst>
            <a:ext uri="{FF2B5EF4-FFF2-40B4-BE49-F238E27FC236}">
              <a16:creationId xmlns:a16="http://schemas.microsoft.com/office/drawing/2014/main" id="{32B19FAE-E3D7-9345-0DA7-3EE1F0EB5A3F}"/>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9" name="Text Box 4" hidden="1">
          <a:extLst>
            <a:ext uri="{FF2B5EF4-FFF2-40B4-BE49-F238E27FC236}">
              <a16:creationId xmlns:a16="http://schemas.microsoft.com/office/drawing/2014/main" id="{591ACBB3-0734-9E9F-4CC5-51ADA4948EE7}"/>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20" name="Text Box 5" hidden="1">
          <a:extLst>
            <a:ext uri="{FF2B5EF4-FFF2-40B4-BE49-F238E27FC236}">
              <a16:creationId xmlns:a16="http://schemas.microsoft.com/office/drawing/2014/main" id="{FAA84F7E-335A-D9F5-7BCD-B99F4352C438}"/>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21" name="Text Box 4" hidden="1">
          <a:extLst>
            <a:ext uri="{FF2B5EF4-FFF2-40B4-BE49-F238E27FC236}">
              <a16:creationId xmlns:a16="http://schemas.microsoft.com/office/drawing/2014/main" id="{5BDD403E-89FC-9E72-27BD-7633290CC53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7" name="Text Box 11" hidden="1">
          <a:extLst>
            <a:ext uri="{FF2B5EF4-FFF2-40B4-BE49-F238E27FC236}">
              <a16:creationId xmlns:a16="http://schemas.microsoft.com/office/drawing/2014/main" id="{D0DBDB4F-B509-73E8-939C-3B4C13D1A2E1}"/>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8" name="Text Box 12" hidden="1">
          <a:extLst>
            <a:ext uri="{FF2B5EF4-FFF2-40B4-BE49-F238E27FC236}">
              <a16:creationId xmlns:a16="http://schemas.microsoft.com/office/drawing/2014/main" id="{EA9039A9-6B2B-E9F2-7308-93C60A41070B}"/>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1" name="Text Box 1" hidden="1">
          <a:extLst>
            <a:ext uri="{FF2B5EF4-FFF2-40B4-BE49-F238E27FC236}">
              <a16:creationId xmlns:a16="http://schemas.microsoft.com/office/drawing/2014/main" id="{39C1559E-4D8A-51DC-16B3-852E88736B3A}"/>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2" name="Text Box 2" hidden="1">
          <a:extLst>
            <a:ext uri="{FF2B5EF4-FFF2-40B4-BE49-F238E27FC236}">
              <a16:creationId xmlns:a16="http://schemas.microsoft.com/office/drawing/2014/main" id="{392F3915-6493-302B-8F54-7F85D173F089}"/>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91</xdr:row>
      <xdr:rowOff>717334</xdr:rowOff>
    </xdr:from>
    <xdr:to>
      <xdr:col>8</xdr:col>
      <xdr:colOff>278088</xdr:colOff>
      <xdr:row>91</xdr:row>
      <xdr:rowOff>717334</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91</xdr:row>
      <xdr:rowOff>717334</xdr:rowOff>
    </xdr:from>
    <xdr:to>
      <xdr:col>11</xdr:col>
      <xdr:colOff>238504</xdr:colOff>
      <xdr:row>91</xdr:row>
      <xdr:rowOff>717334</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52</xdr:row>
      <xdr:rowOff>171674</xdr:rowOff>
    </xdr:from>
    <xdr:to>
      <xdr:col>1</xdr:col>
      <xdr:colOff>4259019</xdr:colOff>
      <xdr:row>54</xdr:row>
      <xdr:rowOff>275393</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91</xdr:row>
      <xdr:rowOff>717334</xdr:rowOff>
    </xdr:from>
    <xdr:to>
      <xdr:col>8</xdr:col>
      <xdr:colOff>278088</xdr:colOff>
      <xdr:row>91</xdr:row>
      <xdr:rowOff>717334</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91</xdr:row>
      <xdr:rowOff>717334</xdr:rowOff>
    </xdr:from>
    <xdr:to>
      <xdr:col>11</xdr:col>
      <xdr:colOff>238504</xdr:colOff>
      <xdr:row>91</xdr:row>
      <xdr:rowOff>717334</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87179</xdr:rowOff>
    </xdr:from>
    <xdr:to>
      <xdr:col>8</xdr:col>
      <xdr:colOff>278088</xdr:colOff>
      <xdr:row>52</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52</xdr:row>
      <xdr:rowOff>87179</xdr:rowOff>
    </xdr:from>
    <xdr:to>
      <xdr:col>11</xdr:col>
      <xdr:colOff>238504</xdr:colOff>
      <xdr:row>52</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278088</xdr:colOff>
      <xdr:row>74</xdr:row>
      <xdr:rowOff>76772</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76772</xdr:rowOff>
    </xdr:from>
    <xdr:to>
      <xdr:col>11</xdr:col>
      <xdr:colOff>238504</xdr:colOff>
      <xdr:row>74</xdr:row>
      <xdr:rowOff>76772</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278088</xdr:colOff>
      <xdr:row>74</xdr:row>
      <xdr:rowOff>76772</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76772</xdr:rowOff>
    </xdr:from>
    <xdr:to>
      <xdr:col>11</xdr:col>
      <xdr:colOff>238504</xdr:colOff>
      <xdr:row>74</xdr:row>
      <xdr:rowOff>76772</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278088</xdr:colOff>
      <xdr:row>74</xdr:row>
      <xdr:rowOff>76772</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76772</xdr:rowOff>
    </xdr:from>
    <xdr:to>
      <xdr:col>11</xdr:col>
      <xdr:colOff>238504</xdr:colOff>
      <xdr:row>74</xdr:row>
      <xdr:rowOff>76772</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278088</xdr:colOff>
      <xdr:row>74</xdr:row>
      <xdr:rowOff>76772</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76772</xdr:rowOff>
    </xdr:from>
    <xdr:to>
      <xdr:col>11</xdr:col>
      <xdr:colOff>238504</xdr:colOff>
      <xdr:row>74</xdr:row>
      <xdr:rowOff>76772</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256900</xdr:rowOff>
    </xdr:from>
    <xdr:to>
      <xdr:col>8</xdr:col>
      <xdr:colOff>278088</xdr:colOff>
      <xdr:row>74</xdr:row>
      <xdr:rowOff>256900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256900</xdr:rowOff>
    </xdr:from>
    <xdr:to>
      <xdr:col>11</xdr:col>
      <xdr:colOff>238504</xdr:colOff>
      <xdr:row>74</xdr:row>
      <xdr:rowOff>256900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256900</xdr:rowOff>
    </xdr:from>
    <xdr:to>
      <xdr:col>8</xdr:col>
      <xdr:colOff>278088</xdr:colOff>
      <xdr:row>74</xdr:row>
      <xdr:rowOff>256900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74</xdr:row>
      <xdr:rowOff>256900</xdr:rowOff>
    </xdr:from>
    <xdr:to>
      <xdr:col>11</xdr:col>
      <xdr:colOff>238504</xdr:colOff>
      <xdr:row>74</xdr:row>
      <xdr:rowOff>256900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74</xdr:row>
      <xdr:rowOff>256900</xdr:rowOff>
    </xdr:from>
    <xdr:to>
      <xdr:col>8</xdr:col>
      <xdr:colOff>287976</xdr:colOff>
      <xdr:row>74</xdr:row>
      <xdr:rowOff>256900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74</xdr:row>
      <xdr:rowOff>256900</xdr:rowOff>
    </xdr:from>
    <xdr:to>
      <xdr:col>11</xdr:col>
      <xdr:colOff>248392</xdr:colOff>
      <xdr:row>74</xdr:row>
      <xdr:rowOff>256900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74</xdr:row>
      <xdr:rowOff>256900</xdr:rowOff>
    </xdr:from>
    <xdr:to>
      <xdr:col>8</xdr:col>
      <xdr:colOff>287976</xdr:colOff>
      <xdr:row>74</xdr:row>
      <xdr:rowOff>256900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74</xdr:row>
      <xdr:rowOff>256900</xdr:rowOff>
    </xdr:from>
    <xdr:to>
      <xdr:col>11</xdr:col>
      <xdr:colOff>248392</xdr:colOff>
      <xdr:row>74</xdr:row>
      <xdr:rowOff>256900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74</xdr:row>
      <xdr:rowOff>117858</xdr:rowOff>
    </xdr:from>
    <xdr:to>
      <xdr:col>8</xdr:col>
      <xdr:colOff>257496</xdr:colOff>
      <xdr:row>74</xdr:row>
      <xdr:rowOff>117858</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74</xdr:row>
      <xdr:rowOff>117858</xdr:rowOff>
    </xdr:from>
    <xdr:to>
      <xdr:col>11</xdr:col>
      <xdr:colOff>211562</xdr:colOff>
      <xdr:row>74</xdr:row>
      <xdr:rowOff>117858</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31935</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117858</xdr:rowOff>
    </xdr:from>
    <xdr:to>
      <xdr:col>8</xdr:col>
      <xdr:colOff>249876</xdr:colOff>
      <xdr:row>74</xdr:row>
      <xdr:rowOff>117858</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117858</xdr:rowOff>
    </xdr:from>
    <xdr:to>
      <xdr:col>11</xdr:col>
      <xdr:colOff>210292</xdr:colOff>
      <xdr:row>74</xdr:row>
      <xdr:rowOff>117858</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11615</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117858</xdr:rowOff>
    </xdr:from>
    <xdr:to>
      <xdr:col>8</xdr:col>
      <xdr:colOff>249876</xdr:colOff>
      <xdr:row>74</xdr:row>
      <xdr:rowOff>117858</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117858</xdr:rowOff>
    </xdr:from>
    <xdr:to>
      <xdr:col>11</xdr:col>
      <xdr:colOff>210292</xdr:colOff>
      <xdr:row>74</xdr:row>
      <xdr:rowOff>117858</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11615</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118435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118435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118435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74</xdr:row>
      <xdr:rowOff>309722</xdr:rowOff>
    </xdr:from>
    <xdr:to>
      <xdr:col>8</xdr:col>
      <xdr:colOff>249876</xdr:colOff>
      <xdr:row>74</xdr:row>
      <xdr:rowOff>309722</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309722</xdr:rowOff>
    </xdr:from>
    <xdr:to>
      <xdr:col>11</xdr:col>
      <xdr:colOff>210292</xdr:colOff>
      <xdr:row>74</xdr:row>
      <xdr:rowOff>309722</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6717</xdr:rowOff>
    </xdr:from>
    <xdr:to>
      <xdr:col>19</xdr:col>
      <xdr:colOff>591292</xdr:colOff>
      <xdr:row>74</xdr:row>
      <xdr:rowOff>126690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64</xdr:row>
      <xdr:rowOff>36291</xdr:rowOff>
    </xdr:from>
    <xdr:to>
      <xdr:col>8</xdr:col>
      <xdr:colOff>249876</xdr:colOff>
      <xdr:row>64</xdr:row>
      <xdr:rowOff>36291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64</xdr:row>
      <xdr:rowOff>36291</xdr:rowOff>
    </xdr:from>
    <xdr:to>
      <xdr:col>8</xdr:col>
      <xdr:colOff>249876</xdr:colOff>
      <xdr:row>64</xdr:row>
      <xdr:rowOff>36291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64</xdr:row>
      <xdr:rowOff>36291</xdr:rowOff>
    </xdr:from>
    <xdr:to>
      <xdr:col>8</xdr:col>
      <xdr:colOff>249876</xdr:colOff>
      <xdr:row>64</xdr:row>
      <xdr:rowOff>36291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64</xdr:row>
      <xdr:rowOff>36291</xdr:rowOff>
    </xdr:from>
    <xdr:to>
      <xdr:col>8</xdr:col>
      <xdr:colOff>249876</xdr:colOff>
      <xdr:row>64</xdr:row>
      <xdr:rowOff>36291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64</xdr:row>
      <xdr:rowOff>75010</xdr:rowOff>
    </xdr:from>
    <xdr:to>
      <xdr:col>8</xdr:col>
      <xdr:colOff>236599</xdr:colOff>
      <xdr:row>64</xdr:row>
      <xdr:rowOff>75010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64</xdr:row>
      <xdr:rowOff>75010</xdr:rowOff>
    </xdr:from>
    <xdr:to>
      <xdr:col>11</xdr:col>
      <xdr:colOff>197015</xdr:colOff>
      <xdr:row>64</xdr:row>
      <xdr:rowOff>75010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80</xdr:row>
      <xdr:rowOff>153154</xdr:rowOff>
    </xdr:from>
    <xdr:to>
      <xdr:col>2</xdr:col>
      <xdr:colOff>10268</xdr:colOff>
      <xdr:row>80</xdr:row>
      <xdr:rowOff>153154</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60</xdr:row>
      <xdr:rowOff>103557</xdr:rowOff>
    </xdr:from>
    <xdr:to>
      <xdr:col>20</xdr:col>
      <xdr:colOff>654215</xdr:colOff>
      <xdr:row>62</xdr:row>
      <xdr:rowOff>234837</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60</xdr:row>
      <xdr:rowOff>103557</xdr:rowOff>
    </xdr:from>
    <xdr:to>
      <xdr:col>24</xdr:col>
      <xdr:colOff>654215</xdr:colOff>
      <xdr:row>62</xdr:row>
      <xdr:rowOff>234837</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60</xdr:row>
      <xdr:rowOff>103557</xdr:rowOff>
    </xdr:from>
    <xdr:to>
      <xdr:col>28</xdr:col>
      <xdr:colOff>654215</xdr:colOff>
      <xdr:row>62</xdr:row>
      <xdr:rowOff>234837</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64</xdr:row>
      <xdr:rowOff>75010</xdr:rowOff>
    </xdr:from>
    <xdr:to>
      <xdr:col>8</xdr:col>
      <xdr:colOff>236599</xdr:colOff>
      <xdr:row>64</xdr:row>
      <xdr:rowOff>75010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64</xdr:row>
      <xdr:rowOff>75010</xdr:rowOff>
    </xdr:from>
    <xdr:to>
      <xdr:col>11</xdr:col>
      <xdr:colOff>197015</xdr:colOff>
      <xdr:row>64</xdr:row>
      <xdr:rowOff>75010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80</xdr:row>
      <xdr:rowOff>153154</xdr:rowOff>
    </xdr:from>
    <xdr:to>
      <xdr:col>2</xdr:col>
      <xdr:colOff>10268</xdr:colOff>
      <xdr:row>80</xdr:row>
      <xdr:rowOff>153154</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60</xdr:row>
      <xdr:rowOff>103557</xdr:rowOff>
    </xdr:from>
    <xdr:to>
      <xdr:col>20</xdr:col>
      <xdr:colOff>654215</xdr:colOff>
      <xdr:row>62</xdr:row>
      <xdr:rowOff>234837</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60</xdr:row>
      <xdr:rowOff>103557</xdr:rowOff>
    </xdr:from>
    <xdr:to>
      <xdr:col>24</xdr:col>
      <xdr:colOff>654215</xdr:colOff>
      <xdr:row>62</xdr:row>
      <xdr:rowOff>234837</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60</xdr:row>
      <xdr:rowOff>103557</xdr:rowOff>
    </xdr:from>
    <xdr:to>
      <xdr:col>28</xdr:col>
      <xdr:colOff>654215</xdr:colOff>
      <xdr:row>62</xdr:row>
      <xdr:rowOff>234837</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23</xdr:col>
      <xdr:colOff>1223</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254187</xdr:rowOff>
    </xdr:from>
    <xdr:to>
      <xdr:col>8</xdr:col>
      <xdr:colOff>228600</xdr:colOff>
      <xdr:row>91</xdr:row>
      <xdr:rowOff>254187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254187</xdr:rowOff>
    </xdr:from>
    <xdr:to>
      <xdr:col>11</xdr:col>
      <xdr:colOff>190500</xdr:colOff>
      <xdr:row>91</xdr:row>
      <xdr:rowOff>254187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129489</xdr:rowOff>
    </xdr:from>
    <xdr:to>
      <xdr:col>1</xdr:col>
      <xdr:colOff>4724400</xdr:colOff>
      <xdr:row>179</xdr:row>
      <xdr:rowOff>174500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428874</xdr:rowOff>
    </xdr:from>
    <xdr:to>
      <xdr:col>20</xdr:col>
      <xdr:colOff>647700</xdr:colOff>
      <xdr:row>90</xdr:row>
      <xdr:rowOff>168773</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428874</xdr:rowOff>
    </xdr:from>
    <xdr:to>
      <xdr:col>24</xdr:col>
      <xdr:colOff>647700</xdr:colOff>
      <xdr:row>90</xdr:row>
      <xdr:rowOff>168773</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428874</xdr:rowOff>
    </xdr:from>
    <xdr:to>
      <xdr:col>28</xdr:col>
      <xdr:colOff>647700</xdr:colOff>
      <xdr:row>90</xdr:row>
      <xdr:rowOff>168773</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47625</xdr:rowOff>
    </xdr:from>
    <xdr:to>
      <xdr:col>2</xdr:col>
      <xdr:colOff>685800</xdr:colOff>
      <xdr:row>54</xdr:row>
      <xdr:rowOff>114922</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99421</xdr:rowOff>
    </xdr:from>
    <xdr:to>
      <xdr:col>21</xdr:col>
      <xdr:colOff>685800</xdr:colOff>
      <xdr:row>97</xdr:row>
      <xdr:rowOff>172820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99421</xdr:rowOff>
    </xdr:from>
    <xdr:to>
      <xdr:col>25</xdr:col>
      <xdr:colOff>685800</xdr:colOff>
      <xdr:row>97</xdr:row>
      <xdr:rowOff>172820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99421</xdr:rowOff>
    </xdr:from>
    <xdr:to>
      <xdr:col>29</xdr:col>
      <xdr:colOff>685800</xdr:colOff>
      <xdr:row>97</xdr:row>
      <xdr:rowOff>172820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254187</xdr:rowOff>
    </xdr:from>
    <xdr:to>
      <xdr:col>8</xdr:col>
      <xdr:colOff>228600</xdr:colOff>
      <xdr:row>91</xdr:row>
      <xdr:rowOff>254187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254187</xdr:rowOff>
    </xdr:from>
    <xdr:to>
      <xdr:col>11</xdr:col>
      <xdr:colOff>190500</xdr:colOff>
      <xdr:row>91</xdr:row>
      <xdr:rowOff>254187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129489</xdr:rowOff>
    </xdr:from>
    <xdr:to>
      <xdr:col>1</xdr:col>
      <xdr:colOff>4724400</xdr:colOff>
      <xdr:row>179</xdr:row>
      <xdr:rowOff>174500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428874</xdr:rowOff>
    </xdr:from>
    <xdr:to>
      <xdr:col>20</xdr:col>
      <xdr:colOff>647700</xdr:colOff>
      <xdr:row>90</xdr:row>
      <xdr:rowOff>168773</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428874</xdr:rowOff>
    </xdr:from>
    <xdr:to>
      <xdr:col>24</xdr:col>
      <xdr:colOff>647700</xdr:colOff>
      <xdr:row>90</xdr:row>
      <xdr:rowOff>168773</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428874</xdr:rowOff>
    </xdr:from>
    <xdr:to>
      <xdr:col>28</xdr:col>
      <xdr:colOff>647700</xdr:colOff>
      <xdr:row>90</xdr:row>
      <xdr:rowOff>168773</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47625</xdr:rowOff>
    </xdr:from>
    <xdr:to>
      <xdr:col>2</xdr:col>
      <xdr:colOff>685800</xdr:colOff>
      <xdr:row>54</xdr:row>
      <xdr:rowOff>114922</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99421</xdr:rowOff>
    </xdr:from>
    <xdr:to>
      <xdr:col>21</xdr:col>
      <xdr:colOff>685800</xdr:colOff>
      <xdr:row>97</xdr:row>
      <xdr:rowOff>172820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99421</xdr:rowOff>
    </xdr:from>
    <xdr:to>
      <xdr:col>25</xdr:col>
      <xdr:colOff>685800</xdr:colOff>
      <xdr:row>97</xdr:row>
      <xdr:rowOff>172820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99421</xdr:rowOff>
    </xdr:from>
    <xdr:to>
      <xdr:col>29</xdr:col>
      <xdr:colOff>685800</xdr:colOff>
      <xdr:row>97</xdr:row>
      <xdr:rowOff>172820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254187</xdr:rowOff>
    </xdr:from>
    <xdr:to>
      <xdr:col>8</xdr:col>
      <xdr:colOff>228600</xdr:colOff>
      <xdr:row>91</xdr:row>
      <xdr:rowOff>254187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254187</xdr:rowOff>
    </xdr:from>
    <xdr:to>
      <xdr:col>11</xdr:col>
      <xdr:colOff>190500</xdr:colOff>
      <xdr:row>91</xdr:row>
      <xdr:rowOff>254187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129489</xdr:rowOff>
    </xdr:from>
    <xdr:to>
      <xdr:col>1</xdr:col>
      <xdr:colOff>4724400</xdr:colOff>
      <xdr:row>179</xdr:row>
      <xdr:rowOff>174500</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428874</xdr:rowOff>
    </xdr:from>
    <xdr:to>
      <xdr:col>20</xdr:col>
      <xdr:colOff>647700</xdr:colOff>
      <xdr:row>90</xdr:row>
      <xdr:rowOff>168773</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428874</xdr:rowOff>
    </xdr:from>
    <xdr:to>
      <xdr:col>24</xdr:col>
      <xdr:colOff>647700</xdr:colOff>
      <xdr:row>90</xdr:row>
      <xdr:rowOff>168773</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428874</xdr:rowOff>
    </xdr:from>
    <xdr:to>
      <xdr:col>28</xdr:col>
      <xdr:colOff>647700</xdr:colOff>
      <xdr:row>90</xdr:row>
      <xdr:rowOff>168773</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47625</xdr:rowOff>
    </xdr:from>
    <xdr:to>
      <xdr:col>2</xdr:col>
      <xdr:colOff>685800</xdr:colOff>
      <xdr:row>54</xdr:row>
      <xdr:rowOff>114922</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99421</xdr:rowOff>
    </xdr:from>
    <xdr:to>
      <xdr:col>21</xdr:col>
      <xdr:colOff>685800</xdr:colOff>
      <xdr:row>97</xdr:row>
      <xdr:rowOff>172820</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99421</xdr:rowOff>
    </xdr:from>
    <xdr:to>
      <xdr:col>25</xdr:col>
      <xdr:colOff>685800</xdr:colOff>
      <xdr:row>97</xdr:row>
      <xdr:rowOff>172820</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99421</xdr:rowOff>
    </xdr:from>
    <xdr:to>
      <xdr:col>29</xdr:col>
      <xdr:colOff>685800</xdr:colOff>
      <xdr:row>97</xdr:row>
      <xdr:rowOff>172820</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958" name="Text Box 198" hidden="1">
          <a:extLst>
            <a:ext uri="{FF2B5EF4-FFF2-40B4-BE49-F238E27FC236}">
              <a16:creationId xmlns:a16="http://schemas.microsoft.com/office/drawing/2014/main" id="{09864E50-F4BF-DB46-37D1-E85444B03A1C}"/>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957" name="Text Box 197" hidden="1">
          <a:extLst>
            <a:ext uri="{FF2B5EF4-FFF2-40B4-BE49-F238E27FC236}">
              <a16:creationId xmlns:a16="http://schemas.microsoft.com/office/drawing/2014/main" id="{044E7E1E-AF9A-601D-6B27-814644E606E0}"/>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56" name="Text Box 196" hidden="1">
          <a:extLst>
            <a:ext uri="{FF2B5EF4-FFF2-40B4-BE49-F238E27FC236}">
              <a16:creationId xmlns:a16="http://schemas.microsoft.com/office/drawing/2014/main" id="{C5EB96AE-5F9C-7835-54DE-D78FD645110E}"/>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55" name="Text Box 195" hidden="1">
          <a:extLst>
            <a:ext uri="{FF2B5EF4-FFF2-40B4-BE49-F238E27FC236}">
              <a16:creationId xmlns:a16="http://schemas.microsoft.com/office/drawing/2014/main" id="{D8E3D7BC-6386-E9A8-5639-FC5C6F5B884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54" name="Text Box 194" hidden="1">
          <a:extLst>
            <a:ext uri="{FF2B5EF4-FFF2-40B4-BE49-F238E27FC236}">
              <a16:creationId xmlns:a16="http://schemas.microsoft.com/office/drawing/2014/main" id="{89D0312C-87F8-6A2D-77E3-74D97F7290BB}"/>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53" name="Text Box 193" hidden="1">
          <a:extLst>
            <a:ext uri="{FF2B5EF4-FFF2-40B4-BE49-F238E27FC236}">
              <a16:creationId xmlns:a16="http://schemas.microsoft.com/office/drawing/2014/main" id="{FBF12AED-8ABE-0A39-679C-642EA351DADC}"/>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952" name="Text Box 192" hidden="1">
          <a:extLst>
            <a:ext uri="{FF2B5EF4-FFF2-40B4-BE49-F238E27FC236}">
              <a16:creationId xmlns:a16="http://schemas.microsoft.com/office/drawing/2014/main" id="{0BF3C935-FD53-D0A0-5554-8E4C56A30F2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951" name="Text Box 191" hidden="1">
          <a:extLst>
            <a:ext uri="{FF2B5EF4-FFF2-40B4-BE49-F238E27FC236}">
              <a16:creationId xmlns:a16="http://schemas.microsoft.com/office/drawing/2014/main" id="{99E1AE6D-C4BA-1665-78AC-9E2A68D91AC2}"/>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950" name="Text Box 190" hidden="1">
          <a:extLst>
            <a:ext uri="{FF2B5EF4-FFF2-40B4-BE49-F238E27FC236}">
              <a16:creationId xmlns:a16="http://schemas.microsoft.com/office/drawing/2014/main" id="{D41D5622-C79F-5BDB-7579-88EFC89E4B74}"/>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949" name="Text Box 189" hidden="1">
          <a:extLst>
            <a:ext uri="{FF2B5EF4-FFF2-40B4-BE49-F238E27FC236}">
              <a16:creationId xmlns:a16="http://schemas.microsoft.com/office/drawing/2014/main" id="{139B93FE-6657-8983-14F4-F0A880E1086A}"/>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48" name="Text Box 188" hidden="1">
          <a:extLst>
            <a:ext uri="{FF2B5EF4-FFF2-40B4-BE49-F238E27FC236}">
              <a16:creationId xmlns:a16="http://schemas.microsoft.com/office/drawing/2014/main" id="{76CD80ED-F3B1-80B0-5DFB-D635030EF0B2}"/>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947" name="Text Box 187" hidden="1">
          <a:extLst>
            <a:ext uri="{FF2B5EF4-FFF2-40B4-BE49-F238E27FC236}">
              <a16:creationId xmlns:a16="http://schemas.microsoft.com/office/drawing/2014/main" id="{FA86C211-FB4D-243B-81A8-0C62F48D8A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946" name="Text Box 186" hidden="1">
          <a:extLst>
            <a:ext uri="{FF2B5EF4-FFF2-40B4-BE49-F238E27FC236}">
              <a16:creationId xmlns:a16="http://schemas.microsoft.com/office/drawing/2014/main" id="{33DA4B3B-2D6A-8F85-6D31-997E4F3C37E4}"/>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945" name="Text Box 185" hidden="1">
          <a:extLst>
            <a:ext uri="{FF2B5EF4-FFF2-40B4-BE49-F238E27FC236}">
              <a16:creationId xmlns:a16="http://schemas.microsoft.com/office/drawing/2014/main" id="{C5647AFC-1865-6BDD-7BD7-1C3312F50CF5}"/>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944" name="Text Box 184" hidden="1">
          <a:extLst>
            <a:ext uri="{FF2B5EF4-FFF2-40B4-BE49-F238E27FC236}">
              <a16:creationId xmlns:a16="http://schemas.microsoft.com/office/drawing/2014/main" id="{A3DCAC3A-2188-1B44-5FBE-CDF7A6A13AD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43" name="Text Box 183" hidden="1">
          <a:extLst>
            <a:ext uri="{FF2B5EF4-FFF2-40B4-BE49-F238E27FC236}">
              <a16:creationId xmlns:a16="http://schemas.microsoft.com/office/drawing/2014/main" id="{80B40D6B-1007-721D-D75C-C7179028671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42" name="Text Box 182" hidden="1">
          <a:extLst>
            <a:ext uri="{FF2B5EF4-FFF2-40B4-BE49-F238E27FC236}">
              <a16:creationId xmlns:a16="http://schemas.microsoft.com/office/drawing/2014/main" id="{4390B42C-DF65-2168-1DDA-0EB692C88F1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941" name="Text Box 181" hidden="1">
          <a:extLst>
            <a:ext uri="{FF2B5EF4-FFF2-40B4-BE49-F238E27FC236}">
              <a16:creationId xmlns:a16="http://schemas.microsoft.com/office/drawing/2014/main" id="{1E43E3E9-494D-B03D-468A-749253A777B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3976" name="Text Box 216" hidden="1">
          <a:extLst>
            <a:ext uri="{FF2B5EF4-FFF2-40B4-BE49-F238E27FC236}">
              <a16:creationId xmlns:a16="http://schemas.microsoft.com/office/drawing/2014/main" id="{CAF293F5-C13C-A445-5B94-6C61B7E8A24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3975" name="Text Box 215" hidden="1">
          <a:extLst>
            <a:ext uri="{FF2B5EF4-FFF2-40B4-BE49-F238E27FC236}">
              <a16:creationId xmlns:a16="http://schemas.microsoft.com/office/drawing/2014/main" id="{C632ACE2-1974-5B19-757C-1BA25600C1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74" name="Text Box 214" hidden="1">
          <a:extLst>
            <a:ext uri="{FF2B5EF4-FFF2-40B4-BE49-F238E27FC236}">
              <a16:creationId xmlns:a16="http://schemas.microsoft.com/office/drawing/2014/main" id="{279481FB-65BD-1BCE-7613-58290262CD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73" name="Text Box 213" hidden="1">
          <a:extLst>
            <a:ext uri="{FF2B5EF4-FFF2-40B4-BE49-F238E27FC236}">
              <a16:creationId xmlns:a16="http://schemas.microsoft.com/office/drawing/2014/main" id="{39FF1584-1D80-F082-366F-1426B46BC198}"/>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72" name="Text Box 212" hidden="1">
          <a:extLst>
            <a:ext uri="{FF2B5EF4-FFF2-40B4-BE49-F238E27FC236}">
              <a16:creationId xmlns:a16="http://schemas.microsoft.com/office/drawing/2014/main" id="{CDF73FE8-B0B8-9512-FE8A-6FDED377CFD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71" name="Text Box 211" hidden="1">
          <a:extLst>
            <a:ext uri="{FF2B5EF4-FFF2-40B4-BE49-F238E27FC236}">
              <a16:creationId xmlns:a16="http://schemas.microsoft.com/office/drawing/2014/main" id="{3C0997A2-240B-CA18-90B4-2CA67E618B62}"/>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3970" name="Text Box 210" hidden="1">
          <a:extLst>
            <a:ext uri="{FF2B5EF4-FFF2-40B4-BE49-F238E27FC236}">
              <a16:creationId xmlns:a16="http://schemas.microsoft.com/office/drawing/2014/main" id="{58AA5E60-57FF-F56A-E2A2-98B28002041B}"/>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3969" name="Text Box 209" hidden="1">
          <a:extLst>
            <a:ext uri="{FF2B5EF4-FFF2-40B4-BE49-F238E27FC236}">
              <a16:creationId xmlns:a16="http://schemas.microsoft.com/office/drawing/2014/main" id="{F66DE21D-249F-1153-10D6-22C097DA57F1}"/>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3968" name="Text Box 208" hidden="1">
          <a:extLst>
            <a:ext uri="{FF2B5EF4-FFF2-40B4-BE49-F238E27FC236}">
              <a16:creationId xmlns:a16="http://schemas.microsoft.com/office/drawing/2014/main" id="{FA57440F-2586-7D10-DFEC-1FDF49D8EB0C}"/>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3967" name="Text Box 207" hidden="1">
          <a:extLst>
            <a:ext uri="{FF2B5EF4-FFF2-40B4-BE49-F238E27FC236}">
              <a16:creationId xmlns:a16="http://schemas.microsoft.com/office/drawing/2014/main" id="{C4117911-F48E-332C-73C0-F54273309F7C}"/>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66" name="Text Box 206" hidden="1">
          <a:extLst>
            <a:ext uri="{FF2B5EF4-FFF2-40B4-BE49-F238E27FC236}">
              <a16:creationId xmlns:a16="http://schemas.microsoft.com/office/drawing/2014/main" id="{79F7C8C4-2270-8781-1018-239CF5F078EB}"/>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3965" name="Text Box 205" hidden="1">
          <a:extLst>
            <a:ext uri="{FF2B5EF4-FFF2-40B4-BE49-F238E27FC236}">
              <a16:creationId xmlns:a16="http://schemas.microsoft.com/office/drawing/2014/main" id="{ECCEFC9F-00DB-0D57-27F1-7C32485B8F5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3964" name="Text Box 204" hidden="1">
          <a:extLst>
            <a:ext uri="{FF2B5EF4-FFF2-40B4-BE49-F238E27FC236}">
              <a16:creationId xmlns:a16="http://schemas.microsoft.com/office/drawing/2014/main" id="{D4335A28-940B-F409-AE3C-192492777D5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3963" name="Text Box 203" hidden="1">
          <a:extLst>
            <a:ext uri="{FF2B5EF4-FFF2-40B4-BE49-F238E27FC236}">
              <a16:creationId xmlns:a16="http://schemas.microsoft.com/office/drawing/2014/main" id="{DE58FF3B-28EC-B078-7A92-02846E1E429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3962" name="Text Box 202" hidden="1">
          <a:extLst>
            <a:ext uri="{FF2B5EF4-FFF2-40B4-BE49-F238E27FC236}">
              <a16:creationId xmlns:a16="http://schemas.microsoft.com/office/drawing/2014/main" id="{B2E58C5A-6B18-D469-5B40-46445B3F1B6C}"/>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61" name="Text Box 201" hidden="1">
          <a:extLst>
            <a:ext uri="{FF2B5EF4-FFF2-40B4-BE49-F238E27FC236}">
              <a16:creationId xmlns:a16="http://schemas.microsoft.com/office/drawing/2014/main" id="{BA94193E-86A0-3B38-5346-CF344983770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60" name="Text Box 200" hidden="1">
          <a:extLst>
            <a:ext uri="{FF2B5EF4-FFF2-40B4-BE49-F238E27FC236}">
              <a16:creationId xmlns:a16="http://schemas.microsoft.com/office/drawing/2014/main" id="{5FEEBD44-1233-A3A3-3A2F-6691A2D39F01}"/>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3959" name="Text Box 199" hidden="1">
          <a:extLst>
            <a:ext uri="{FF2B5EF4-FFF2-40B4-BE49-F238E27FC236}">
              <a16:creationId xmlns:a16="http://schemas.microsoft.com/office/drawing/2014/main" id="{4D8C99D2-7AB1-03FE-78FB-AFDA32DC850D}"/>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156633</xdr:rowOff>
    </xdr:from>
    <xdr:to>
      <xdr:col>8</xdr:col>
      <xdr:colOff>228600</xdr:colOff>
      <xdr:row>98</xdr:row>
      <xdr:rowOff>156633</xdr:rowOff>
    </xdr:to>
    <xdr:sp macro="" textlink="">
      <xdr:nvSpPr>
        <xdr:cNvPr id="374805" name="Text Box 21" hidden="1">
          <a:extLst>
            <a:ext uri="{FF2B5EF4-FFF2-40B4-BE49-F238E27FC236}">
              <a16:creationId xmlns:a16="http://schemas.microsoft.com/office/drawing/2014/main" id="{D65DA039-B302-0FFA-5830-2D7E7613276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156633</xdr:rowOff>
    </xdr:from>
    <xdr:to>
      <xdr:col>11</xdr:col>
      <xdr:colOff>190500</xdr:colOff>
      <xdr:row>98</xdr:row>
      <xdr:rowOff>156633</xdr:rowOff>
    </xdr:to>
    <xdr:sp macro="" textlink="">
      <xdr:nvSpPr>
        <xdr:cNvPr id="374804" name="Text Box 20" hidden="1">
          <a:extLst>
            <a:ext uri="{FF2B5EF4-FFF2-40B4-BE49-F238E27FC236}">
              <a16:creationId xmlns:a16="http://schemas.microsoft.com/office/drawing/2014/main" id="{BF7454B9-8F07-519E-0FC7-CF9195301D1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33</xdr:row>
      <xdr:rowOff>342900</xdr:rowOff>
    </xdr:from>
    <xdr:to>
      <xdr:col>17</xdr:col>
      <xdr:colOff>533400</xdr:colOff>
      <xdr:row>33</xdr:row>
      <xdr:rowOff>342900</xdr:rowOff>
    </xdr:to>
    <xdr:sp macro="" textlink="">
      <xdr:nvSpPr>
        <xdr:cNvPr id="374803" name="Text Box 19" hidden="1">
          <a:extLst>
            <a:ext uri="{FF2B5EF4-FFF2-40B4-BE49-F238E27FC236}">
              <a16:creationId xmlns:a16="http://schemas.microsoft.com/office/drawing/2014/main" id="{415EFF81-291E-A2FB-8BA9-F1A513D9D59B}"/>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4234</xdr:colOff>
      <xdr:row>32</xdr:row>
      <xdr:rowOff>342900</xdr:rowOff>
    </xdr:from>
    <xdr:to>
      <xdr:col>17</xdr:col>
      <xdr:colOff>533400</xdr:colOff>
      <xdr:row>33</xdr:row>
      <xdr:rowOff>342900</xdr:rowOff>
    </xdr:to>
    <xdr:sp macro="" textlink="">
      <xdr:nvSpPr>
        <xdr:cNvPr id="374802" name="Text Box 18" hidden="1">
          <a:extLst>
            <a:ext uri="{FF2B5EF4-FFF2-40B4-BE49-F238E27FC236}">
              <a16:creationId xmlns:a16="http://schemas.microsoft.com/office/drawing/2014/main" id="{F44085C4-4735-C956-EE1E-421CCD082183}"/>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01" name="Text Box 17" hidden="1">
          <a:extLst>
            <a:ext uri="{FF2B5EF4-FFF2-40B4-BE49-F238E27FC236}">
              <a16:creationId xmlns:a16="http://schemas.microsoft.com/office/drawing/2014/main" id="{DA8759AC-56FC-D2C7-FCA0-1CF305C7D270}"/>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00" name="Text Box 16" hidden="1">
          <a:extLst>
            <a:ext uri="{FF2B5EF4-FFF2-40B4-BE49-F238E27FC236}">
              <a16:creationId xmlns:a16="http://schemas.microsoft.com/office/drawing/2014/main" id="{2EF7E31D-93B8-EF07-55EC-524D3C3C6720}"/>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91016</xdr:rowOff>
    </xdr:from>
    <xdr:to>
      <xdr:col>1</xdr:col>
      <xdr:colOff>4724400</xdr:colOff>
      <xdr:row>188</xdr:row>
      <xdr:rowOff>148166</xdr:rowOff>
    </xdr:to>
    <xdr:sp macro="" textlink="">
      <xdr:nvSpPr>
        <xdr:cNvPr id="374799" name="Text Box 15" hidden="1">
          <a:extLst>
            <a:ext uri="{FF2B5EF4-FFF2-40B4-BE49-F238E27FC236}">
              <a16:creationId xmlns:a16="http://schemas.microsoft.com/office/drawing/2014/main" id="{D296347B-E488-8480-9459-C08249795E90}"/>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71967</xdr:rowOff>
    </xdr:from>
    <xdr:to>
      <xdr:col>20</xdr:col>
      <xdr:colOff>647700</xdr:colOff>
      <xdr:row>97</xdr:row>
      <xdr:rowOff>97367</xdr:rowOff>
    </xdr:to>
    <xdr:sp macro="" textlink="">
      <xdr:nvSpPr>
        <xdr:cNvPr id="374798" name="Text Box 14" hidden="1">
          <a:extLst>
            <a:ext uri="{FF2B5EF4-FFF2-40B4-BE49-F238E27FC236}">
              <a16:creationId xmlns:a16="http://schemas.microsoft.com/office/drawing/2014/main" id="{CDE029A1-AC64-4864-3181-992E2A32A49D}"/>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71967</xdr:rowOff>
    </xdr:from>
    <xdr:to>
      <xdr:col>24</xdr:col>
      <xdr:colOff>647700</xdr:colOff>
      <xdr:row>97</xdr:row>
      <xdr:rowOff>97367</xdr:rowOff>
    </xdr:to>
    <xdr:sp macro="" textlink="">
      <xdr:nvSpPr>
        <xdr:cNvPr id="374797" name="Text Box 13" hidden="1">
          <a:extLst>
            <a:ext uri="{FF2B5EF4-FFF2-40B4-BE49-F238E27FC236}">
              <a16:creationId xmlns:a16="http://schemas.microsoft.com/office/drawing/2014/main" id="{1120FB2D-FC75-BE1D-19B7-FF30046BF5AB}"/>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71967</xdr:rowOff>
    </xdr:from>
    <xdr:to>
      <xdr:col>28</xdr:col>
      <xdr:colOff>647700</xdr:colOff>
      <xdr:row>97</xdr:row>
      <xdr:rowOff>97367</xdr:rowOff>
    </xdr:to>
    <xdr:sp macro="" textlink="">
      <xdr:nvSpPr>
        <xdr:cNvPr id="374796" name="Text Box 12" hidden="1">
          <a:extLst>
            <a:ext uri="{FF2B5EF4-FFF2-40B4-BE49-F238E27FC236}">
              <a16:creationId xmlns:a16="http://schemas.microsoft.com/office/drawing/2014/main" id="{E951FBA7-68FC-BAAD-5D19-FFA1B04FF5A2}"/>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4233</xdr:colOff>
      <xdr:row>19</xdr:row>
      <xdr:rowOff>19050</xdr:rowOff>
    </xdr:to>
    <xdr:sp macro="" textlink="">
      <xdr:nvSpPr>
        <xdr:cNvPr id="374795" name="Text Box 11" hidden="1">
          <a:extLst>
            <a:ext uri="{FF2B5EF4-FFF2-40B4-BE49-F238E27FC236}">
              <a16:creationId xmlns:a16="http://schemas.microsoft.com/office/drawing/2014/main" id="{82F93A6B-2748-8767-68E3-91598B6874F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289983</xdr:rowOff>
    </xdr:from>
    <xdr:to>
      <xdr:col>2</xdr:col>
      <xdr:colOff>685800</xdr:colOff>
      <xdr:row>59</xdr:row>
      <xdr:rowOff>74083</xdr:rowOff>
    </xdr:to>
    <xdr:sp macro="" textlink="">
      <xdr:nvSpPr>
        <xdr:cNvPr id="374794" name="Text Box 10" hidden="1">
          <a:extLst>
            <a:ext uri="{FF2B5EF4-FFF2-40B4-BE49-F238E27FC236}">
              <a16:creationId xmlns:a16="http://schemas.microsoft.com/office/drawing/2014/main" id="{7553CAFD-DC66-648D-0B01-A8442D802E0F}"/>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141816</xdr:rowOff>
    </xdr:to>
    <xdr:sp macro="" textlink="">
      <xdr:nvSpPr>
        <xdr:cNvPr id="374793" name="Text Box 9" hidden="1">
          <a:extLst>
            <a:ext uri="{FF2B5EF4-FFF2-40B4-BE49-F238E27FC236}">
              <a16:creationId xmlns:a16="http://schemas.microsoft.com/office/drawing/2014/main" id="{2944D17A-F6C8-6BA2-C3A4-94B25AEC1AC5}"/>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141816</xdr:rowOff>
    </xdr:to>
    <xdr:sp macro="" textlink="">
      <xdr:nvSpPr>
        <xdr:cNvPr id="374792" name="Text Box 8" hidden="1">
          <a:extLst>
            <a:ext uri="{FF2B5EF4-FFF2-40B4-BE49-F238E27FC236}">
              <a16:creationId xmlns:a16="http://schemas.microsoft.com/office/drawing/2014/main" id="{B6CDB66F-8B7F-09C4-7E35-AC27DDCF77D7}"/>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141816</xdr:rowOff>
    </xdr:to>
    <xdr:sp macro="" textlink="">
      <xdr:nvSpPr>
        <xdr:cNvPr id="374791" name="Text Box 7" hidden="1">
          <a:extLst>
            <a:ext uri="{FF2B5EF4-FFF2-40B4-BE49-F238E27FC236}">
              <a16:creationId xmlns:a16="http://schemas.microsoft.com/office/drawing/2014/main" id="{5B3B6EB9-7B3C-DF09-1700-15D2B705FD2A}"/>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790" name="Text Box 6" hidden="1">
          <a:extLst>
            <a:ext uri="{FF2B5EF4-FFF2-40B4-BE49-F238E27FC236}">
              <a16:creationId xmlns:a16="http://schemas.microsoft.com/office/drawing/2014/main" id="{E19A18B6-2E27-E601-AAB7-539B4C28A38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789" name="Text Box 5" hidden="1">
          <a:extLst>
            <a:ext uri="{FF2B5EF4-FFF2-40B4-BE49-F238E27FC236}">
              <a16:creationId xmlns:a16="http://schemas.microsoft.com/office/drawing/2014/main" id="{4898186E-20D1-424E-BFDD-19915F34943B}"/>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334434</xdr:rowOff>
    </xdr:from>
    <xdr:to>
      <xdr:col>25</xdr:col>
      <xdr:colOff>57150</xdr:colOff>
      <xdr:row>73</xdr:row>
      <xdr:rowOff>334434</xdr:rowOff>
    </xdr:to>
    <xdr:sp macro="" textlink="">
      <xdr:nvSpPr>
        <xdr:cNvPr id="374788" name="Text Box 4" hidden="1">
          <a:extLst>
            <a:ext uri="{FF2B5EF4-FFF2-40B4-BE49-F238E27FC236}">
              <a16:creationId xmlns:a16="http://schemas.microsoft.com/office/drawing/2014/main" id="{D3A9E122-7E8C-B91C-C19A-0D446ABC69F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787" name="Text Box 3" hidden="1">
          <a:extLst>
            <a:ext uri="{FF2B5EF4-FFF2-40B4-BE49-F238E27FC236}">
              <a16:creationId xmlns:a16="http://schemas.microsoft.com/office/drawing/2014/main" id="{E3C82D54-F9D0-5702-45E4-946730E909A5}"/>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786" name="Text Box 2" hidden="1">
          <a:extLst>
            <a:ext uri="{FF2B5EF4-FFF2-40B4-BE49-F238E27FC236}">
              <a16:creationId xmlns:a16="http://schemas.microsoft.com/office/drawing/2014/main" id="{C30F5D03-238A-10E4-7867-89B683D6CFEE}"/>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90</xdr:row>
      <xdr:rowOff>99483</xdr:rowOff>
    </xdr:from>
    <xdr:to>
      <xdr:col>32</xdr:col>
      <xdr:colOff>666750</xdr:colOff>
      <xdr:row>91</xdr:row>
      <xdr:rowOff>402167</xdr:rowOff>
    </xdr:to>
    <xdr:sp macro="" textlink="">
      <xdr:nvSpPr>
        <xdr:cNvPr id="374785" name="Text Box 1" hidden="1">
          <a:extLst>
            <a:ext uri="{FF2B5EF4-FFF2-40B4-BE49-F238E27FC236}">
              <a16:creationId xmlns:a16="http://schemas.microsoft.com/office/drawing/2014/main" id="{D520F19F-D0A3-4589-5979-85D288DB97D4}"/>
            </a:ext>
          </a:extLst>
        </xdr:cNvPr>
        <xdr:cNvSpPr txBox="1">
          <a:spLocks noChangeArrowheads="1"/>
        </xdr:cNvSpPr>
      </xdr:nvSpPr>
      <xdr:spPr bwMode="auto">
        <a:xfrm>
          <a:off x="28060650" y="2273300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71</xdr:row>
      <xdr:rowOff>177800</xdr:rowOff>
    </xdr:from>
    <xdr:to>
      <xdr:col>8</xdr:col>
      <xdr:colOff>228600</xdr:colOff>
      <xdr:row>71</xdr:row>
      <xdr:rowOff>177800</xdr:rowOff>
    </xdr:to>
    <xdr:sp macro="" textlink="">
      <xdr:nvSpPr>
        <xdr:cNvPr id="374826" name="Text Box 42" hidden="1">
          <a:extLst>
            <a:ext uri="{FF2B5EF4-FFF2-40B4-BE49-F238E27FC236}">
              <a16:creationId xmlns:a16="http://schemas.microsoft.com/office/drawing/2014/main" id="{069F241E-BE78-371A-7A3D-288078A871A1}"/>
            </a:ext>
          </a:extLst>
        </xdr:cNvPr>
        <xdr:cNvSpPr txBox="1">
          <a:spLocks noChangeArrowheads="1"/>
        </xdr:cNvSpPr>
      </xdr:nvSpPr>
      <xdr:spPr bwMode="auto">
        <a:xfrm>
          <a:off x="8985250" y="1765300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71</xdr:row>
      <xdr:rowOff>177800</xdr:rowOff>
    </xdr:from>
    <xdr:to>
      <xdr:col>11</xdr:col>
      <xdr:colOff>190500</xdr:colOff>
      <xdr:row>71</xdr:row>
      <xdr:rowOff>177800</xdr:rowOff>
    </xdr:to>
    <xdr:sp macro="" textlink="">
      <xdr:nvSpPr>
        <xdr:cNvPr id="374825" name="Text Box 41" hidden="1">
          <a:extLst>
            <a:ext uri="{FF2B5EF4-FFF2-40B4-BE49-F238E27FC236}">
              <a16:creationId xmlns:a16="http://schemas.microsoft.com/office/drawing/2014/main" id="{88B2BBA3-5EAC-D970-6D48-B066AEA310B5}"/>
            </a:ext>
          </a:extLst>
        </xdr:cNvPr>
        <xdr:cNvSpPr txBox="1">
          <a:spLocks noChangeArrowheads="1"/>
        </xdr:cNvSpPr>
      </xdr:nvSpPr>
      <xdr:spPr bwMode="auto">
        <a:xfrm>
          <a:off x="11315700" y="1765300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24" name="Text Box 40" hidden="1">
          <a:extLst>
            <a:ext uri="{FF2B5EF4-FFF2-40B4-BE49-F238E27FC236}">
              <a16:creationId xmlns:a16="http://schemas.microsoft.com/office/drawing/2014/main" id="{080D08AD-F092-CA08-ADCF-994FE1A308D2}"/>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23" name="Text Box 39" hidden="1">
          <a:extLst>
            <a:ext uri="{FF2B5EF4-FFF2-40B4-BE49-F238E27FC236}">
              <a16:creationId xmlns:a16="http://schemas.microsoft.com/office/drawing/2014/main" id="{C59AA6ED-B6BB-151E-E6F0-CD90E56297CF}"/>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22" name="Text Box 38" hidden="1">
          <a:extLst>
            <a:ext uri="{FF2B5EF4-FFF2-40B4-BE49-F238E27FC236}">
              <a16:creationId xmlns:a16="http://schemas.microsoft.com/office/drawing/2014/main" id="{7DE3A499-365F-C75E-0AD7-F252A9AC2D48}"/>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21" name="Text Box 37" hidden="1">
          <a:extLst>
            <a:ext uri="{FF2B5EF4-FFF2-40B4-BE49-F238E27FC236}">
              <a16:creationId xmlns:a16="http://schemas.microsoft.com/office/drawing/2014/main" id="{61572CBC-A2DF-9C51-405A-37A00AC017E9}"/>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161</xdr:row>
      <xdr:rowOff>95250</xdr:rowOff>
    </xdr:from>
    <xdr:to>
      <xdr:col>1</xdr:col>
      <xdr:colOff>4724400</xdr:colOff>
      <xdr:row>161</xdr:row>
      <xdr:rowOff>152400</xdr:rowOff>
    </xdr:to>
    <xdr:sp macro="" textlink="">
      <xdr:nvSpPr>
        <xdr:cNvPr id="374820" name="Text Box 36" hidden="1">
          <a:extLst>
            <a:ext uri="{FF2B5EF4-FFF2-40B4-BE49-F238E27FC236}">
              <a16:creationId xmlns:a16="http://schemas.microsoft.com/office/drawing/2014/main" id="{5E69A355-8223-3C6C-EA3E-89EBAB239A65}"/>
            </a:ext>
          </a:extLst>
        </xdr:cNvPr>
        <xdr:cNvSpPr txBox="1">
          <a:spLocks noChangeArrowheads="1"/>
        </xdr:cNvSpPr>
      </xdr:nvSpPr>
      <xdr:spPr bwMode="auto">
        <a:xfrm>
          <a:off x="4229100" y="37084000"/>
          <a:ext cx="125730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67</xdr:row>
      <xdr:rowOff>101600</xdr:rowOff>
    </xdr:from>
    <xdr:to>
      <xdr:col>20</xdr:col>
      <xdr:colOff>647700</xdr:colOff>
      <xdr:row>68</xdr:row>
      <xdr:rowOff>311150</xdr:rowOff>
    </xdr:to>
    <xdr:sp macro="" textlink="">
      <xdr:nvSpPr>
        <xdr:cNvPr id="374819" name="Text Box 35" hidden="1">
          <a:extLst>
            <a:ext uri="{FF2B5EF4-FFF2-40B4-BE49-F238E27FC236}">
              <a16:creationId xmlns:a16="http://schemas.microsoft.com/office/drawing/2014/main" id="{BC9F75E4-C3EB-6F53-8710-94EDEF257845}"/>
            </a:ext>
          </a:extLst>
        </xdr:cNvPr>
        <xdr:cNvSpPr txBox="1">
          <a:spLocks noChangeArrowheads="1"/>
        </xdr:cNvSpPr>
      </xdr:nvSpPr>
      <xdr:spPr bwMode="auto">
        <a:xfrm>
          <a:off x="18935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67</xdr:row>
      <xdr:rowOff>101600</xdr:rowOff>
    </xdr:from>
    <xdr:to>
      <xdr:col>24</xdr:col>
      <xdr:colOff>647700</xdr:colOff>
      <xdr:row>68</xdr:row>
      <xdr:rowOff>311150</xdr:rowOff>
    </xdr:to>
    <xdr:sp macro="" textlink="">
      <xdr:nvSpPr>
        <xdr:cNvPr id="374818" name="Text Box 34" hidden="1">
          <a:extLst>
            <a:ext uri="{FF2B5EF4-FFF2-40B4-BE49-F238E27FC236}">
              <a16:creationId xmlns:a16="http://schemas.microsoft.com/office/drawing/2014/main" id="{4A226DA4-E647-575F-C6E2-0A57773D45E3}"/>
            </a:ext>
          </a:extLst>
        </xdr:cNvPr>
        <xdr:cNvSpPr txBox="1">
          <a:spLocks noChangeArrowheads="1"/>
        </xdr:cNvSpPr>
      </xdr:nvSpPr>
      <xdr:spPr bwMode="auto">
        <a:xfrm>
          <a:off x="21983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67</xdr:row>
      <xdr:rowOff>101600</xdr:rowOff>
    </xdr:from>
    <xdr:to>
      <xdr:col>28</xdr:col>
      <xdr:colOff>647700</xdr:colOff>
      <xdr:row>68</xdr:row>
      <xdr:rowOff>311150</xdr:rowOff>
    </xdr:to>
    <xdr:sp macro="" textlink="">
      <xdr:nvSpPr>
        <xdr:cNvPr id="374817" name="Text Box 33" hidden="1">
          <a:extLst>
            <a:ext uri="{FF2B5EF4-FFF2-40B4-BE49-F238E27FC236}">
              <a16:creationId xmlns:a16="http://schemas.microsoft.com/office/drawing/2014/main" id="{039CC9C2-0642-CD48-0DAF-C39D4BD9762D}"/>
            </a:ext>
          </a:extLst>
        </xdr:cNvPr>
        <xdr:cNvSpPr txBox="1">
          <a:spLocks noChangeArrowheads="1"/>
        </xdr:cNvSpPr>
      </xdr:nvSpPr>
      <xdr:spPr bwMode="auto">
        <a:xfrm>
          <a:off x="25031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816" name="Text Box 32" hidden="1">
          <a:extLst>
            <a:ext uri="{FF2B5EF4-FFF2-40B4-BE49-F238E27FC236}">
              <a16:creationId xmlns:a16="http://schemas.microsoft.com/office/drawing/2014/main" id="{CB149CAD-E592-8ADA-0483-FFE4FEAF5AD5}"/>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75</xdr:row>
      <xdr:rowOff>177800</xdr:rowOff>
    </xdr:from>
    <xdr:to>
      <xdr:col>21</xdr:col>
      <xdr:colOff>685800</xdr:colOff>
      <xdr:row>83</xdr:row>
      <xdr:rowOff>171450</xdr:rowOff>
    </xdr:to>
    <xdr:sp macro="" textlink="">
      <xdr:nvSpPr>
        <xdr:cNvPr id="374814" name="Text Box 30" hidden="1">
          <a:extLst>
            <a:ext uri="{FF2B5EF4-FFF2-40B4-BE49-F238E27FC236}">
              <a16:creationId xmlns:a16="http://schemas.microsoft.com/office/drawing/2014/main" id="{3BB8AEDC-5E7F-C1C1-E0A7-F21C8BBD49ED}"/>
            </a:ext>
          </a:extLst>
        </xdr:cNvPr>
        <xdr:cNvSpPr txBox="1">
          <a:spLocks noChangeArrowheads="1"/>
        </xdr:cNvSpPr>
      </xdr:nvSpPr>
      <xdr:spPr bwMode="auto">
        <a:xfrm>
          <a:off x="19735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75</xdr:row>
      <xdr:rowOff>177800</xdr:rowOff>
    </xdr:from>
    <xdr:to>
      <xdr:col>25</xdr:col>
      <xdr:colOff>685800</xdr:colOff>
      <xdr:row>83</xdr:row>
      <xdr:rowOff>171450</xdr:rowOff>
    </xdr:to>
    <xdr:sp macro="" textlink="">
      <xdr:nvSpPr>
        <xdr:cNvPr id="374813" name="Text Box 29" hidden="1">
          <a:extLst>
            <a:ext uri="{FF2B5EF4-FFF2-40B4-BE49-F238E27FC236}">
              <a16:creationId xmlns:a16="http://schemas.microsoft.com/office/drawing/2014/main" id="{70DC6B99-D148-A093-4AF8-F786B0D38D3F}"/>
            </a:ext>
          </a:extLst>
        </xdr:cNvPr>
        <xdr:cNvSpPr txBox="1">
          <a:spLocks noChangeArrowheads="1"/>
        </xdr:cNvSpPr>
      </xdr:nvSpPr>
      <xdr:spPr bwMode="auto">
        <a:xfrm>
          <a:off x="22783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75</xdr:row>
      <xdr:rowOff>177800</xdr:rowOff>
    </xdr:from>
    <xdr:to>
      <xdr:col>29</xdr:col>
      <xdr:colOff>685800</xdr:colOff>
      <xdr:row>83</xdr:row>
      <xdr:rowOff>171450</xdr:rowOff>
    </xdr:to>
    <xdr:sp macro="" textlink="">
      <xdr:nvSpPr>
        <xdr:cNvPr id="374812" name="Text Box 28" hidden="1">
          <a:extLst>
            <a:ext uri="{FF2B5EF4-FFF2-40B4-BE49-F238E27FC236}">
              <a16:creationId xmlns:a16="http://schemas.microsoft.com/office/drawing/2014/main" id="{A7CBBF42-2B6B-497A-21F3-3E984FE7F3DD}"/>
            </a:ext>
          </a:extLst>
        </xdr:cNvPr>
        <xdr:cNvSpPr txBox="1">
          <a:spLocks noChangeArrowheads="1"/>
        </xdr:cNvSpPr>
      </xdr:nvSpPr>
      <xdr:spPr bwMode="auto">
        <a:xfrm>
          <a:off x="25831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811" name="Text Box 27" hidden="1">
          <a:extLst>
            <a:ext uri="{FF2B5EF4-FFF2-40B4-BE49-F238E27FC236}">
              <a16:creationId xmlns:a16="http://schemas.microsoft.com/office/drawing/2014/main" id="{1599EE51-0CAB-3394-0F0D-8BC11AF6EDA8}"/>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810" name="Text Box 26" hidden="1">
          <a:extLst>
            <a:ext uri="{FF2B5EF4-FFF2-40B4-BE49-F238E27FC236}">
              <a16:creationId xmlns:a16="http://schemas.microsoft.com/office/drawing/2014/main" id="{2F696569-BA0C-79CF-F701-215A52271FB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46</xdr:row>
      <xdr:rowOff>349250</xdr:rowOff>
    </xdr:from>
    <xdr:to>
      <xdr:col>25</xdr:col>
      <xdr:colOff>57150</xdr:colOff>
      <xdr:row>47</xdr:row>
      <xdr:rowOff>0</xdr:rowOff>
    </xdr:to>
    <xdr:sp macro="" textlink="">
      <xdr:nvSpPr>
        <xdr:cNvPr id="374809" name="Text Box 25" hidden="1">
          <a:extLst>
            <a:ext uri="{FF2B5EF4-FFF2-40B4-BE49-F238E27FC236}">
              <a16:creationId xmlns:a16="http://schemas.microsoft.com/office/drawing/2014/main" id="{4F6D2EEC-B312-8FD7-BACA-B757E51CF54C}"/>
            </a:ext>
          </a:extLst>
        </xdr:cNvPr>
        <xdr:cNvSpPr txBox="1">
          <a:spLocks noChangeArrowheads="1"/>
        </xdr:cNvSpPr>
      </xdr:nvSpPr>
      <xdr:spPr bwMode="auto">
        <a:xfrm>
          <a:off x="22002750" y="1061720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808" name="Text Box 24" hidden="1">
          <a:extLst>
            <a:ext uri="{FF2B5EF4-FFF2-40B4-BE49-F238E27FC236}">
              <a16:creationId xmlns:a16="http://schemas.microsoft.com/office/drawing/2014/main" id="{CB844AD6-BE6E-2115-72F6-792C5168178F}"/>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807" name="Text Box 23" hidden="1">
          <a:extLst>
            <a:ext uri="{FF2B5EF4-FFF2-40B4-BE49-F238E27FC236}">
              <a16:creationId xmlns:a16="http://schemas.microsoft.com/office/drawing/2014/main" id="{438B19A2-7B7D-D429-B8FD-6D73EE34C31B}"/>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63</xdr:row>
      <xdr:rowOff>133350</xdr:rowOff>
    </xdr:from>
    <xdr:to>
      <xdr:col>32</xdr:col>
      <xdr:colOff>666750</xdr:colOff>
      <xdr:row>65</xdr:row>
      <xdr:rowOff>133350</xdr:rowOff>
    </xdr:to>
    <xdr:sp macro="" textlink="">
      <xdr:nvSpPr>
        <xdr:cNvPr id="374806" name="Text Box 22" hidden="1">
          <a:extLst>
            <a:ext uri="{FF2B5EF4-FFF2-40B4-BE49-F238E27FC236}">
              <a16:creationId xmlns:a16="http://schemas.microsoft.com/office/drawing/2014/main" id="{B6171A16-8921-E8B0-02B0-C69778F790EC}"/>
            </a:ext>
          </a:extLst>
        </xdr:cNvPr>
        <xdr:cNvSpPr txBox="1">
          <a:spLocks noChangeArrowheads="1"/>
        </xdr:cNvSpPr>
      </xdr:nvSpPr>
      <xdr:spPr bwMode="auto">
        <a:xfrm>
          <a:off x="28060650" y="1511935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844759</xdr:colOff>
      <xdr:row>101</xdr:row>
      <xdr:rowOff>255402</xdr:rowOff>
    </xdr:from>
    <xdr:to>
      <xdr:col>8</xdr:col>
      <xdr:colOff>9147</xdr:colOff>
      <xdr:row>101</xdr:row>
      <xdr:rowOff>255402</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51</xdr:row>
      <xdr:rowOff>161029</xdr:rowOff>
    </xdr:from>
    <xdr:to>
      <xdr:col>1</xdr:col>
      <xdr:colOff>4259019</xdr:colOff>
      <xdr:row>55</xdr:row>
      <xdr:rowOff>49906</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101</xdr:row>
      <xdr:rowOff>255402</xdr:rowOff>
    </xdr:from>
    <xdr:to>
      <xdr:col>8</xdr:col>
      <xdr:colOff>9147</xdr:colOff>
      <xdr:row>101</xdr:row>
      <xdr:rowOff>255402</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50560</xdr:rowOff>
    </xdr:from>
    <xdr:to>
      <xdr:col>7</xdr:col>
      <xdr:colOff>826382</xdr:colOff>
      <xdr:row>85</xdr:row>
      <xdr:rowOff>50560</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50560</xdr:rowOff>
    </xdr:from>
    <xdr:to>
      <xdr:col>10</xdr:col>
      <xdr:colOff>522151</xdr:colOff>
      <xdr:row>85</xdr:row>
      <xdr:rowOff>50560</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4200599</xdr:colOff>
      <xdr:row>36</xdr:row>
      <xdr:rowOff>122984</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67774</xdr:colOff>
      <xdr:row>19</xdr:row>
      <xdr:rowOff>31563</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48372</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26" name="Text Box 242" hidden="1">
          <a:extLst>
            <a:ext uri="{FF2B5EF4-FFF2-40B4-BE49-F238E27FC236}">
              <a16:creationId xmlns:a16="http://schemas.microsoft.com/office/drawing/2014/main" id="{AD411E48-1E6A-5F2D-2613-64F8177D4894}"/>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25" name="Text Box 241" hidden="1">
          <a:extLst>
            <a:ext uri="{FF2B5EF4-FFF2-40B4-BE49-F238E27FC236}">
              <a16:creationId xmlns:a16="http://schemas.microsoft.com/office/drawing/2014/main" id="{F431DD7A-DC76-7AC4-2EA9-8EFB6AD6879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24" name="Text Box 240" hidden="1">
          <a:extLst>
            <a:ext uri="{FF2B5EF4-FFF2-40B4-BE49-F238E27FC236}">
              <a16:creationId xmlns:a16="http://schemas.microsoft.com/office/drawing/2014/main" id="{0BDFB392-4FC7-64DD-5405-F57A2767AD5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23" name="Text Box 239" hidden="1">
          <a:extLst>
            <a:ext uri="{FF2B5EF4-FFF2-40B4-BE49-F238E27FC236}">
              <a16:creationId xmlns:a16="http://schemas.microsoft.com/office/drawing/2014/main" id="{805ED89B-CAF0-4B64-E675-A4BF95E0EC80}"/>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22" name="Text Box 238" hidden="1">
          <a:extLst>
            <a:ext uri="{FF2B5EF4-FFF2-40B4-BE49-F238E27FC236}">
              <a16:creationId xmlns:a16="http://schemas.microsoft.com/office/drawing/2014/main" id="{B8DDAB4D-CA29-0F6B-A568-3AF60D20FBA3}"/>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21" name="Text Box 237" hidden="1">
          <a:extLst>
            <a:ext uri="{FF2B5EF4-FFF2-40B4-BE49-F238E27FC236}">
              <a16:creationId xmlns:a16="http://schemas.microsoft.com/office/drawing/2014/main" id="{05100AB9-6B05-408C-4D5F-BFB6A4CEECD7}"/>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20" name="Text Box 236" hidden="1">
          <a:extLst>
            <a:ext uri="{FF2B5EF4-FFF2-40B4-BE49-F238E27FC236}">
              <a16:creationId xmlns:a16="http://schemas.microsoft.com/office/drawing/2014/main" id="{6551FE15-6A2C-6842-44B7-955A6F30B29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19" name="Text Box 235" hidden="1">
          <a:extLst>
            <a:ext uri="{FF2B5EF4-FFF2-40B4-BE49-F238E27FC236}">
              <a16:creationId xmlns:a16="http://schemas.microsoft.com/office/drawing/2014/main" id="{1863EF02-3843-8017-3CF3-EA7815C7E697}"/>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18" name="Text Box 234" hidden="1">
          <a:extLst>
            <a:ext uri="{FF2B5EF4-FFF2-40B4-BE49-F238E27FC236}">
              <a16:creationId xmlns:a16="http://schemas.microsoft.com/office/drawing/2014/main" id="{D185D7B9-4AFC-05B1-BD5B-EB530CE2A46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17" name="Text Box 233" hidden="1">
          <a:extLst>
            <a:ext uri="{FF2B5EF4-FFF2-40B4-BE49-F238E27FC236}">
              <a16:creationId xmlns:a16="http://schemas.microsoft.com/office/drawing/2014/main" id="{BD9ABC0E-5856-F196-128D-355621CB0817}"/>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16" name="Text Box 232" hidden="1">
          <a:extLst>
            <a:ext uri="{FF2B5EF4-FFF2-40B4-BE49-F238E27FC236}">
              <a16:creationId xmlns:a16="http://schemas.microsoft.com/office/drawing/2014/main" id="{83931E2B-75D5-8122-9E83-279B8525740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15" name="Text Box 231" hidden="1">
          <a:extLst>
            <a:ext uri="{FF2B5EF4-FFF2-40B4-BE49-F238E27FC236}">
              <a16:creationId xmlns:a16="http://schemas.microsoft.com/office/drawing/2014/main" id="{9B2D2A95-83DD-FE06-8091-6707CD4DB38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14" name="Text Box 230" hidden="1">
          <a:extLst>
            <a:ext uri="{FF2B5EF4-FFF2-40B4-BE49-F238E27FC236}">
              <a16:creationId xmlns:a16="http://schemas.microsoft.com/office/drawing/2014/main" id="{132AD294-5D2A-0F7B-D599-EBE733ED47EE}"/>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13" name="Text Box 229" hidden="1">
          <a:extLst>
            <a:ext uri="{FF2B5EF4-FFF2-40B4-BE49-F238E27FC236}">
              <a16:creationId xmlns:a16="http://schemas.microsoft.com/office/drawing/2014/main" id="{52DC65B1-5D24-E2B8-DF1A-148DC0D86BAE}"/>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12" name="Text Box 228" hidden="1">
          <a:extLst>
            <a:ext uri="{FF2B5EF4-FFF2-40B4-BE49-F238E27FC236}">
              <a16:creationId xmlns:a16="http://schemas.microsoft.com/office/drawing/2014/main" id="{0F4F9281-EE37-7D5D-91C4-69630C149C9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11" name="Text Box 227" hidden="1">
          <a:extLst>
            <a:ext uri="{FF2B5EF4-FFF2-40B4-BE49-F238E27FC236}">
              <a16:creationId xmlns:a16="http://schemas.microsoft.com/office/drawing/2014/main" id="{A78D2A3E-E8C4-362D-BFF9-46438560AAFC}"/>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10" name="Text Box 226" hidden="1">
          <a:extLst>
            <a:ext uri="{FF2B5EF4-FFF2-40B4-BE49-F238E27FC236}">
              <a16:creationId xmlns:a16="http://schemas.microsoft.com/office/drawing/2014/main" id="{E267D7FA-AD8B-015A-D235-285F3DEBB63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09" name="Text Box 225" hidden="1">
          <a:extLst>
            <a:ext uri="{FF2B5EF4-FFF2-40B4-BE49-F238E27FC236}">
              <a16:creationId xmlns:a16="http://schemas.microsoft.com/office/drawing/2014/main" id="{433D9199-6E21-FD31-DEFA-05706EAB1FDA}"/>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08" name="Text Box 224" hidden="1">
          <a:extLst>
            <a:ext uri="{FF2B5EF4-FFF2-40B4-BE49-F238E27FC236}">
              <a16:creationId xmlns:a16="http://schemas.microsoft.com/office/drawing/2014/main" id="{5B7E02ED-AF8D-CA1F-6FA5-46665923FDC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07" name="Text Box 223" hidden="1">
          <a:extLst>
            <a:ext uri="{FF2B5EF4-FFF2-40B4-BE49-F238E27FC236}">
              <a16:creationId xmlns:a16="http://schemas.microsoft.com/office/drawing/2014/main" id="{F003D834-7690-7C24-C998-FA138158AEE2}"/>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06" name="Text Box 222" hidden="1">
          <a:extLst>
            <a:ext uri="{FF2B5EF4-FFF2-40B4-BE49-F238E27FC236}">
              <a16:creationId xmlns:a16="http://schemas.microsoft.com/office/drawing/2014/main" id="{77F4A224-FA10-93CD-8C74-02ACC008BF9D}"/>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05" name="Text Box 221" hidden="1">
          <a:extLst>
            <a:ext uri="{FF2B5EF4-FFF2-40B4-BE49-F238E27FC236}">
              <a16:creationId xmlns:a16="http://schemas.microsoft.com/office/drawing/2014/main" id="{84278BD3-4D9B-A74D-759E-7C1DA6395B7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48" name="Text Box 264" hidden="1">
          <a:extLst>
            <a:ext uri="{FF2B5EF4-FFF2-40B4-BE49-F238E27FC236}">
              <a16:creationId xmlns:a16="http://schemas.microsoft.com/office/drawing/2014/main" id="{BEDB2F40-5846-6134-42F0-D38505A98D07}"/>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47" name="Text Box 263" hidden="1">
          <a:extLst>
            <a:ext uri="{FF2B5EF4-FFF2-40B4-BE49-F238E27FC236}">
              <a16:creationId xmlns:a16="http://schemas.microsoft.com/office/drawing/2014/main" id="{890BAA60-B579-6B79-4798-0627C6F6855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46" name="Text Box 262" hidden="1">
          <a:extLst>
            <a:ext uri="{FF2B5EF4-FFF2-40B4-BE49-F238E27FC236}">
              <a16:creationId xmlns:a16="http://schemas.microsoft.com/office/drawing/2014/main" id="{E2796292-7AEE-3F79-7520-C6C522050B6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45" name="Text Box 261" hidden="1">
          <a:extLst>
            <a:ext uri="{FF2B5EF4-FFF2-40B4-BE49-F238E27FC236}">
              <a16:creationId xmlns:a16="http://schemas.microsoft.com/office/drawing/2014/main" id="{72FE3260-9E54-E7E1-35BE-360FF17F1EF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44" name="Text Box 260" hidden="1">
          <a:extLst>
            <a:ext uri="{FF2B5EF4-FFF2-40B4-BE49-F238E27FC236}">
              <a16:creationId xmlns:a16="http://schemas.microsoft.com/office/drawing/2014/main" id="{1EC3CD39-3BB9-8265-98EF-DEBCAFA2F32D}"/>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43" name="Text Box 259" hidden="1">
          <a:extLst>
            <a:ext uri="{FF2B5EF4-FFF2-40B4-BE49-F238E27FC236}">
              <a16:creationId xmlns:a16="http://schemas.microsoft.com/office/drawing/2014/main" id="{34F12B0E-A851-F654-C3D3-989D7C84A459}"/>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42" name="Text Box 258" hidden="1">
          <a:extLst>
            <a:ext uri="{FF2B5EF4-FFF2-40B4-BE49-F238E27FC236}">
              <a16:creationId xmlns:a16="http://schemas.microsoft.com/office/drawing/2014/main" id="{AB736C52-893F-CF9F-E6B9-5A21CEA4A823}"/>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41" name="Text Box 257" hidden="1">
          <a:extLst>
            <a:ext uri="{FF2B5EF4-FFF2-40B4-BE49-F238E27FC236}">
              <a16:creationId xmlns:a16="http://schemas.microsoft.com/office/drawing/2014/main" id="{936B2B94-2F25-C869-5C10-7CBB8388DD96}"/>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40" name="Text Box 256" hidden="1">
          <a:extLst>
            <a:ext uri="{FF2B5EF4-FFF2-40B4-BE49-F238E27FC236}">
              <a16:creationId xmlns:a16="http://schemas.microsoft.com/office/drawing/2014/main" id="{294C1609-8395-8439-BD9C-CFB86B78003F}"/>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39" name="Text Box 255" hidden="1">
          <a:extLst>
            <a:ext uri="{FF2B5EF4-FFF2-40B4-BE49-F238E27FC236}">
              <a16:creationId xmlns:a16="http://schemas.microsoft.com/office/drawing/2014/main" id="{C2C17F7F-247C-48EE-CD90-0BE7C76BB214}"/>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38" name="Text Box 254" hidden="1">
          <a:extLst>
            <a:ext uri="{FF2B5EF4-FFF2-40B4-BE49-F238E27FC236}">
              <a16:creationId xmlns:a16="http://schemas.microsoft.com/office/drawing/2014/main" id="{5A4BE614-07F2-5F12-CE64-01811E7C4E97}"/>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37" name="Text Box 253" hidden="1">
          <a:extLst>
            <a:ext uri="{FF2B5EF4-FFF2-40B4-BE49-F238E27FC236}">
              <a16:creationId xmlns:a16="http://schemas.microsoft.com/office/drawing/2014/main" id="{910ABDDC-5825-BB8E-2E02-CFC515FCB9E7}"/>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36" name="Text Box 252" hidden="1">
          <a:extLst>
            <a:ext uri="{FF2B5EF4-FFF2-40B4-BE49-F238E27FC236}">
              <a16:creationId xmlns:a16="http://schemas.microsoft.com/office/drawing/2014/main" id="{35AFEA2B-06BC-2823-7F23-37B726353510}"/>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35" name="Text Box 251" hidden="1">
          <a:extLst>
            <a:ext uri="{FF2B5EF4-FFF2-40B4-BE49-F238E27FC236}">
              <a16:creationId xmlns:a16="http://schemas.microsoft.com/office/drawing/2014/main" id="{F51E11B1-4F42-D06B-0E02-B8C9C88CD325}"/>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34" name="Text Box 250" hidden="1">
          <a:extLst>
            <a:ext uri="{FF2B5EF4-FFF2-40B4-BE49-F238E27FC236}">
              <a16:creationId xmlns:a16="http://schemas.microsoft.com/office/drawing/2014/main" id="{7522785E-35F7-DFA1-7EE6-236B33CB77D9}"/>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33" name="Text Box 249" hidden="1">
          <a:extLst>
            <a:ext uri="{FF2B5EF4-FFF2-40B4-BE49-F238E27FC236}">
              <a16:creationId xmlns:a16="http://schemas.microsoft.com/office/drawing/2014/main" id="{BB705AA0-35F2-7A86-44D6-8F80521B4DF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32" name="Text Box 248" hidden="1">
          <a:extLst>
            <a:ext uri="{FF2B5EF4-FFF2-40B4-BE49-F238E27FC236}">
              <a16:creationId xmlns:a16="http://schemas.microsoft.com/office/drawing/2014/main" id="{4C7C3F88-067C-9332-7410-862BED4D1F27}"/>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31" name="Text Box 247" hidden="1">
          <a:extLst>
            <a:ext uri="{FF2B5EF4-FFF2-40B4-BE49-F238E27FC236}">
              <a16:creationId xmlns:a16="http://schemas.microsoft.com/office/drawing/2014/main" id="{1860EA21-D5A1-B9B7-2922-000348C0456B}"/>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30" name="Text Box 246" hidden="1">
          <a:extLst>
            <a:ext uri="{FF2B5EF4-FFF2-40B4-BE49-F238E27FC236}">
              <a16:creationId xmlns:a16="http://schemas.microsoft.com/office/drawing/2014/main" id="{4BA9EE6F-CAEA-1B4D-E118-8D7B8F083427}"/>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29" name="Text Box 245" hidden="1">
          <a:extLst>
            <a:ext uri="{FF2B5EF4-FFF2-40B4-BE49-F238E27FC236}">
              <a16:creationId xmlns:a16="http://schemas.microsoft.com/office/drawing/2014/main" id="{1A7D4FF7-123A-180A-12EA-B58C26AF66C5}"/>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28" name="Text Box 244" hidden="1">
          <a:extLst>
            <a:ext uri="{FF2B5EF4-FFF2-40B4-BE49-F238E27FC236}">
              <a16:creationId xmlns:a16="http://schemas.microsoft.com/office/drawing/2014/main" id="{E7E2BF5A-22C2-528E-98EC-D8C40F3280D5}"/>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27" name="Text Box 243" hidden="1">
          <a:extLst>
            <a:ext uri="{FF2B5EF4-FFF2-40B4-BE49-F238E27FC236}">
              <a16:creationId xmlns:a16="http://schemas.microsoft.com/office/drawing/2014/main" id="{B15E279E-1626-A257-9EED-72258C6861F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30" name="Text Box 22" hidden="1">
          <a:extLst>
            <a:ext uri="{FF2B5EF4-FFF2-40B4-BE49-F238E27FC236}">
              <a16:creationId xmlns:a16="http://schemas.microsoft.com/office/drawing/2014/main" id="{DDF2C3BB-F079-7C6B-3D60-CA48735F91BC}"/>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29" name="Text Box 21" hidden="1">
          <a:extLst>
            <a:ext uri="{FF2B5EF4-FFF2-40B4-BE49-F238E27FC236}">
              <a16:creationId xmlns:a16="http://schemas.microsoft.com/office/drawing/2014/main" id="{D9854A14-F0BF-E0D8-8740-531BC2F02CD4}"/>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28" name="Text Box 20" hidden="1">
          <a:extLst>
            <a:ext uri="{FF2B5EF4-FFF2-40B4-BE49-F238E27FC236}">
              <a16:creationId xmlns:a16="http://schemas.microsoft.com/office/drawing/2014/main" id="{6B99D88D-ADE5-E3C8-C14A-B168C957E6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27" name="Text Box 19" hidden="1">
          <a:extLst>
            <a:ext uri="{FF2B5EF4-FFF2-40B4-BE49-F238E27FC236}">
              <a16:creationId xmlns:a16="http://schemas.microsoft.com/office/drawing/2014/main" id="{FA529988-6894-FFFF-915D-4C46BC3E7C25}"/>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26" name="Text Box 18" hidden="1">
          <a:extLst>
            <a:ext uri="{FF2B5EF4-FFF2-40B4-BE49-F238E27FC236}">
              <a16:creationId xmlns:a16="http://schemas.microsoft.com/office/drawing/2014/main" id="{0F027792-2722-8B35-E922-CAE37DE10ED4}"/>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25" name="Text Box 17" hidden="1">
          <a:extLst>
            <a:ext uri="{FF2B5EF4-FFF2-40B4-BE49-F238E27FC236}">
              <a16:creationId xmlns:a16="http://schemas.microsoft.com/office/drawing/2014/main" id="{17274D97-F302-4B7D-9E3C-BDB02150CDD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24" name="Text Box 16" hidden="1">
          <a:extLst>
            <a:ext uri="{FF2B5EF4-FFF2-40B4-BE49-F238E27FC236}">
              <a16:creationId xmlns:a16="http://schemas.microsoft.com/office/drawing/2014/main" id="{4C5A51D9-1AC0-3FD4-4665-4D8B332165A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23" name="Text Box 15" hidden="1">
          <a:extLst>
            <a:ext uri="{FF2B5EF4-FFF2-40B4-BE49-F238E27FC236}">
              <a16:creationId xmlns:a16="http://schemas.microsoft.com/office/drawing/2014/main" id="{44BF098D-E07B-5138-8459-E0220B6A78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22" name="Text Box 14" hidden="1">
          <a:extLst>
            <a:ext uri="{FF2B5EF4-FFF2-40B4-BE49-F238E27FC236}">
              <a16:creationId xmlns:a16="http://schemas.microsoft.com/office/drawing/2014/main" id="{4A79F58F-3966-29C9-D2D8-80A366A5B8E4}"/>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21" name="Text Box 13" hidden="1">
          <a:extLst>
            <a:ext uri="{FF2B5EF4-FFF2-40B4-BE49-F238E27FC236}">
              <a16:creationId xmlns:a16="http://schemas.microsoft.com/office/drawing/2014/main" id="{43EDDCB4-7E8E-86DC-5B1B-0086A838832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20" name="Text Box 12" hidden="1">
          <a:extLst>
            <a:ext uri="{FF2B5EF4-FFF2-40B4-BE49-F238E27FC236}">
              <a16:creationId xmlns:a16="http://schemas.microsoft.com/office/drawing/2014/main" id="{9971F63F-FD50-FFBE-E818-A12A9797C6C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19" name="Text Box 11" hidden="1">
          <a:extLst>
            <a:ext uri="{FF2B5EF4-FFF2-40B4-BE49-F238E27FC236}">
              <a16:creationId xmlns:a16="http://schemas.microsoft.com/office/drawing/2014/main" id="{F3093F65-4DA5-E00B-7534-D3A3BF93B1AE}"/>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18" name="Text Box 10" hidden="1">
          <a:extLst>
            <a:ext uri="{FF2B5EF4-FFF2-40B4-BE49-F238E27FC236}">
              <a16:creationId xmlns:a16="http://schemas.microsoft.com/office/drawing/2014/main" id="{6E551E8D-3EFC-F955-21F2-3C209D98D4A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17" name="Text Box 9" hidden="1">
          <a:extLst>
            <a:ext uri="{FF2B5EF4-FFF2-40B4-BE49-F238E27FC236}">
              <a16:creationId xmlns:a16="http://schemas.microsoft.com/office/drawing/2014/main" id="{56F0DA21-1F93-A189-51ED-2C4D86154533}"/>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16" name="Text Box 8" hidden="1">
          <a:extLst>
            <a:ext uri="{FF2B5EF4-FFF2-40B4-BE49-F238E27FC236}">
              <a16:creationId xmlns:a16="http://schemas.microsoft.com/office/drawing/2014/main" id="{57B7B84B-69FA-1FC9-103C-E937E96308C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15" name="Text Box 7" hidden="1">
          <a:extLst>
            <a:ext uri="{FF2B5EF4-FFF2-40B4-BE49-F238E27FC236}">
              <a16:creationId xmlns:a16="http://schemas.microsoft.com/office/drawing/2014/main" id="{432356AF-F459-7919-7D30-B6CE8C9CC4FD}"/>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14" name="Text Box 6" hidden="1">
          <a:extLst>
            <a:ext uri="{FF2B5EF4-FFF2-40B4-BE49-F238E27FC236}">
              <a16:creationId xmlns:a16="http://schemas.microsoft.com/office/drawing/2014/main" id="{6085EC97-8029-FCBE-D06B-B004B9FF5F7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13" name="Text Box 5" hidden="1">
          <a:extLst>
            <a:ext uri="{FF2B5EF4-FFF2-40B4-BE49-F238E27FC236}">
              <a16:creationId xmlns:a16="http://schemas.microsoft.com/office/drawing/2014/main" id="{F78ABF95-FA52-4AEE-8B88-3D24D87787A6}"/>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12" name="Text Box 4" hidden="1">
          <a:extLst>
            <a:ext uri="{FF2B5EF4-FFF2-40B4-BE49-F238E27FC236}">
              <a16:creationId xmlns:a16="http://schemas.microsoft.com/office/drawing/2014/main" id="{25FD94BD-952E-42D7-1CF7-31350B763C08}"/>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11" name="Text Box 3" hidden="1">
          <a:extLst>
            <a:ext uri="{FF2B5EF4-FFF2-40B4-BE49-F238E27FC236}">
              <a16:creationId xmlns:a16="http://schemas.microsoft.com/office/drawing/2014/main" id="{CEAAE164-44A2-E3E1-5DA8-5416B5DEA955}"/>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10" name="Text Box 2" hidden="1">
          <a:extLst>
            <a:ext uri="{FF2B5EF4-FFF2-40B4-BE49-F238E27FC236}">
              <a16:creationId xmlns:a16="http://schemas.microsoft.com/office/drawing/2014/main" id="{47A0C930-5189-2921-4CBB-3399499DE9A0}"/>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09" name="Text Box 1" hidden="1">
          <a:extLst>
            <a:ext uri="{FF2B5EF4-FFF2-40B4-BE49-F238E27FC236}">
              <a16:creationId xmlns:a16="http://schemas.microsoft.com/office/drawing/2014/main" id="{38062E5F-FD8A-A936-58DF-5C649463FDFB}"/>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52" name="Text Box 44" hidden="1">
          <a:extLst>
            <a:ext uri="{FF2B5EF4-FFF2-40B4-BE49-F238E27FC236}">
              <a16:creationId xmlns:a16="http://schemas.microsoft.com/office/drawing/2014/main" id="{408A933E-C3C9-6F8D-03ED-2D9E0A99C3C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51" name="Text Box 43" hidden="1">
          <a:extLst>
            <a:ext uri="{FF2B5EF4-FFF2-40B4-BE49-F238E27FC236}">
              <a16:creationId xmlns:a16="http://schemas.microsoft.com/office/drawing/2014/main" id="{EA8672E4-354C-AFCC-3B30-A05B9A103BC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50" name="Text Box 42" hidden="1">
          <a:extLst>
            <a:ext uri="{FF2B5EF4-FFF2-40B4-BE49-F238E27FC236}">
              <a16:creationId xmlns:a16="http://schemas.microsoft.com/office/drawing/2014/main" id="{F75E6052-AA0A-E1CD-3098-5704D26FD0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49" name="Text Box 41" hidden="1">
          <a:extLst>
            <a:ext uri="{FF2B5EF4-FFF2-40B4-BE49-F238E27FC236}">
              <a16:creationId xmlns:a16="http://schemas.microsoft.com/office/drawing/2014/main" id="{F47A2FC5-5F87-45B5-BBCA-661ACB3CDE4D}"/>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48" name="Text Box 40" hidden="1">
          <a:extLst>
            <a:ext uri="{FF2B5EF4-FFF2-40B4-BE49-F238E27FC236}">
              <a16:creationId xmlns:a16="http://schemas.microsoft.com/office/drawing/2014/main" id="{C9D516A2-1DD3-9FD3-A514-BC70A0E57C21}"/>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47" name="Text Box 39" hidden="1">
          <a:extLst>
            <a:ext uri="{FF2B5EF4-FFF2-40B4-BE49-F238E27FC236}">
              <a16:creationId xmlns:a16="http://schemas.microsoft.com/office/drawing/2014/main" id="{967F805F-7E15-7949-4992-7AD467C65EB0}"/>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46" name="Text Box 38" hidden="1">
          <a:extLst>
            <a:ext uri="{FF2B5EF4-FFF2-40B4-BE49-F238E27FC236}">
              <a16:creationId xmlns:a16="http://schemas.microsoft.com/office/drawing/2014/main" id="{3381AF36-82B2-ECD4-AF64-7CE5F88E62F7}"/>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45" name="Text Box 37" hidden="1">
          <a:extLst>
            <a:ext uri="{FF2B5EF4-FFF2-40B4-BE49-F238E27FC236}">
              <a16:creationId xmlns:a16="http://schemas.microsoft.com/office/drawing/2014/main" id="{57FA465C-25A5-C9F9-2C52-E9956B174B0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44" name="Text Box 36" hidden="1">
          <a:extLst>
            <a:ext uri="{FF2B5EF4-FFF2-40B4-BE49-F238E27FC236}">
              <a16:creationId xmlns:a16="http://schemas.microsoft.com/office/drawing/2014/main" id="{136FD23C-F897-CBDB-7310-85A78CAE8328}"/>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43" name="Text Box 35" hidden="1">
          <a:extLst>
            <a:ext uri="{FF2B5EF4-FFF2-40B4-BE49-F238E27FC236}">
              <a16:creationId xmlns:a16="http://schemas.microsoft.com/office/drawing/2014/main" id="{2787A978-8633-114C-4D23-1C8DE5892486}"/>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42" name="Text Box 34" hidden="1">
          <a:extLst>
            <a:ext uri="{FF2B5EF4-FFF2-40B4-BE49-F238E27FC236}">
              <a16:creationId xmlns:a16="http://schemas.microsoft.com/office/drawing/2014/main" id="{5FF1DB10-A846-440A-DA47-A734599A46C2}"/>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41" name="Text Box 33" hidden="1">
          <a:extLst>
            <a:ext uri="{FF2B5EF4-FFF2-40B4-BE49-F238E27FC236}">
              <a16:creationId xmlns:a16="http://schemas.microsoft.com/office/drawing/2014/main" id="{94429EC1-1C31-323C-3157-4699DC23B2A1}"/>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40" name="Text Box 32" hidden="1">
          <a:extLst>
            <a:ext uri="{FF2B5EF4-FFF2-40B4-BE49-F238E27FC236}">
              <a16:creationId xmlns:a16="http://schemas.microsoft.com/office/drawing/2014/main" id="{82C2F8E7-BD21-903F-0303-B89C6290EA1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39" name="Text Box 31" hidden="1">
          <a:extLst>
            <a:ext uri="{FF2B5EF4-FFF2-40B4-BE49-F238E27FC236}">
              <a16:creationId xmlns:a16="http://schemas.microsoft.com/office/drawing/2014/main" id="{06F5B300-25AA-DB4A-244F-B8DED3AB7984}"/>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38" name="Text Box 30" hidden="1">
          <a:extLst>
            <a:ext uri="{FF2B5EF4-FFF2-40B4-BE49-F238E27FC236}">
              <a16:creationId xmlns:a16="http://schemas.microsoft.com/office/drawing/2014/main" id="{6EE36C4F-26E8-CD8B-1F7F-C8DAF9D94D0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37" name="Text Box 29" hidden="1">
          <a:extLst>
            <a:ext uri="{FF2B5EF4-FFF2-40B4-BE49-F238E27FC236}">
              <a16:creationId xmlns:a16="http://schemas.microsoft.com/office/drawing/2014/main" id="{C3C81574-3DE6-12C8-6CE3-8495603ADAE0}"/>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36" name="Text Box 28" hidden="1">
          <a:extLst>
            <a:ext uri="{FF2B5EF4-FFF2-40B4-BE49-F238E27FC236}">
              <a16:creationId xmlns:a16="http://schemas.microsoft.com/office/drawing/2014/main" id="{1A4E28D2-DAC8-166B-2BC5-5DF747A365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35" name="Text Box 27" hidden="1">
          <a:extLst>
            <a:ext uri="{FF2B5EF4-FFF2-40B4-BE49-F238E27FC236}">
              <a16:creationId xmlns:a16="http://schemas.microsoft.com/office/drawing/2014/main" id="{7F5C336D-50D4-66CF-EF6F-E50944E53A6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34" name="Text Box 26" hidden="1">
          <a:extLst>
            <a:ext uri="{FF2B5EF4-FFF2-40B4-BE49-F238E27FC236}">
              <a16:creationId xmlns:a16="http://schemas.microsoft.com/office/drawing/2014/main" id="{F4CFA468-B402-44A7-F5A1-8BDEDA241B4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33" name="Text Box 25" hidden="1">
          <a:extLst>
            <a:ext uri="{FF2B5EF4-FFF2-40B4-BE49-F238E27FC236}">
              <a16:creationId xmlns:a16="http://schemas.microsoft.com/office/drawing/2014/main" id="{5A1CD799-44FA-3C16-C734-83FD7052880A}"/>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32" name="Text Box 24" hidden="1">
          <a:extLst>
            <a:ext uri="{FF2B5EF4-FFF2-40B4-BE49-F238E27FC236}">
              <a16:creationId xmlns:a16="http://schemas.microsoft.com/office/drawing/2014/main" id="{C856F9D0-F92A-6F80-E0EB-7E5130BDE2E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31" name="Text Box 23" hidden="1">
          <a:extLst>
            <a:ext uri="{FF2B5EF4-FFF2-40B4-BE49-F238E27FC236}">
              <a16:creationId xmlns:a16="http://schemas.microsoft.com/office/drawing/2014/main" id="{1307426D-6483-8BF6-ADDD-53AC0F39DA50}"/>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50655</xdr:rowOff>
    </xdr:from>
    <xdr:to>
      <xdr:col>5</xdr:col>
      <xdr:colOff>190500</xdr:colOff>
      <xdr:row>79</xdr:row>
      <xdr:rowOff>75468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75</xdr:row>
      <xdr:rowOff>126203</xdr:rowOff>
    </xdr:from>
    <xdr:to>
      <xdr:col>5</xdr:col>
      <xdr:colOff>190500</xdr:colOff>
      <xdr:row>80</xdr:row>
      <xdr:rowOff>76733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178267</xdr:rowOff>
    </xdr:from>
    <xdr:to>
      <xdr:col>5</xdr:col>
      <xdr:colOff>190500</xdr:colOff>
      <xdr:row>81</xdr:row>
      <xdr:rowOff>54923</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29426</xdr:rowOff>
    </xdr:from>
    <xdr:to>
      <xdr:col>5</xdr:col>
      <xdr:colOff>190500</xdr:colOff>
      <xdr:row>82</xdr:row>
      <xdr:rowOff>178123</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101</xdr:row>
      <xdr:rowOff>153704</xdr:rowOff>
    </xdr:from>
    <xdr:to>
      <xdr:col>5</xdr:col>
      <xdr:colOff>190500</xdr:colOff>
      <xdr:row>128</xdr:row>
      <xdr:rowOff>183999</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102</xdr:row>
      <xdr:rowOff>75133</xdr:rowOff>
    </xdr:from>
    <xdr:to>
      <xdr:col>5</xdr:col>
      <xdr:colOff>190500</xdr:colOff>
      <xdr:row>113</xdr:row>
      <xdr:rowOff>72577</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74</xdr:row>
      <xdr:rowOff>68707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69</xdr:row>
      <xdr:rowOff>163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62</xdr:row>
      <xdr:rowOff>173921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37981</xdr:rowOff>
    </xdr:from>
    <xdr:to>
      <xdr:col>5</xdr:col>
      <xdr:colOff>190500</xdr:colOff>
      <xdr:row>62</xdr:row>
      <xdr:rowOff>78855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139722</xdr:rowOff>
    </xdr:from>
    <xdr:to>
      <xdr:col>5</xdr:col>
      <xdr:colOff>190500</xdr:colOff>
      <xdr:row>61</xdr:row>
      <xdr:rowOff>48679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102</xdr:row>
      <xdr:rowOff>100954</xdr:rowOff>
    </xdr:from>
    <xdr:to>
      <xdr:col>6</xdr:col>
      <xdr:colOff>38100</xdr:colOff>
      <xdr:row>111</xdr:row>
      <xdr:rowOff>20583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133094</xdr:rowOff>
    </xdr:from>
    <xdr:to>
      <xdr:col>5</xdr:col>
      <xdr:colOff>190500</xdr:colOff>
      <xdr:row>61</xdr:row>
      <xdr:rowOff>46533</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122447</xdr:rowOff>
    </xdr:from>
    <xdr:to>
      <xdr:col>5</xdr:col>
      <xdr:colOff>190500</xdr:colOff>
      <xdr:row>61</xdr:row>
      <xdr:rowOff>140365</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179875</xdr:rowOff>
    </xdr:from>
    <xdr:to>
      <xdr:col>5</xdr:col>
      <xdr:colOff>190500</xdr:colOff>
      <xdr:row>62</xdr:row>
      <xdr:rowOff>162038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197420</xdr:rowOff>
    </xdr:from>
    <xdr:to>
      <xdr:col>5</xdr:col>
      <xdr:colOff>190500</xdr:colOff>
      <xdr:row>64</xdr:row>
      <xdr:rowOff>63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35891</xdr:rowOff>
    </xdr:from>
    <xdr:to>
      <xdr:col>5</xdr:col>
      <xdr:colOff>190500</xdr:colOff>
      <xdr:row>108</xdr:row>
      <xdr:rowOff>38923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14842</xdr:rowOff>
    </xdr:from>
    <xdr:to>
      <xdr:col>5</xdr:col>
      <xdr:colOff>190500</xdr:colOff>
      <xdr:row>94</xdr:row>
      <xdr:rowOff>103851</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55</xdr:row>
      <xdr:rowOff>178336</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53</xdr:row>
      <xdr:rowOff>121646</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44580</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50258</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106072</xdr:rowOff>
    </xdr:from>
    <xdr:to>
      <xdr:col>6</xdr:col>
      <xdr:colOff>38100</xdr:colOff>
      <xdr:row>92</xdr:row>
      <xdr:rowOff>237100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76</xdr:row>
      <xdr:rowOff>330907</xdr:rowOff>
    </xdr:from>
    <xdr:to>
      <xdr:col>5</xdr:col>
      <xdr:colOff>190500</xdr:colOff>
      <xdr:row>82</xdr:row>
      <xdr:rowOff>57138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77</xdr:row>
      <xdr:rowOff>113294</xdr:rowOff>
    </xdr:from>
    <xdr:to>
      <xdr:col>5</xdr:col>
      <xdr:colOff>190500</xdr:colOff>
      <xdr:row>83</xdr:row>
      <xdr:rowOff>36041</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114786</xdr:rowOff>
    </xdr:from>
    <xdr:to>
      <xdr:col>5</xdr:col>
      <xdr:colOff>190500</xdr:colOff>
      <xdr:row>83</xdr:row>
      <xdr:rowOff>177046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18968</xdr:rowOff>
    </xdr:from>
    <xdr:to>
      <xdr:col>5</xdr:col>
      <xdr:colOff>190500</xdr:colOff>
      <xdr:row>84</xdr:row>
      <xdr:rowOff>112331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105</xdr:row>
      <xdr:rowOff>41123</xdr:rowOff>
    </xdr:from>
    <xdr:to>
      <xdr:col>5</xdr:col>
      <xdr:colOff>190500</xdr:colOff>
      <xdr:row>120</xdr:row>
      <xdr:rowOff>52750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86229</xdr:rowOff>
    </xdr:from>
    <xdr:to>
      <xdr:col>5</xdr:col>
      <xdr:colOff>190500</xdr:colOff>
      <xdr:row>79</xdr:row>
      <xdr:rowOff>10554</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28329</xdr:rowOff>
    </xdr:from>
    <xdr:to>
      <xdr:col>5</xdr:col>
      <xdr:colOff>190500</xdr:colOff>
      <xdr:row>74</xdr:row>
      <xdr:rowOff>25859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85820</xdr:rowOff>
    </xdr:from>
    <xdr:to>
      <xdr:col>5</xdr:col>
      <xdr:colOff>190500</xdr:colOff>
      <xdr:row>68</xdr:row>
      <xdr:rowOff>12551</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73252</xdr:rowOff>
    </xdr:from>
    <xdr:to>
      <xdr:col>5</xdr:col>
      <xdr:colOff>190500</xdr:colOff>
      <xdr:row>67</xdr:row>
      <xdr:rowOff>95139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57535</xdr:rowOff>
    </xdr:from>
    <xdr:to>
      <xdr:col>5</xdr:col>
      <xdr:colOff>190500</xdr:colOff>
      <xdr:row>66</xdr:row>
      <xdr:rowOff>57535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41123</xdr:rowOff>
    </xdr:from>
    <xdr:to>
      <xdr:col>6</xdr:col>
      <xdr:colOff>38100</xdr:colOff>
      <xdr:row>118</xdr:row>
      <xdr:rowOff>100275</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48609</xdr:rowOff>
    </xdr:from>
    <xdr:to>
      <xdr:col>17</xdr:col>
      <xdr:colOff>559594</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92327</xdr:rowOff>
    </xdr:from>
    <xdr:to>
      <xdr:col>18</xdr:col>
      <xdr:colOff>579173</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92438</xdr:rowOff>
    </xdr:from>
    <xdr:to>
      <xdr:col>5</xdr:col>
      <xdr:colOff>190500</xdr:colOff>
      <xdr:row>94</xdr:row>
      <xdr:rowOff>101778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92438</xdr:rowOff>
    </xdr:from>
    <xdr:to>
      <xdr:col>6</xdr:col>
      <xdr:colOff>38100</xdr:colOff>
      <xdr:row>92</xdr:row>
      <xdr:rowOff>187093</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92438</xdr:rowOff>
    </xdr:from>
    <xdr:to>
      <xdr:col>5</xdr:col>
      <xdr:colOff>190500</xdr:colOff>
      <xdr:row>94</xdr:row>
      <xdr:rowOff>101778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92438</xdr:rowOff>
    </xdr:from>
    <xdr:to>
      <xdr:col>6</xdr:col>
      <xdr:colOff>38100</xdr:colOff>
      <xdr:row>92</xdr:row>
      <xdr:rowOff>187093</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72594</xdr:rowOff>
    </xdr:from>
    <xdr:to>
      <xdr:col>5</xdr:col>
      <xdr:colOff>190500</xdr:colOff>
      <xdr:row>94</xdr:row>
      <xdr:rowOff>101778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92438</xdr:rowOff>
    </xdr:from>
    <xdr:to>
      <xdr:col>6</xdr:col>
      <xdr:colOff>38100</xdr:colOff>
      <xdr:row>92</xdr:row>
      <xdr:rowOff>187093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336365</xdr:rowOff>
    </xdr:from>
    <xdr:to>
      <xdr:col>5</xdr:col>
      <xdr:colOff>190500</xdr:colOff>
      <xdr:row>59</xdr:row>
      <xdr:rowOff>123031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20009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72594</xdr:rowOff>
    </xdr:from>
    <xdr:to>
      <xdr:col>5</xdr:col>
      <xdr:colOff>190500</xdr:colOff>
      <xdr:row>94</xdr:row>
      <xdr:rowOff>101778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437089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72594</xdr:rowOff>
    </xdr:from>
    <xdr:to>
      <xdr:col>6</xdr:col>
      <xdr:colOff>38100</xdr:colOff>
      <xdr:row>92</xdr:row>
      <xdr:rowOff>187093</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77548</xdr:rowOff>
    </xdr:from>
    <xdr:to>
      <xdr:col>5</xdr:col>
      <xdr:colOff>637540</xdr:colOff>
      <xdr:row>64</xdr:row>
      <xdr:rowOff>107666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28540</xdr:rowOff>
    </xdr:from>
    <xdr:to>
      <xdr:col>5</xdr:col>
      <xdr:colOff>637540</xdr:colOff>
      <xdr:row>65</xdr:row>
      <xdr:rowOff>66478</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101962</xdr:rowOff>
    </xdr:from>
    <xdr:to>
      <xdr:col>5</xdr:col>
      <xdr:colOff>637540</xdr:colOff>
      <xdr:row>66</xdr:row>
      <xdr:rowOff>95210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180845</xdr:rowOff>
    </xdr:from>
    <xdr:to>
      <xdr:col>5</xdr:col>
      <xdr:colOff>637540</xdr:colOff>
      <xdr:row>67</xdr:row>
      <xdr:rowOff>94833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178001</xdr:rowOff>
    </xdr:from>
    <xdr:to>
      <xdr:col>5</xdr:col>
      <xdr:colOff>637540</xdr:colOff>
      <xdr:row>86</xdr:row>
      <xdr:rowOff>119344</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637540</xdr:colOff>
      <xdr:row>88</xdr:row>
      <xdr:rowOff>77203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637540</xdr:colOff>
      <xdr:row>90</xdr:row>
      <xdr:rowOff>105390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77548</xdr:rowOff>
    </xdr:from>
    <xdr:to>
      <xdr:col>5</xdr:col>
      <xdr:colOff>637540</xdr:colOff>
      <xdr:row>64</xdr:row>
      <xdr:rowOff>107666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28540</xdr:rowOff>
    </xdr:from>
    <xdr:to>
      <xdr:col>5</xdr:col>
      <xdr:colOff>637540</xdr:colOff>
      <xdr:row>65</xdr:row>
      <xdr:rowOff>66478</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101962</xdr:rowOff>
    </xdr:from>
    <xdr:to>
      <xdr:col>5</xdr:col>
      <xdr:colOff>637540</xdr:colOff>
      <xdr:row>66</xdr:row>
      <xdr:rowOff>95210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180845</xdr:rowOff>
    </xdr:from>
    <xdr:to>
      <xdr:col>5</xdr:col>
      <xdr:colOff>637540</xdr:colOff>
      <xdr:row>67</xdr:row>
      <xdr:rowOff>94833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178001</xdr:rowOff>
    </xdr:from>
    <xdr:to>
      <xdr:col>5</xdr:col>
      <xdr:colOff>637540</xdr:colOff>
      <xdr:row>86</xdr:row>
      <xdr:rowOff>119344</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637540</xdr:colOff>
      <xdr:row>88</xdr:row>
      <xdr:rowOff>77203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637540</xdr:colOff>
      <xdr:row>90</xdr:row>
      <xdr:rowOff>105390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637540</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64592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637540</xdr:colOff>
      <xdr:row>64</xdr:row>
      <xdr:rowOff>107666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637540</xdr:colOff>
      <xdr:row>65</xdr:row>
      <xdr:rowOff>66478</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637540</xdr:colOff>
      <xdr:row>66</xdr:row>
      <xdr:rowOff>95210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637540</xdr:colOff>
      <xdr:row>67</xdr:row>
      <xdr:rowOff>94833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637540</xdr:colOff>
      <xdr:row>86</xdr:row>
      <xdr:rowOff>119344</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637540</xdr:colOff>
      <xdr:row>88</xdr:row>
      <xdr:rowOff>77203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637540</xdr:colOff>
      <xdr:row>90</xdr:row>
      <xdr:rowOff>105390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66478</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609600</xdr:colOff>
      <xdr:row>86</xdr:row>
      <xdr:rowOff>119344</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609600</xdr:colOff>
      <xdr:row>88</xdr:row>
      <xdr:rowOff>77203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609600</xdr:colOff>
      <xdr:row>90</xdr:row>
      <xdr:rowOff>105390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66478</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609600</xdr:colOff>
      <xdr:row>86</xdr:row>
      <xdr:rowOff>119344</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609600</xdr:colOff>
      <xdr:row>88</xdr:row>
      <xdr:rowOff>77203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609600</xdr:colOff>
      <xdr:row>90</xdr:row>
      <xdr:rowOff>105390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202025</xdr:rowOff>
    </xdr:from>
    <xdr:to>
      <xdr:col>5</xdr:col>
      <xdr:colOff>609600</xdr:colOff>
      <xdr:row>65</xdr:row>
      <xdr:rowOff>66478</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609600</xdr:colOff>
      <xdr:row>86</xdr:row>
      <xdr:rowOff>119344</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25334</xdr:rowOff>
    </xdr:from>
    <xdr:to>
      <xdr:col>5</xdr:col>
      <xdr:colOff>609600</xdr:colOff>
      <xdr:row>88</xdr:row>
      <xdr:rowOff>77203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609600</xdr:colOff>
      <xdr:row>90</xdr:row>
      <xdr:rowOff>105390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33689</xdr:rowOff>
    </xdr:from>
    <xdr:to>
      <xdr:col>6</xdr:col>
      <xdr:colOff>38100</xdr:colOff>
      <xdr:row>95</xdr:row>
      <xdr:rowOff>31553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88129</xdr:rowOff>
    </xdr:from>
    <xdr:to>
      <xdr:col>5</xdr:col>
      <xdr:colOff>609600</xdr:colOff>
      <xdr:row>52</xdr:row>
      <xdr:rowOff>436242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27488</xdr:rowOff>
    </xdr:from>
    <xdr:to>
      <xdr:col>5</xdr:col>
      <xdr:colOff>609600</xdr:colOff>
      <xdr:row>52</xdr:row>
      <xdr:rowOff>505298</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52</xdr:row>
      <xdr:rowOff>2386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125998</xdr:rowOff>
    </xdr:from>
    <xdr:to>
      <xdr:col>5</xdr:col>
      <xdr:colOff>609600</xdr:colOff>
      <xdr:row>52</xdr:row>
      <xdr:rowOff>48986</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126611</xdr:rowOff>
    </xdr:from>
    <xdr:to>
      <xdr:col>5</xdr:col>
      <xdr:colOff>609600</xdr:colOff>
      <xdr:row>52</xdr:row>
      <xdr:rowOff>292392</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122726</xdr:rowOff>
    </xdr:from>
    <xdr:to>
      <xdr:col>5</xdr:col>
      <xdr:colOff>609600</xdr:colOff>
      <xdr:row>68</xdr:row>
      <xdr:rowOff>25674</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142284</xdr:rowOff>
    </xdr:from>
    <xdr:to>
      <xdr:col>5</xdr:col>
      <xdr:colOff>609600</xdr:colOff>
      <xdr:row>68</xdr:row>
      <xdr:rowOff>221579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178082</xdr:rowOff>
    </xdr:from>
    <xdr:to>
      <xdr:col>5</xdr:col>
      <xdr:colOff>609600</xdr:colOff>
      <xdr:row>68</xdr:row>
      <xdr:rowOff>324907</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1099</xdr:rowOff>
    </xdr:from>
    <xdr:to>
      <xdr:col>5</xdr:col>
      <xdr:colOff>609600</xdr:colOff>
      <xdr:row>69</xdr:row>
      <xdr:rowOff>145262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153164</xdr:rowOff>
    </xdr:from>
    <xdr:to>
      <xdr:col>5</xdr:col>
      <xdr:colOff>609600</xdr:colOff>
      <xdr:row>90</xdr:row>
      <xdr:rowOff>130714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130714</xdr:rowOff>
    </xdr:from>
    <xdr:to>
      <xdr:col>5</xdr:col>
      <xdr:colOff>609600</xdr:colOff>
      <xdr:row>96</xdr:row>
      <xdr:rowOff>142671</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130714</xdr:rowOff>
    </xdr:from>
    <xdr:to>
      <xdr:col>5</xdr:col>
      <xdr:colOff>609600</xdr:colOff>
      <xdr:row>95</xdr:row>
      <xdr:rowOff>151161</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239003</xdr:rowOff>
    </xdr:from>
    <xdr:to>
      <xdr:col>6</xdr:col>
      <xdr:colOff>66040</xdr:colOff>
      <xdr:row>119</xdr:row>
      <xdr:rowOff>75769</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56477</xdr:rowOff>
    </xdr:from>
    <xdr:to>
      <xdr:col>5</xdr:col>
      <xdr:colOff>609600</xdr:colOff>
      <xdr:row>78</xdr:row>
      <xdr:rowOff>94588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36227</xdr:rowOff>
    </xdr:from>
    <xdr:to>
      <xdr:col>5</xdr:col>
      <xdr:colOff>637540</xdr:colOff>
      <xdr:row>76</xdr:row>
      <xdr:rowOff>251718</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124387</xdr:rowOff>
    </xdr:from>
    <xdr:to>
      <xdr:col>5</xdr:col>
      <xdr:colOff>609600</xdr:colOff>
      <xdr:row>70</xdr:row>
      <xdr:rowOff>163331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69</xdr:row>
      <xdr:rowOff>142856</xdr:rowOff>
    </xdr:from>
    <xdr:to>
      <xdr:col>5</xdr:col>
      <xdr:colOff>609600</xdr:colOff>
      <xdr:row>71</xdr:row>
      <xdr:rowOff>79098</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126353</xdr:rowOff>
    </xdr:from>
    <xdr:to>
      <xdr:col>5</xdr:col>
      <xdr:colOff>609600</xdr:colOff>
      <xdr:row>72</xdr:row>
      <xdr:rowOff>44834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85</xdr:row>
      <xdr:rowOff>134132</xdr:rowOff>
    </xdr:from>
    <xdr:to>
      <xdr:col>5</xdr:col>
      <xdr:colOff>609600</xdr:colOff>
      <xdr:row>90</xdr:row>
      <xdr:rowOff>115613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86</xdr:row>
      <xdr:rowOff>139768</xdr:rowOff>
    </xdr:from>
    <xdr:to>
      <xdr:col>5</xdr:col>
      <xdr:colOff>609600</xdr:colOff>
      <xdr:row>91</xdr:row>
      <xdr:rowOff>74388</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139027</xdr:rowOff>
    </xdr:from>
    <xdr:to>
      <xdr:col>5</xdr:col>
      <xdr:colOff>609600</xdr:colOff>
      <xdr:row>92</xdr:row>
      <xdr:rowOff>80503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26867</xdr:rowOff>
    </xdr:from>
    <xdr:to>
      <xdr:col>5</xdr:col>
      <xdr:colOff>609600</xdr:colOff>
      <xdr:row>93</xdr:row>
      <xdr:rowOff>3764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112</xdr:row>
      <xdr:rowOff>130748</xdr:rowOff>
    </xdr:from>
    <xdr:to>
      <xdr:col>5</xdr:col>
      <xdr:colOff>609600</xdr:colOff>
      <xdr:row>112</xdr:row>
      <xdr:rowOff>130832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113</xdr:row>
      <xdr:rowOff>122019</xdr:rowOff>
    </xdr:from>
    <xdr:to>
      <xdr:col>5</xdr:col>
      <xdr:colOff>609600</xdr:colOff>
      <xdr:row>136</xdr:row>
      <xdr:rowOff>153196</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113</xdr:row>
      <xdr:rowOff>122019</xdr:rowOff>
    </xdr:from>
    <xdr:to>
      <xdr:col>5</xdr:col>
      <xdr:colOff>609600</xdr:colOff>
      <xdr:row>135</xdr:row>
      <xdr:rowOff>47573</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75463</xdr:rowOff>
    </xdr:from>
    <xdr:to>
      <xdr:col>6</xdr:col>
      <xdr:colOff>57150</xdr:colOff>
      <xdr:row>124</xdr:row>
      <xdr:rowOff>142795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44958</xdr:rowOff>
    </xdr:from>
    <xdr:to>
      <xdr:col>5</xdr:col>
      <xdr:colOff>628650</xdr:colOff>
      <xdr:row>82</xdr:row>
      <xdr:rowOff>24752</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130737</xdr:rowOff>
    </xdr:from>
    <xdr:to>
      <xdr:col>5</xdr:col>
      <xdr:colOff>628650</xdr:colOff>
      <xdr:row>82</xdr:row>
      <xdr:rowOff>11017</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117239</xdr:rowOff>
    </xdr:from>
    <xdr:to>
      <xdr:col>5</xdr:col>
      <xdr:colOff>628650</xdr:colOff>
      <xdr:row>73</xdr:row>
      <xdr:rowOff>126082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77222</xdr:rowOff>
    </xdr:from>
    <xdr:to>
      <xdr:col>5</xdr:col>
      <xdr:colOff>628650</xdr:colOff>
      <xdr:row>72</xdr:row>
      <xdr:rowOff>153310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101864</xdr:rowOff>
    </xdr:from>
    <xdr:to>
      <xdr:col>5</xdr:col>
      <xdr:colOff>609600</xdr:colOff>
      <xdr:row>76</xdr:row>
      <xdr:rowOff>271615</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18974</xdr:rowOff>
    </xdr:from>
    <xdr:to>
      <xdr:col>5</xdr:col>
      <xdr:colOff>609600</xdr:colOff>
      <xdr:row>94</xdr:row>
      <xdr:rowOff>122658</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15176</xdr:rowOff>
    </xdr:from>
    <xdr:to>
      <xdr:col>5</xdr:col>
      <xdr:colOff>609600</xdr:colOff>
      <xdr:row>95</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199378</xdr:rowOff>
    </xdr:from>
    <xdr:to>
      <xdr:col>5</xdr:col>
      <xdr:colOff>609600</xdr:colOff>
      <xdr:row>95</xdr:row>
      <xdr:rowOff>240700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120406</xdr:rowOff>
    </xdr:from>
    <xdr:to>
      <xdr:col>5</xdr:col>
      <xdr:colOff>609600</xdr:colOff>
      <xdr:row>96</xdr:row>
      <xdr:rowOff>153229</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117</xdr:row>
      <xdr:rowOff>162416</xdr:rowOff>
    </xdr:from>
    <xdr:to>
      <xdr:col>5</xdr:col>
      <xdr:colOff>609600</xdr:colOff>
      <xdr:row>117</xdr:row>
      <xdr:rowOff>175932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118</xdr:row>
      <xdr:rowOff>92020</xdr:rowOff>
    </xdr:from>
    <xdr:to>
      <xdr:col>5</xdr:col>
      <xdr:colOff>609600</xdr:colOff>
      <xdr:row>186</xdr:row>
      <xdr:rowOff>27000</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118</xdr:row>
      <xdr:rowOff>92020</xdr:rowOff>
    </xdr:from>
    <xdr:to>
      <xdr:col>5</xdr:col>
      <xdr:colOff>609600</xdr:colOff>
      <xdr:row>184</xdr:row>
      <xdr:rowOff>113247</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134821</xdr:rowOff>
    </xdr:from>
    <xdr:to>
      <xdr:col>6</xdr:col>
      <xdr:colOff>57150</xdr:colOff>
      <xdr:row>101</xdr:row>
      <xdr:rowOff>54262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28843</xdr:rowOff>
    </xdr:from>
    <xdr:to>
      <xdr:col>5</xdr:col>
      <xdr:colOff>628650</xdr:colOff>
      <xdr:row>59</xdr:row>
      <xdr:rowOff>28243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105043</xdr:rowOff>
    </xdr:from>
    <xdr:to>
      <xdr:col>5</xdr:col>
      <xdr:colOff>628650</xdr:colOff>
      <xdr:row>59</xdr:row>
      <xdr:rowOff>27891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390617</xdr:rowOff>
    </xdr:from>
    <xdr:to>
      <xdr:col>5</xdr:col>
      <xdr:colOff>628650</xdr:colOff>
      <xdr:row>54</xdr:row>
      <xdr:rowOff>56522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64931</xdr:rowOff>
    </xdr:from>
    <xdr:to>
      <xdr:col>5</xdr:col>
      <xdr:colOff>628650</xdr:colOff>
      <xdr:row>53</xdr:row>
      <xdr:rowOff>341469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54130</xdr:rowOff>
    </xdr:from>
    <xdr:to>
      <xdr:col>5</xdr:col>
      <xdr:colOff>609600</xdr:colOff>
      <xdr:row>57</xdr:row>
      <xdr:rowOff>45547</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48014</xdr:rowOff>
    </xdr:from>
    <xdr:to>
      <xdr:col>5</xdr:col>
      <xdr:colOff>609600</xdr:colOff>
      <xdr:row>73</xdr:row>
      <xdr:rowOff>125849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27050</xdr:rowOff>
    </xdr:from>
    <xdr:to>
      <xdr:col>5</xdr:col>
      <xdr:colOff>609600</xdr:colOff>
      <xdr:row>74</xdr:row>
      <xdr:rowOff>106507</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182707</xdr:rowOff>
    </xdr:from>
    <xdr:to>
      <xdr:col>5</xdr:col>
      <xdr:colOff>609600</xdr:colOff>
      <xdr:row>75</xdr:row>
      <xdr:rowOff>126350</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179273</xdr:rowOff>
    </xdr:from>
    <xdr:to>
      <xdr:col>5</xdr:col>
      <xdr:colOff>609600</xdr:colOff>
      <xdr:row>76</xdr:row>
      <xdr:rowOff>126351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38517</xdr:rowOff>
    </xdr:from>
    <xdr:to>
      <xdr:col>5</xdr:col>
      <xdr:colOff>609600</xdr:colOff>
      <xdr:row>96</xdr:row>
      <xdr:rowOff>114444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20499</xdr:rowOff>
    </xdr:from>
    <xdr:to>
      <xdr:col>5</xdr:col>
      <xdr:colOff>609600</xdr:colOff>
      <xdr:row>119</xdr:row>
      <xdr:rowOff>149879</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20499</xdr:rowOff>
    </xdr:from>
    <xdr:to>
      <xdr:col>5</xdr:col>
      <xdr:colOff>609600</xdr:colOff>
      <xdr:row>118</xdr:row>
      <xdr:rowOff>111463</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177502</xdr:rowOff>
    </xdr:from>
    <xdr:to>
      <xdr:col>6</xdr:col>
      <xdr:colOff>38100</xdr:colOff>
      <xdr:row>93</xdr:row>
      <xdr:rowOff>176787</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107419</xdr:rowOff>
    </xdr:from>
    <xdr:to>
      <xdr:col>5</xdr:col>
      <xdr:colOff>609600</xdr:colOff>
      <xdr:row>52</xdr:row>
      <xdr:rowOff>400400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153335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259278</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70</xdr:row>
      <xdr:rowOff>182919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84155</xdr:rowOff>
    </xdr:from>
    <xdr:to>
      <xdr:col>5</xdr:col>
      <xdr:colOff>609600</xdr:colOff>
      <xdr:row>92</xdr:row>
      <xdr:rowOff>149178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5035</xdr:rowOff>
    </xdr:from>
    <xdr:to>
      <xdr:col>5</xdr:col>
      <xdr:colOff>609600</xdr:colOff>
      <xdr:row>119</xdr:row>
      <xdr:rowOff>55489</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5035</xdr:rowOff>
    </xdr:from>
    <xdr:to>
      <xdr:col>5</xdr:col>
      <xdr:colOff>609600</xdr:colOff>
      <xdr:row>119</xdr:row>
      <xdr:rowOff>55489</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177502</xdr:rowOff>
    </xdr:from>
    <xdr:to>
      <xdr:col>6</xdr:col>
      <xdr:colOff>38100</xdr:colOff>
      <xdr:row>93</xdr:row>
      <xdr:rowOff>176787</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57485</xdr:rowOff>
    </xdr:from>
    <xdr:to>
      <xdr:col>5</xdr:col>
      <xdr:colOff>609600</xdr:colOff>
      <xdr:row>92</xdr:row>
      <xdr:rowOff>129652</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177502</xdr:rowOff>
    </xdr:from>
    <xdr:to>
      <xdr:col>6</xdr:col>
      <xdr:colOff>38100</xdr:colOff>
      <xdr:row>93</xdr:row>
      <xdr:rowOff>176787</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57485</xdr:rowOff>
    </xdr:from>
    <xdr:to>
      <xdr:col>5</xdr:col>
      <xdr:colOff>609600</xdr:colOff>
      <xdr:row>92</xdr:row>
      <xdr:rowOff>129652</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27071</xdr:rowOff>
    </xdr:from>
    <xdr:to>
      <xdr:col>6</xdr:col>
      <xdr:colOff>38100</xdr:colOff>
      <xdr:row>193</xdr:row>
      <xdr:rowOff>146822</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44756</xdr:rowOff>
    </xdr:from>
    <xdr:to>
      <xdr:col>5</xdr:col>
      <xdr:colOff>609600</xdr:colOff>
      <xdr:row>191</xdr:row>
      <xdr:rowOff>50553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37644</xdr:rowOff>
    </xdr:from>
    <xdr:to>
      <xdr:col>5</xdr:col>
      <xdr:colOff>618490</xdr:colOff>
      <xdr:row>98</xdr:row>
      <xdr:rowOff>114459</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181785</xdr:rowOff>
    </xdr:from>
    <xdr:to>
      <xdr:col>5</xdr:col>
      <xdr:colOff>618490</xdr:colOff>
      <xdr:row>100</xdr:row>
      <xdr:rowOff>93971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57309</xdr:rowOff>
    </xdr:from>
    <xdr:to>
      <xdr:col>5</xdr:col>
      <xdr:colOff>618490</xdr:colOff>
      <xdr:row>103</xdr:row>
      <xdr:rowOff>123411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74829</xdr:rowOff>
    </xdr:from>
    <xdr:to>
      <xdr:col>5</xdr:col>
      <xdr:colOff>618490</xdr:colOff>
      <xdr:row>104</xdr:row>
      <xdr:rowOff>111710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24496</xdr:rowOff>
    </xdr:from>
    <xdr:to>
      <xdr:col>5</xdr:col>
      <xdr:colOff>618490</xdr:colOff>
      <xdr:row>93</xdr:row>
      <xdr:rowOff>3765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53240</xdr:rowOff>
    </xdr:from>
    <xdr:to>
      <xdr:col>5</xdr:col>
      <xdr:colOff>618490</xdr:colOff>
      <xdr:row>93</xdr:row>
      <xdr:rowOff>185254</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54644</xdr:rowOff>
    </xdr:from>
    <xdr:to>
      <xdr:col>5</xdr:col>
      <xdr:colOff>618490</xdr:colOff>
      <xdr:row>94</xdr:row>
      <xdr:rowOff>141708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34226</xdr:rowOff>
    </xdr:from>
    <xdr:to>
      <xdr:col>5</xdr:col>
      <xdr:colOff>618490</xdr:colOff>
      <xdr:row>95</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27071</xdr:rowOff>
    </xdr:from>
    <xdr:to>
      <xdr:col>6</xdr:col>
      <xdr:colOff>38100</xdr:colOff>
      <xdr:row>193</xdr:row>
      <xdr:rowOff>146822</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44756</xdr:rowOff>
    </xdr:from>
    <xdr:to>
      <xdr:col>5</xdr:col>
      <xdr:colOff>609600</xdr:colOff>
      <xdr:row>191</xdr:row>
      <xdr:rowOff>50553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37644</xdr:rowOff>
    </xdr:from>
    <xdr:to>
      <xdr:col>5</xdr:col>
      <xdr:colOff>618490</xdr:colOff>
      <xdr:row>98</xdr:row>
      <xdr:rowOff>114459</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181785</xdr:rowOff>
    </xdr:from>
    <xdr:to>
      <xdr:col>5</xdr:col>
      <xdr:colOff>618490</xdr:colOff>
      <xdr:row>100</xdr:row>
      <xdr:rowOff>93971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57309</xdr:rowOff>
    </xdr:from>
    <xdr:to>
      <xdr:col>5</xdr:col>
      <xdr:colOff>618490</xdr:colOff>
      <xdr:row>103</xdr:row>
      <xdr:rowOff>123411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74829</xdr:rowOff>
    </xdr:from>
    <xdr:to>
      <xdr:col>5</xdr:col>
      <xdr:colOff>618490</xdr:colOff>
      <xdr:row>104</xdr:row>
      <xdr:rowOff>111710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24496</xdr:rowOff>
    </xdr:from>
    <xdr:to>
      <xdr:col>5</xdr:col>
      <xdr:colOff>618490</xdr:colOff>
      <xdr:row>93</xdr:row>
      <xdr:rowOff>3765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53240</xdr:rowOff>
    </xdr:from>
    <xdr:to>
      <xdr:col>5</xdr:col>
      <xdr:colOff>618490</xdr:colOff>
      <xdr:row>93</xdr:row>
      <xdr:rowOff>185254</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54644</xdr:rowOff>
    </xdr:from>
    <xdr:to>
      <xdr:col>5</xdr:col>
      <xdr:colOff>618490</xdr:colOff>
      <xdr:row>94</xdr:row>
      <xdr:rowOff>141708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34226</xdr:rowOff>
    </xdr:from>
    <xdr:to>
      <xdr:col>5</xdr:col>
      <xdr:colOff>618490</xdr:colOff>
      <xdr:row>95</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27071</xdr:rowOff>
    </xdr:from>
    <xdr:to>
      <xdr:col>6</xdr:col>
      <xdr:colOff>38100</xdr:colOff>
      <xdr:row>193</xdr:row>
      <xdr:rowOff>146822</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44756</xdr:rowOff>
    </xdr:from>
    <xdr:to>
      <xdr:col>5</xdr:col>
      <xdr:colOff>609600</xdr:colOff>
      <xdr:row>191</xdr:row>
      <xdr:rowOff>50553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37644</xdr:rowOff>
    </xdr:from>
    <xdr:to>
      <xdr:col>5</xdr:col>
      <xdr:colOff>618490</xdr:colOff>
      <xdr:row>98</xdr:row>
      <xdr:rowOff>114459</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181785</xdr:rowOff>
    </xdr:from>
    <xdr:to>
      <xdr:col>5</xdr:col>
      <xdr:colOff>618490</xdr:colOff>
      <xdr:row>100</xdr:row>
      <xdr:rowOff>93971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57309</xdr:rowOff>
    </xdr:from>
    <xdr:to>
      <xdr:col>5</xdr:col>
      <xdr:colOff>618490</xdr:colOff>
      <xdr:row>103</xdr:row>
      <xdr:rowOff>123411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74829</xdr:rowOff>
    </xdr:from>
    <xdr:to>
      <xdr:col>5</xdr:col>
      <xdr:colOff>618490</xdr:colOff>
      <xdr:row>104</xdr:row>
      <xdr:rowOff>111710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24496</xdr:rowOff>
    </xdr:from>
    <xdr:to>
      <xdr:col>5</xdr:col>
      <xdr:colOff>618490</xdr:colOff>
      <xdr:row>93</xdr:row>
      <xdr:rowOff>3765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53240</xdr:rowOff>
    </xdr:from>
    <xdr:to>
      <xdr:col>5</xdr:col>
      <xdr:colOff>618490</xdr:colOff>
      <xdr:row>93</xdr:row>
      <xdr:rowOff>185254</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54644</xdr:rowOff>
    </xdr:from>
    <xdr:to>
      <xdr:col>5</xdr:col>
      <xdr:colOff>618490</xdr:colOff>
      <xdr:row>94</xdr:row>
      <xdr:rowOff>141708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34226</xdr:rowOff>
    </xdr:from>
    <xdr:to>
      <xdr:col>5</xdr:col>
      <xdr:colOff>618490</xdr:colOff>
      <xdr:row>95</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45236</xdr:rowOff>
    </xdr:from>
    <xdr:to>
      <xdr:col>6</xdr:col>
      <xdr:colOff>38100</xdr:colOff>
      <xdr:row>193</xdr:row>
      <xdr:rowOff>146822</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53421</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617220</xdr:colOff>
      <xdr:row>98</xdr:row>
      <xdr:rowOff>114459</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617220</xdr:colOff>
      <xdr:row>100</xdr:row>
      <xdr:rowOff>94289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617220</xdr:colOff>
      <xdr:row>103</xdr:row>
      <xdr:rowOff>123411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617220</xdr:colOff>
      <xdr:row>104</xdr:row>
      <xdr:rowOff>111710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24496</xdr:rowOff>
    </xdr:from>
    <xdr:to>
      <xdr:col>5</xdr:col>
      <xdr:colOff>617220</xdr:colOff>
      <xdr:row>93</xdr:row>
      <xdr:rowOff>3765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53240</xdr:rowOff>
    </xdr:from>
    <xdr:to>
      <xdr:col>5</xdr:col>
      <xdr:colOff>617220</xdr:colOff>
      <xdr:row>93</xdr:row>
      <xdr:rowOff>185254</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617220</xdr:colOff>
      <xdr:row>94</xdr:row>
      <xdr:rowOff>141708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34226</xdr:rowOff>
    </xdr:from>
    <xdr:to>
      <xdr:col>5</xdr:col>
      <xdr:colOff>617220</xdr:colOff>
      <xdr:row>95</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45236</xdr:rowOff>
    </xdr:from>
    <xdr:to>
      <xdr:col>6</xdr:col>
      <xdr:colOff>38100</xdr:colOff>
      <xdr:row>193</xdr:row>
      <xdr:rowOff>146822</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53421</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617220</xdr:colOff>
      <xdr:row>98</xdr:row>
      <xdr:rowOff>114459</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617220</xdr:colOff>
      <xdr:row>100</xdr:row>
      <xdr:rowOff>94289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617220</xdr:colOff>
      <xdr:row>103</xdr:row>
      <xdr:rowOff>123411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617220</xdr:colOff>
      <xdr:row>104</xdr:row>
      <xdr:rowOff>111710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24496</xdr:rowOff>
    </xdr:from>
    <xdr:to>
      <xdr:col>5</xdr:col>
      <xdr:colOff>617220</xdr:colOff>
      <xdr:row>93</xdr:row>
      <xdr:rowOff>3765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53240</xdr:rowOff>
    </xdr:from>
    <xdr:to>
      <xdr:col>5</xdr:col>
      <xdr:colOff>617220</xdr:colOff>
      <xdr:row>93</xdr:row>
      <xdr:rowOff>185254</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617220</xdr:colOff>
      <xdr:row>94</xdr:row>
      <xdr:rowOff>141708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34226</xdr:rowOff>
    </xdr:from>
    <xdr:to>
      <xdr:col>5</xdr:col>
      <xdr:colOff>617220</xdr:colOff>
      <xdr:row>95</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45236</xdr:rowOff>
    </xdr:from>
    <xdr:to>
      <xdr:col>6</xdr:col>
      <xdr:colOff>38100</xdr:colOff>
      <xdr:row>193</xdr:row>
      <xdr:rowOff>146822</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53421</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617220</xdr:colOff>
      <xdr:row>98</xdr:row>
      <xdr:rowOff>114459</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617220</xdr:colOff>
      <xdr:row>100</xdr:row>
      <xdr:rowOff>94289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617220</xdr:colOff>
      <xdr:row>103</xdr:row>
      <xdr:rowOff>123411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617220</xdr:colOff>
      <xdr:row>104</xdr:row>
      <xdr:rowOff>111710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24496</xdr:rowOff>
    </xdr:from>
    <xdr:to>
      <xdr:col>5</xdr:col>
      <xdr:colOff>617220</xdr:colOff>
      <xdr:row>93</xdr:row>
      <xdr:rowOff>3765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53240</xdr:rowOff>
    </xdr:from>
    <xdr:to>
      <xdr:col>5</xdr:col>
      <xdr:colOff>617220</xdr:colOff>
      <xdr:row>93</xdr:row>
      <xdr:rowOff>185254</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617220</xdr:colOff>
      <xdr:row>94</xdr:row>
      <xdr:rowOff>141708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34226</xdr:rowOff>
    </xdr:from>
    <xdr:to>
      <xdr:col>5</xdr:col>
      <xdr:colOff>617220</xdr:colOff>
      <xdr:row>95</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20706</xdr:rowOff>
    </xdr:from>
    <xdr:to>
      <xdr:col>6</xdr:col>
      <xdr:colOff>38100</xdr:colOff>
      <xdr:row>193</xdr:row>
      <xdr:rowOff>146822</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53421</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99289</xdr:rowOff>
    </xdr:from>
    <xdr:to>
      <xdr:col>5</xdr:col>
      <xdr:colOff>609600</xdr:colOff>
      <xdr:row>218</xdr:row>
      <xdr:rowOff>168110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609600</xdr:colOff>
      <xdr:row>98</xdr:row>
      <xdr:rowOff>114459</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609600</xdr:colOff>
      <xdr:row>100</xdr:row>
      <xdr:rowOff>94289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609600</xdr:colOff>
      <xdr:row>103</xdr:row>
      <xdr:rowOff>123411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609600</xdr:colOff>
      <xdr:row>104</xdr:row>
      <xdr:rowOff>111710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24496</xdr:rowOff>
    </xdr:from>
    <xdr:to>
      <xdr:col>5</xdr:col>
      <xdr:colOff>609600</xdr:colOff>
      <xdr:row>93</xdr:row>
      <xdr:rowOff>3765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53240</xdr:rowOff>
    </xdr:from>
    <xdr:to>
      <xdr:col>5</xdr:col>
      <xdr:colOff>609600</xdr:colOff>
      <xdr:row>93</xdr:row>
      <xdr:rowOff>185254</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609600</xdr:colOff>
      <xdr:row>94</xdr:row>
      <xdr:rowOff>141708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34226</xdr:rowOff>
    </xdr:from>
    <xdr:to>
      <xdr:col>5</xdr:col>
      <xdr:colOff>609600</xdr:colOff>
      <xdr:row>95</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119415</xdr:rowOff>
    </xdr:from>
    <xdr:to>
      <xdr:col>6</xdr:col>
      <xdr:colOff>38100</xdr:colOff>
      <xdr:row>93</xdr:row>
      <xdr:rowOff>176999</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113710</xdr:rowOff>
    </xdr:from>
    <xdr:to>
      <xdr:col>5</xdr:col>
      <xdr:colOff>609600</xdr:colOff>
      <xdr:row>91</xdr:row>
      <xdr:rowOff>25434</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34226</xdr:rowOff>
    </xdr:from>
    <xdr:to>
      <xdr:col>5</xdr:col>
      <xdr:colOff>609600</xdr:colOff>
      <xdr:row>116</xdr:row>
      <xdr:rowOff>142227</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34226</xdr:rowOff>
    </xdr:from>
    <xdr:to>
      <xdr:col>5</xdr:col>
      <xdr:colOff>609600</xdr:colOff>
      <xdr:row>116</xdr:row>
      <xdr:rowOff>142227</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84487</xdr:rowOff>
    </xdr:from>
    <xdr:to>
      <xdr:col>5</xdr:col>
      <xdr:colOff>609600</xdr:colOff>
      <xdr:row>193</xdr:row>
      <xdr:rowOff>18064</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46873</xdr:rowOff>
    </xdr:from>
    <xdr:to>
      <xdr:col>5</xdr:col>
      <xdr:colOff>609600</xdr:colOff>
      <xdr:row>193</xdr:row>
      <xdr:rowOff>91312</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17915</xdr:rowOff>
    </xdr:from>
    <xdr:to>
      <xdr:col>5</xdr:col>
      <xdr:colOff>609600</xdr:colOff>
      <xdr:row>196</xdr:row>
      <xdr:rowOff>147005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17429</xdr:rowOff>
    </xdr:from>
    <xdr:to>
      <xdr:col>5</xdr:col>
      <xdr:colOff>609600</xdr:colOff>
      <xdr:row>197</xdr:row>
      <xdr:rowOff>148275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133</xdr:row>
      <xdr:rowOff>122270</xdr:rowOff>
    </xdr:from>
    <xdr:to>
      <xdr:col>5</xdr:col>
      <xdr:colOff>609600</xdr:colOff>
      <xdr:row>139</xdr:row>
      <xdr:rowOff>76970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123631</xdr:rowOff>
    </xdr:from>
    <xdr:to>
      <xdr:col>5</xdr:col>
      <xdr:colOff>609600</xdr:colOff>
      <xdr:row>184</xdr:row>
      <xdr:rowOff>55501</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122905</xdr:rowOff>
    </xdr:from>
    <xdr:to>
      <xdr:col>5</xdr:col>
      <xdr:colOff>609600</xdr:colOff>
      <xdr:row>184</xdr:row>
      <xdr:rowOff>136147</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122904</xdr:rowOff>
    </xdr:from>
    <xdr:to>
      <xdr:col>5</xdr:col>
      <xdr:colOff>609600</xdr:colOff>
      <xdr:row>186</xdr:row>
      <xdr:rowOff>1536</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58548</xdr:rowOff>
    </xdr:from>
    <xdr:to>
      <xdr:col>6</xdr:col>
      <xdr:colOff>38100</xdr:colOff>
      <xdr:row>93</xdr:row>
      <xdr:rowOff>166204</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382219</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115615</xdr:rowOff>
    </xdr:from>
    <xdr:to>
      <xdr:col>5</xdr:col>
      <xdr:colOff>609600</xdr:colOff>
      <xdr:row>91</xdr:row>
      <xdr:rowOff>521</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34226</xdr:rowOff>
    </xdr:from>
    <xdr:to>
      <xdr:col>5</xdr:col>
      <xdr:colOff>609600</xdr:colOff>
      <xdr:row>116</xdr:row>
      <xdr:rowOff>142862</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34226</xdr:rowOff>
    </xdr:from>
    <xdr:to>
      <xdr:col>5</xdr:col>
      <xdr:colOff>609600</xdr:colOff>
      <xdr:row>116</xdr:row>
      <xdr:rowOff>142862</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64336</xdr:rowOff>
    </xdr:from>
    <xdr:to>
      <xdr:col>5</xdr:col>
      <xdr:colOff>609600</xdr:colOff>
      <xdr:row>193</xdr:row>
      <xdr:rowOff>18064</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46228</xdr:rowOff>
    </xdr:from>
    <xdr:to>
      <xdr:col>5</xdr:col>
      <xdr:colOff>609600</xdr:colOff>
      <xdr:row>193</xdr:row>
      <xdr:rowOff>80638</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46227</xdr:rowOff>
    </xdr:from>
    <xdr:to>
      <xdr:col>5</xdr:col>
      <xdr:colOff>609600</xdr:colOff>
      <xdr:row>196</xdr:row>
      <xdr:rowOff>128590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2359</xdr:rowOff>
    </xdr:from>
    <xdr:to>
      <xdr:col>5</xdr:col>
      <xdr:colOff>609600</xdr:colOff>
      <xdr:row>197</xdr:row>
      <xdr:rowOff>147640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133</xdr:row>
      <xdr:rowOff>121635</xdr:rowOff>
    </xdr:from>
    <xdr:to>
      <xdr:col>5</xdr:col>
      <xdr:colOff>609600</xdr:colOff>
      <xdr:row>139</xdr:row>
      <xdr:rowOff>76970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123631</xdr:rowOff>
    </xdr:from>
    <xdr:to>
      <xdr:col>5</xdr:col>
      <xdr:colOff>609600</xdr:colOff>
      <xdr:row>184</xdr:row>
      <xdr:rowOff>56136</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123632</xdr:rowOff>
    </xdr:from>
    <xdr:to>
      <xdr:col>5</xdr:col>
      <xdr:colOff>609600</xdr:colOff>
      <xdr:row>184</xdr:row>
      <xdr:rowOff>113286</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123632</xdr:rowOff>
    </xdr:from>
    <xdr:to>
      <xdr:col>5</xdr:col>
      <xdr:colOff>609600</xdr:colOff>
      <xdr:row>186</xdr:row>
      <xdr:rowOff>1536</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101167</xdr:rowOff>
    </xdr:from>
    <xdr:to>
      <xdr:col>6</xdr:col>
      <xdr:colOff>38100</xdr:colOff>
      <xdr:row>94</xdr:row>
      <xdr:rowOff>122658</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53</xdr:row>
      <xdr:rowOff>141781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53</xdr:row>
      <xdr:rowOff>49575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141781</xdr:rowOff>
    </xdr:from>
    <xdr:to>
      <xdr:col>5</xdr:col>
      <xdr:colOff>609600</xdr:colOff>
      <xdr:row>54</xdr:row>
      <xdr:rowOff>336364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69</xdr:row>
      <xdr:rowOff>18909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11144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73</xdr:row>
      <xdr:rowOff>29102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162596</xdr:rowOff>
    </xdr:from>
    <xdr:to>
      <xdr:col>5</xdr:col>
      <xdr:colOff>609600</xdr:colOff>
      <xdr:row>73</xdr:row>
      <xdr:rowOff>29102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111070</xdr:rowOff>
    </xdr:from>
    <xdr:to>
      <xdr:col>5</xdr:col>
      <xdr:colOff>609600</xdr:colOff>
      <xdr:row>91</xdr:row>
      <xdr:rowOff>130120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100400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100400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46228</xdr:rowOff>
    </xdr:from>
    <xdr:to>
      <xdr:col>5</xdr:col>
      <xdr:colOff>609600</xdr:colOff>
      <xdr:row>194</xdr:row>
      <xdr:rowOff>146820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46227</xdr:rowOff>
    </xdr:from>
    <xdr:to>
      <xdr:col>5</xdr:col>
      <xdr:colOff>609600</xdr:colOff>
      <xdr:row>194</xdr:row>
      <xdr:rowOff>99658</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18064</xdr:rowOff>
    </xdr:from>
    <xdr:to>
      <xdr:col>5</xdr:col>
      <xdr:colOff>609600</xdr:colOff>
      <xdr:row>197</xdr:row>
      <xdr:rowOff>128590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158700</xdr:rowOff>
    </xdr:from>
    <xdr:to>
      <xdr:col>5</xdr:col>
      <xdr:colOff>609600</xdr:colOff>
      <xdr:row>198</xdr:row>
      <xdr:rowOff>128591</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105927</xdr:rowOff>
    </xdr:from>
    <xdr:to>
      <xdr:col>5</xdr:col>
      <xdr:colOff>609600</xdr:colOff>
      <xdr:row>184</xdr:row>
      <xdr:rowOff>183690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123632</xdr:rowOff>
    </xdr:from>
    <xdr:to>
      <xdr:col>5</xdr:col>
      <xdr:colOff>609600</xdr:colOff>
      <xdr:row>185</xdr:row>
      <xdr:rowOff>53755</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123632</xdr:rowOff>
    </xdr:from>
    <xdr:to>
      <xdr:col>5</xdr:col>
      <xdr:colOff>609600</xdr:colOff>
      <xdr:row>185</xdr:row>
      <xdr:rowOff>101380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123632</xdr:rowOff>
    </xdr:from>
    <xdr:to>
      <xdr:col>5</xdr:col>
      <xdr:colOff>609600</xdr:colOff>
      <xdr:row>186</xdr:row>
      <xdr:rowOff>174164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101167</xdr:rowOff>
    </xdr:from>
    <xdr:to>
      <xdr:col>6</xdr:col>
      <xdr:colOff>38100</xdr:colOff>
      <xdr:row>94</xdr:row>
      <xdr:rowOff>122658</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53</xdr:row>
      <xdr:rowOff>141781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53</xdr:row>
      <xdr:rowOff>49575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141781</xdr:rowOff>
    </xdr:from>
    <xdr:to>
      <xdr:col>5</xdr:col>
      <xdr:colOff>609600</xdr:colOff>
      <xdr:row>54</xdr:row>
      <xdr:rowOff>336364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69</xdr:row>
      <xdr:rowOff>18909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11144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73</xdr:row>
      <xdr:rowOff>29102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162596</xdr:rowOff>
    </xdr:from>
    <xdr:to>
      <xdr:col>5</xdr:col>
      <xdr:colOff>609600</xdr:colOff>
      <xdr:row>73</xdr:row>
      <xdr:rowOff>29102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111070</xdr:rowOff>
    </xdr:from>
    <xdr:to>
      <xdr:col>5</xdr:col>
      <xdr:colOff>609600</xdr:colOff>
      <xdr:row>91</xdr:row>
      <xdr:rowOff>130120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100400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100400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46228</xdr:rowOff>
    </xdr:from>
    <xdr:to>
      <xdr:col>5</xdr:col>
      <xdr:colOff>609600</xdr:colOff>
      <xdr:row>194</xdr:row>
      <xdr:rowOff>146820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46227</xdr:rowOff>
    </xdr:from>
    <xdr:to>
      <xdr:col>5</xdr:col>
      <xdr:colOff>609600</xdr:colOff>
      <xdr:row>194</xdr:row>
      <xdr:rowOff>99658</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18064</xdr:rowOff>
    </xdr:from>
    <xdr:to>
      <xdr:col>5</xdr:col>
      <xdr:colOff>609600</xdr:colOff>
      <xdr:row>197</xdr:row>
      <xdr:rowOff>128590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158700</xdr:rowOff>
    </xdr:from>
    <xdr:to>
      <xdr:col>5</xdr:col>
      <xdr:colOff>609600</xdr:colOff>
      <xdr:row>198</xdr:row>
      <xdr:rowOff>128591</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105927</xdr:rowOff>
    </xdr:from>
    <xdr:to>
      <xdr:col>5</xdr:col>
      <xdr:colOff>609600</xdr:colOff>
      <xdr:row>184</xdr:row>
      <xdr:rowOff>183690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123632</xdr:rowOff>
    </xdr:from>
    <xdr:to>
      <xdr:col>5</xdr:col>
      <xdr:colOff>609600</xdr:colOff>
      <xdr:row>185</xdr:row>
      <xdr:rowOff>53755</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123632</xdr:rowOff>
    </xdr:from>
    <xdr:to>
      <xdr:col>5</xdr:col>
      <xdr:colOff>609600</xdr:colOff>
      <xdr:row>185</xdr:row>
      <xdr:rowOff>101380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123632</xdr:rowOff>
    </xdr:from>
    <xdr:to>
      <xdr:col>5</xdr:col>
      <xdr:colOff>609600</xdr:colOff>
      <xdr:row>186</xdr:row>
      <xdr:rowOff>174164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43847</xdr:rowOff>
    </xdr:from>
    <xdr:to>
      <xdr:col>5</xdr:col>
      <xdr:colOff>609600</xdr:colOff>
      <xdr:row>236</xdr:row>
      <xdr:rowOff>54165</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146794</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167430</xdr:rowOff>
    </xdr:from>
    <xdr:to>
      <xdr:col>5</xdr:col>
      <xdr:colOff>609600</xdr:colOff>
      <xdr:row>237</xdr:row>
      <xdr:rowOff>54165</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167430</xdr:rowOff>
    </xdr:from>
    <xdr:to>
      <xdr:col>5</xdr:col>
      <xdr:colOff>609600</xdr:colOff>
      <xdr:row>224</xdr:row>
      <xdr:rowOff>167430</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158699</xdr:rowOff>
    </xdr:from>
    <xdr:to>
      <xdr:col>5</xdr:col>
      <xdr:colOff>609600</xdr:colOff>
      <xdr:row>201</xdr:row>
      <xdr:rowOff>146794</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8299</xdr:rowOff>
    </xdr:from>
    <xdr:to>
      <xdr:col>5</xdr:col>
      <xdr:colOff>609600</xdr:colOff>
      <xdr:row>204</xdr:row>
      <xdr:rowOff>54165</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167431</xdr:rowOff>
    </xdr:from>
    <xdr:to>
      <xdr:col>5</xdr:col>
      <xdr:colOff>609600</xdr:colOff>
      <xdr:row>211</xdr:row>
      <xdr:rowOff>20444</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79</xdr:row>
      <xdr:rowOff>131285</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78</xdr:row>
      <xdr:rowOff>143986</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86618</xdr:rowOff>
    </xdr:from>
    <xdr:to>
      <xdr:col>5</xdr:col>
      <xdr:colOff>628650</xdr:colOff>
      <xdr:row>81</xdr:row>
      <xdr:rowOff>112300</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311851</xdr:rowOff>
    </xdr:from>
    <xdr:to>
      <xdr:col>5</xdr:col>
      <xdr:colOff>628650</xdr:colOff>
      <xdr:row>80</xdr:row>
      <xdr:rowOff>130322</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74929</xdr:rowOff>
    </xdr:from>
    <xdr:to>
      <xdr:col>5</xdr:col>
      <xdr:colOff>628650</xdr:colOff>
      <xdr:row>83</xdr:row>
      <xdr:rowOff>91553</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86837</xdr:rowOff>
    </xdr:from>
    <xdr:to>
      <xdr:col>5</xdr:col>
      <xdr:colOff>628650</xdr:colOff>
      <xdr:row>82</xdr:row>
      <xdr:rowOff>124096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73406</xdr:rowOff>
    </xdr:from>
    <xdr:to>
      <xdr:col>5</xdr:col>
      <xdr:colOff>628650</xdr:colOff>
      <xdr:row>85</xdr:row>
      <xdr:rowOff>84410</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73171</xdr:rowOff>
    </xdr:from>
    <xdr:to>
      <xdr:col>5</xdr:col>
      <xdr:colOff>628650</xdr:colOff>
      <xdr:row>84</xdr:row>
      <xdr:rowOff>85997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71882</xdr:rowOff>
    </xdr:from>
    <xdr:to>
      <xdr:col>5</xdr:col>
      <xdr:colOff>628650</xdr:colOff>
      <xdr:row>107</xdr:row>
      <xdr:rowOff>122116</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67504</xdr:rowOff>
    </xdr:from>
    <xdr:to>
      <xdr:col>5</xdr:col>
      <xdr:colOff>628650</xdr:colOff>
      <xdr:row>106</xdr:row>
      <xdr:rowOff>121883</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104131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56571</xdr:rowOff>
    </xdr:from>
    <xdr:to>
      <xdr:col>5</xdr:col>
      <xdr:colOff>628650</xdr:colOff>
      <xdr:row>108</xdr:row>
      <xdr:rowOff>76022</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37738</xdr:rowOff>
    </xdr:from>
    <xdr:to>
      <xdr:col>5</xdr:col>
      <xdr:colOff>628650</xdr:colOff>
      <xdr:row>111</xdr:row>
      <xdr:rowOff>56452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53382</xdr:rowOff>
    </xdr:from>
    <xdr:to>
      <xdr:col>5</xdr:col>
      <xdr:colOff>628650</xdr:colOff>
      <xdr:row>110</xdr:row>
      <xdr:rowOff>39785</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34423</xdr:rowOff>
    </xdr:from>
    <xdr:to>
      <xdr:col>5</xdr:col>
      <xdr:colOff>628650</xdr:colOff>
      <xdr:row>113</xdr:row>
      <xdr:rowOff>58370</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38858</xdr:rowOff>
    </xdr:from>
    <xdr:to>
      <xdr:col>5</xdr:col>
      <xdr:colOff>628650</xdr:colOff>
      <xdr:row>112</xdr:row>
      <xdr:rowOff>57576</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43847</xdr:rowOff>
    </xdr:from>
    <xdr:to>
      <xdr:col>5</xdr:col>
      <xdr:colOff>609600</xdr:colOff>
      <xdr:row>236</xdr:row>
      <xdr:rowOff>54165</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146794</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167430</xdr:rowOff>
    </xdr:from>
    <xdr:to>
      <xdr:col>5</xdr:col>
      <xdr:colOff>609600</xdr:colOff>
      <xdr:row>237</xdr:row>
      <xdr:rowOff>54165</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167430</xdr:rowOff>
    </xdr:from>
    <xdr:to>
      <xdr:col>5</xdr:col>
      <xdr:colOff>609600</xdr:colOff>
      <xdr:row>224</xdr:row>
      <xdr:rowOff>167430</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158699</xdr:rowOff>
    </xdr:from>
    <xdr:to>
      <xdr:col>5</xdr:col>
      <xdr:colOff>609600</xdr:colOff>
      <xdr:row>201</xdr:row>
      <xdr:rowOff>146794</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8299</xdr:rowOff>
    </xdr:from>
    <xdr:to>
      <xdr:col>5</xdr:col>
      <xdr:colOff>609600</xdr:colOff>
      <xdr:row>204</xdr:row>
      <xdr:rowOff>54165</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167431</xdr:rowOff>
    </xdr:from>
    <xdr:to>
      <xdr:col>5</xdr:col>
      <xdr:colOff>609600</xdr:colOff>
      <xdr:row>211</xdr:row>
      <xdr:rowOff>20444</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79</xdr:row>
      <xdr:rowOff>131285</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78</xdr:row>
      <xdr:rowOff>143986</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86618</xdr:rowOff>
    </xdr:from>
    <xdr:to>
      <xdr:col>5</xdr:col>
      <xdr:colOff>628650</xdr:colOff>
      <xdr:row>81</xdr:row>
      <xdr:rowOff>112300</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311851</xdr:rowOff>
    </xdr:from>
    <xdr:to>
      <xdr:col>5</xdr:col>
      <xdr:colOff>628650</xdr:colOff>
      <xdr:row>80</xdr:row>
      <xdr:rowOff>130322</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74929</xdr:rowOff>
    </xdr:from>
    <xdr:to>
      <xdr:col>5</xdr:col>
      <xdr:colOff>628650</xdr:colOff>
      <xdr:row>83</xdr:row>
      <xdr:rowOff>91553</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86837</xdr:rowOff>
    </xdr:from>
    <xdr:to>
      <xdr:col>5</xdr:col>
      <xdr:colOff>628650</xdr:colOff>
      <xdr:row>82</xdr:row>
      <xdr:rowOff>124096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73406</xdr:rowOff>
    </xdr:from>
    <xdr:to>
      <xdr:col>5</xdr:col>
      <xdr:colOff>628650</xdr:colOff>
      <xdr:row>85</xdr:row>
      <xdr:rowOff>84410</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73171</xdr:rowOff>
    </xdr:from>
    <xdr:to>
      <xdr:col>5</xdr:col>
      <xdr:colOff>628650</xdr:colOff>
      <xdr:row>84</xdr:row>
      <xdr:rowOff>85997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71882</xdr:rowOff>
    </xdr:from>
    <xdr:to>
      <xdr:col>5</xdr:col>
      <xdr:colOff>628650</xdr:colOff>
      <xdr:row>107</xdr:row>
      <xdr:rowOff>122116</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67504</xdr:rowOff>
    </xdr:from>
    <xdr:to>
      <xdr:col>5</xdr:col>
      <xdr:colOff>628650</xdr:colOff>
      <xdr:row>106</xdr:row>
      <xdr:rowOff>121883</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104131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56571</xdr:rowOff>
    </xdr:from>
    <xdr:to>
      <xdr:col>5</xdr:col>
      <xdr:colOff>628650</xdr:colOff>
      <xdr:row>108</xdr:row>
      <xdr:rowOff>76022</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37738</xdr:rowOff>
    </xdr:from>
    <xdr:to>
      <xdr:col>5</xdr:col>
      <xdr:colOff>628650</xdr:colOff>
      <xdr:row>111</xdr:row>
      <xdr:rowOff>56452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53382</xdr:rowOff>
    </xdr:from>
    <xdr:to>
      <xdr:col>5</xdr:col>
      <xdr:colOff>628650</xdr:colOff>
      <xdr:row>110</xdr:row>
      <xdr:rowOff>39785</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34423</xdr:rowOff>
    </xdr:from>
    <xdr:to>
      <xdr:col>5</xdr:col>
      <xdr:colOff>628650</xdr:colOff>
      <xdr:row>113</xdr:row>
      <xdr:rowOff>58370</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38858</xdr:rowOff>
    </xdr:from>
    <xdr:to>
      <xdr:col>5</xdr:col>
      <xdr:colOff>628650</xdr:colOff>
      <xdr:row>112</xdr:row>
      <xdr:rowOff>57576</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43847</xdr:rowOff>
    </xdr:from>
    <xdr:to>
      <xdr:col>5</xdr:col>
      <xdr:colOff>609600</xdr:colOff>
      <xdr:row>236</xdr:row>
      <xdr:rowOff>54165</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146794</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167430</xdr:rowOff>
    </xdr:from>
    <xdr:to>
      <xdr:col>5</xdr:col>
      <xdr:colOff>609600</xdr:colOff>
      <xdr:row>237</xdr:row>
      <xdr:rowOff>54165</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167430</xdr:rowOff>
    </xdr:from>
    <xdr:to>
      <xdr:col>5</xdr:col>
      <xdr:colOff>609600</xdr:colOff>
      <xdr:row>224</xdr:row>
      <xdr:rowOff>167430</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158699</xdr:rowOff>
    </xdr:from>
    <xdr:to>
      <xdr:col>5</xdr:col>
      <xdr:colOff>609600</xdr:colOff>
      <xdr:row>201</xdr:row>
      <xdr:rowOff>146794</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8299</xdr:rowOff>
    </xdr:from>
    <xdr:to>
      <xdr:col>5</xdr:col>
      <xdr:colOff>609600</xdr:colOff>
      <xdr:row>204</xdr:row>
      <xdr:rowOff>54165</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167431</xdr:rowOff>
    </xdr:from>
    <xdr:to>
      <xdr:col>5</xdr:col>
      <xdr:colOff>609600</xdr:colOff>
      <xdr:row>211</xdr:row>
      <xdr:rowOff>20444</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228667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383276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202792</xdr:rowOff>
    </xdr:from>
    <xdr:to>
      <xdr:col>5</xdr:col>
      <xdr:colOff>628650</xdr:colOff>
      <xdr:row>59</xdr:row>
      <xdr:rowOff>133593</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79</xdr:row>
      <xdr:rowOff>131285</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78</xdr:row>
      <xdr:rowOff>143986</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86618</xdr:rowOff>
    </xdr:from>
    <xdr:to>
      <xdr:col>5</xdr:col>
      <xdr:colOff>628650</xdr:colOff>
      <xdr:row>81</xdr:row>
      <xdr:rowOff>112300</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311851</xdr:rowOff>
    </xdr:from>
    <xdr:to>
      <xdr:col>5</xdr:col>
      <xdr:colOff>628650</xdr:colOff>
      <xdr:row>80</xdr:row>
      <xdr:rowOff>130322</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74929</xdr:rowOff>
    </xdr:from>
    <xdr:to>
      <xdr:col>5</xdr:col>
      <xdr:colOff>628650</xdr:colOff>
      <xdr:row>83</xdr:row>
      <xdr:rowOff>91553</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86837</xdr:rowOff>
    </xdr:from>
    <xdr:to>
      <xdr:col>5</xdr:col>
      <xdr:colOff>628650</xdr:colOff>
      <xdr:row>82</xdr:row>
      <xdr:rowOff>124096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73406</xdr:rowOff>
    </xdr:from>
    <xdr:to>
      <xdr:col>5</xdr:col>
      <xdr:colOff>628650</xdr:colOff>
      <xdr:row>85</xdr:row>
      <xdr:rowOff>84410</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73171</xdr:rowOff>
    </xdr:from>
    <xdr:to>
      <xdr:col>5</xdr:col>
      <xdr:colOff>628650</xdr:colOff>
      <xdr:row>84</xdr:row>
      <xdr:rowOff>85997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71882</xdr:rowOff>
    </xdr:from>
    <xdr:to>
      <xdr:col>5</xdr:col>
      <xdr:colOff>628650</xdr:colOff>
      <xdr:row>107</xdr:row>
      <xdr:rowOff>122116</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67504</xdr:rowOff>
    </xdr:from>
    <xdr:to>
      <xdr:col>5</xdr:col>
      <xdr:colOff>628650</xdr:colOff>
      <xdr:row>106</xdr:row>
      <xdr:rowOff>121883</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104131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56571</xdr:rowOff>
    </xdr:from>
    <xdr:to>
      <xdr:col>5</xdr:col>
      <xdr:colOff>628650</xdr:colOff>
      <xdr:row>108</xdr:row>
      <xdr:rowOff>76022</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37738</xdr:rowOff>
    </xdr:from>
    <xdr:to>
      <xdr:col>5</xdr:col>
      <xdr:colOff>628650</xdr:colOff>
      <xdr:row>111</xdr:row>
      <xdr:rowOff>56452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53382</xdr:rowOff>
    </xdr:from>
    <xdr:to>
      <xdr:col>5</xdr:col>
      <xdr:colOff>628650</xdr:colOff>
      <xdr:row>110</xdr:row>
      <xdr:rowOff>39785</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34423</xdr:rowOff>
    </xdr:from>
    <xdr:to>
      <xdr:col>5</xdr:col>
      <xdr:colOff>628650</xdr:colOff>
      <xdr:row>113</xdr:row>
      <xdr:rowOff>58370</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38858</xdr:rowOff>
    </xdr:from>
    <xdr:to>
      <xdr:col>5</xdr:col>
      <xdr:colOff>628650</xdr:colOff>
      <xdr:row>112</xdr:row>
      <xdr:rowOff>57576</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54112</xdr:rowOff>
    </xdr:from>
    <xdr:to>
      <xdr:col>5</xdr:col>
      <xdr:colOff>609600</xdr:colOff>
      <xdr:row>223</xdr:row>
      <xdr:rowOff>51730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12453</xdr:rowOff>
    </xdr:from>
    <xdr:to>
      <xdr:col>5</xdr:col>
      <xdr:colOff>609600</xdr:colOff>
      <xdr:row>222</xdr:row>
      <xdr:rowOff>146981</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168002</xdr:rowOff>
    </xdr:from>
    <xdr:to>
      <xdr:col>5</xdr:col>
      <xdr:colOff>609600</xdr:colOff>
      <xdr:row>224</xdr:row>
      <xdr:rowOff>51730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168001</xdr:rowOff>
    </xdr:from>
    <xdr:to>
      <xdr:col>5</xdr:col>
      <xdr:colOff>609600</xdr:colOff>
      <xdr:row>211</xdr:row>
      <xdr:rowOff>158887</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168411</xdr:rowOff>
    </xdr:from>
    <xdr:to>
      <xdr:col>5</xdr:col>
      <xdr:colOff>609600</xdr:colOff>
      <xdr:row>189</xdr:row>
      <xdr:rowOff>90623</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19981</xdr:rowOff>
    </xdr:from>
    <xdr:to>
      <xdr:col>5</xdr:col>
      <xdr:colOff>609600</xdr:colOff>
      <xdr:row>190</xdr:row>
      <xdr:rowOff>83479</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159270</xdr:rowOff>
    </xdr:from>
    <xdr:to>
      <xdr:col>5</xdr:col>
      <xdr:colOff>609600</xdr:colOff>
      <xdr:row>191</xdr:row>
      <xdr:rowOff>108087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108470</xdr:rowOff>
    </xdr:from>
    <xdr:to>
      <xdr:col>5</xdr:col>
      <xdr:colOff>609600</xdr:colOff>
      <xdr:row>198</xdr:row>
      <xdr:rowOff>46175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141528</xdr:rowOff>
    </xdr:from>
    <xdr:to>
      <xdr:col>5</xdr:col>
      <xdr:colOff>628650</xdr:colOff>
      <xdr:row>53</xdr:row>
      <xdr:rowOff>228667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189054</xdr:rowOff>
    </xdr:from>
    <xdr:to>
      <xdr:col>5</xdr:col>
      <xdr:colOff>628650</xdr:colOff>
      <xdr:row>54</xdr:row>
      <xdr:rowOff>26402</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228667</xdr:rowOff>
    </xdr:from>
    <xdr:to>
      <xdr:col>5</xdr:col>
      <xdr:colOff>628650</xdr:colOff>
      <xdr:row>55</xdr:row>
      <xdr:rowOff>140757</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26402</xdr:rowOff>
    </xdr:from>
    <xdr:to>
      <xdr:col>5</xdr:col>
      <xdr:colOff>628650</xdr:colOff>
      <xdr:row>56</xdr:row>
      <xdr:rowOff>173889</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208321</xdr:rowOff>
    </xdr:from>
    <xdr:to>
      <xdr:col>5</xdr:col>
      <xdr:colOff>628650</xdr:colOff>
      <xdr:row>57</xdr:row>
      <xdr:rowOff>140613</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168662</xdr:rowOff>
    </xdr:from>
    <xdr:to>
      <xdr:col>5</xdr:col>
      <xdr:colOff>628650</xdr:colOff>
      <xdr:row>75</xdr:row>
      <xdr:rowOff>31661</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164693</xdr:rowOff>
    </xdr:from>
    <xdr:to>
      <xdr:col>5</xdr:col>
      <xdr:colOff>628650</xdr:colOff>
      <xdr:row>76</xdr:row>
      <xdr:rowOff>9435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152490</xdr:rowOff>
    </xdr:from>
    <xdr:to>
      <xdr:col>5</xdr:col>
      <xdr:colOff>628650</xdr:colOff>
      <xdr:row>76</xdr:row>
      <xdr:rowOff>194269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152194</xdr:rowOff>
    </xdr:from>
    <xdr:to>
      <xdr:col>5</xdr:col>
      <xdr:colOff>628650</xdr:colOff>
      <xdr:row>76</xdr:row>
      <xdr:rowOff>375243</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93</xdr:row>
      <xdr:rowOff>157357</xdr:rowOff>
    </xdr:from>
    <xdr:to>
      <xdr:col>5</xdr:col>
      <xdr:colOff>628650</xdr:colOff>
      <xdr:row>97</xdr:row>
      <xdr:rowOff>77736</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94</xdr:row>
      <xdr:rowOff>102288</xdr:rowOff>
    </xdr:from>
    <xdr:to>
      <xdr:col>5</xdr:col>
      <xdr:colOff>628650</xdr:colOff>
      <xdr:row>98</xdr:row>
      <xdr:rowOff>33526</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50722</xdr:rowOff>
    </xdr:from>
    <xdr:to>
      <xdr:col>5</xdr:col>
      <xdr:colOff>628650</xdr:colOff>
      <xdr:row>99</xdr:row>
      <xdr:rowOff>56253</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55315</xdr:rowOff>
    </xdr:from>
    <xdr:to>
      <xdr:col>5</xdr:col>
      <xdr:colOff>628650</xdr:colOff>
      <xdr:row>99</xdr:row>
      <xdr:rowOff>95200</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43793</xdr:rowOff>
    </xdr:from>
    <xdr:to>
      <xdr:col>5</xdr:col>
      <xdr:colOff>609600</xdr:colOff>
      <xdr:row>223</xdr:row>
      <xdr:rowOff>18804</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166824</xdr:rowOff>
    </xdr:from>
    <xdr:to>
      <xdr:col>5</xdr:col>
      <xdr:colOff>609600</xdr:colOff>
      <xdr:row>222</xdr:row>
      <xdr:rowOff>128725</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166824</xdr:rowOff>
    </xdr:from>
    <xdr:to>
      <xdr:col>5</xdr:col>
      <xdr:colOff>609600</xdr:colOff>
      <xdr:row>224</xdr:row>
      <xdr:rowOff>18803</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166824</xdr:rowOff>
    </xdr:from>
    <xdr:to>
      <xdr:col>5</xdr:col>
      <xdr:colOff>609600</xdr:colOff>
      <xdr:row>211</xdr:row>
      <xdr:rowOff>128724</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122374</xdr:rowOff>
    </xdr:from>
    <xdr:to>
      <xdr:col>5</xdr:col>
      <xdr:colOff>609600</xdr:colOff>
      <xdr:row>189</xdr:row>
      <xdr:rowOff>84274</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45381</xdr:rowOff>
    </xdr:from>
    <xdr:to>
      <xdr:col>5</xdr:col>
      <xdr:colOff>609600</xdr:colOff>
      <xdr:row>190</xdr:row>
      <xdr:rowOff>83479</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158093</xdr:rowOff>
    </xdr:from>
    <xdr:to>
      <xdr:col>5</xdr:col>
      <xdr:colOff>609600</xdr:colOff>
      <xdr:row>191</xdr:row>
      <xdr:rowOff>92212</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104117</xdr:rowOff>
    </xdr:from>
    <xdr:to>
      <xdr:col>5</xdr:col>
      <xdr:colOff>609600</xdr:colOff>
      <xdr:row>198</xdr:row>
      <xdr:rowOff>16422</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189054</xdr:rowOff>
    </xdr:from>
    <xdr:to>
      <xdr:col>5</xdr:col>
      <xdr:colOff>609600</xdr:colOff>
      <xdr:row>52</xdr:row>
      <xdr:rowOff>454877</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228667</xdr:rowOff>
    </xdr:from>
    <xdr:to>
      <xdr:col>5</xdr:col>
      <xdr:colOff>609600</xdr:colOff>
      <xdr:row>56</xdr:row>
      <xdr:rowOff>101694</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25754</xdr:rowOff>
    </xdr:from>
    <xdr:to>
      <xdr:col>5</xdr:col>
      <xdr:colOff>609600</xdr:colOff>
      <xdr:row>59</xdr:row>
      <xdr:rowOff>95610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208321</xdr:rowOff>
    </xdr:from>
    <xdr:to>
      <xdr:col>5</xdr:col>
      <xdr:colOff>609600</xdr:colOff>
      <xdr:row>61</xdr:row>
      <xdr:rowOff>49317</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182156</xdr:rowOff>
    </xdr:from>
    <xdr:to>
      <xdr:col>5</xdr:col>
      <xdr:colOff>609600</xdr:colOff>
      <xdr:row>75</xdr:row>
      <xdr:rowOff>31661</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152787</xdr:rowOff>
    </xdr:from>
    <xdr:to>
      <xdr:col>5</xdr:col>
      <xdr:colOff>609600</xdr:colOff>
      <xdr:row>76</xdr:row>
      <xdr:rowOff>9435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143759</xdr:rowOff>
    </xdr:from>
    <xdr:to>
      <xdr:col>5</xdr:col>
      <xdr:colOff>609600</xdr:colOff>
      <xdr:row>76</xdr:row>
      <xdr:rowOff>194269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125617</xdr:rowOff>
    </xdr:from>
    <xdr:to>
      <xdr:col>5</xdr:col>
      <xdr:colOff>609600</xdr:colOff>
      <xdr:row>76</xdr:row>
      <xdr:rowOff>375243</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166089</xdr:rowOff>
    </xdr:from>
    <xdr:to>
      <xdr:col>5</xdr:col>
      <xdr:colOff>609600</xdr:colOff>
      <xdr:row>97</xdr:row>
      <xdr:rowOff>150911</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101494</xdr:rowOff>
    </xdr:from>
    <xdr:to>
      <xdr:col>5</xdr:col>
      <xdr:colOff>609600</xdr:colOff>
      <xdr:row>97</xdr:row>
      <xdr:rowOff>150911</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56278</xdr:rowOff>
    </xdr:from>
    <xdr:to>
      <xdr:col>5</xdr:col>
      <xdr:colOff>609600</xdr:colOff>
      <xdr:row>98</xdr:row>
      <xdr:rowOff>95939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19532</xdr:rowOff>
    </xdr:from>
    <xdr:to>
      <xdr:col>5</xdr:col>
      <xdr:colOff>609600</xdr:colOff>
      <xdr:row>99</xdr:row>
      <xdr:rowOff>1484</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44586</xdr:rowOff>
    </xdr:from>
    <xdr:to>
      <xdr:col>5</xdr:col>
      <xdr:colOff>609600</xdr:colOff>
      <xdr:row>224</xdr:row>
      <xdr:rowOff>18803</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166824</xdr:rowOff>
    </xdr:from>
    <xdr:to>
      <xdr:col>5</xdr:col>
      <xdr:colOff>609600</xdr:colOff>
      <xdr:row>223</xdr:row>
      <xdr:rowOff>128724</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166824</xdr:rowOff>
    </xdr:from>
    <xdr:to>
      <xdr:col>5</xdr:col>
      <xdr:colOff>609600</xdr:colOff>
      <xdr:row>225</xdr:row>
      <xdr:rowOff>18803</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166825</xdr:rowOff>
    </xdr:from>
    <xdr:to>
      <xdr:col>5</xdr:col>
      <xdr:colOff>609600</xdr:colOff>
      <xdr:row>212</xdr:row>
      <xdr:rowOff>128724</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129518</xdr:rowOff>
    </xdr:from>
    <xdr:to>
      <xdr:col>5</xdr:col>
      <xdr:colOff>609600</xdr:colOff>
      <xdr:row>190</xdr:row>
      <xdr:rowOff>50935</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185080</xdr:rowOff>
    </xdr:from>
    <xdr:to>
      <xdr:col>5</xdr:col>
      <xdr:colOff>609600</xdr:colOff>
      <xdr:row>191</xdr:row>
      <xdr:rowOff>54112</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149362</xdr:rowOff>
    </xdr:from>
    <xdr:to>
      <xdr:col>5</xdr:col>
      <xdr:colOff>609600</xdr:colOff>
      <xdr:row>192</xdr:row>
      <xdr:rowOff>70781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83479</xdr:rowOff>
    </xdr:from>
    <xdr:to>
      <xdr:col>5</xdr:col>
      <xdr:colOff>609600</xdr:colOff>
      <xdr:row>199</xdr:row>
      <xdr:rowOff>16422</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239863</xdr:rowOff>
    </xdr:from>
    <xdr:to>
      <xdr:col>5</xdr:col>
      <xdr:colOff>609600</xdr:colOff>
      <xdr:row>53</xdr:row>
      <xdr:rowOff>48363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48363</xdr:rowOff>
    </xdr:from>
    <xdr:to>
      <xdr:col>5</xdr:col>
      <xdr:colOff>609600</xdr:colOff>
      <xdr:row>53</xdr:row>
      <xdr:rowOff>140625</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25754</xdr:rowOff>
    </xdr:from>
    <xdr:to>
      <xdr:col>5</xdr:col>
      <xdr:colOff>609600</xdr:colOff>
      <xdr:row>57</xdr:row>
      <xdr:rowOff>121563</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170866</xdr:rowOff>
    </xdr:from>
    <xdr:to>
      <xdr:col>5</xdr:col>
      <xdr:colOff>609600</xdr:colOff>
      <xdr:row>60</xdr:row>
      <xdr:rowOff>27589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10422</xdr:rowOff>
    </xdr:from>
    <xdr:to>
      <xdr:col>5</xdr:col>
      <xdr:colOff>609600</xdr:colOff>
      <xdr:row>62</xdr:row>
      <xdr:rowOff>9245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152787</xdr:rowOff>
    </xdr:from>
    <xdr:to>
      <xdr:col>5</xdr:col>
      <xdr:colOff>609600</xdr:colOff>
      <xdr:row>76</xdr:row>
      <xdr:rowOff>9435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143759</xdr:rowOff>
    </xdr:from>
    <xdr:to>
      <xdr:col>5</xdr:col>
      <xdr:colOff>609600</xdr:colOff>
      <xdr:row>76</xdr:row>
      <xdr:rowOff>194269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125617</xdr:rowOff>
    </xdr:from>
    <xdr:to>
      <xdr:col>5</xdr:col>
      <xdr:colOff>609600</xdr:colOff>
      <xdr:row>76</xdr:row>
      <xdr:rowOff>375243</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106272</xdr:rowOff>
    </xdr:from>
    <xdr:to>
      <xdr:col>5</xdr:col>
      <xdr:colOff>609600</xdr:colOff>
      <xdr:row>77</xdr:row>
      <xdr:rowOff>153186</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101494</xdr:rowOff>
    </xdr:from>
    <xdr:to>
      <xdr:col>5</xdr:col>
      <xdr:colOff>609600</xdr:colOff>
      <xdr:row>99</xdr:row>
      <xdr:rowOff>38050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56278</xdr:rowOff>
    </xdr:from>
    <xdr:to>
      <xdr:col>5</xdr:col>
      <xdr:colOff>609600</xdr:colOff>
      <xdr:row>99</xdr:row>
      <xdr:rowOff>38050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1538</xdr:rowOff>
    </xdr:from>
    <xdr:to>
      <xdr:col>5</xdr:col>
      <xdr:colOff>609600</xdr:colOff>
      <xdr:row>99</xdr:row>
      <xdr:rowOff>49163</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205654</xdr:rowOff>
    </xdr:from>
    <xdr:to>
      <xdr:col>5</xdr:col>
      <xdr:colOff>609600</xdr:colOff>
      <xdr:row>99</xdr:row>
      <xdr:rowOff>158850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57649</xdr:rowOff>
    </xdr:from>
    <xdr:to>
      <xdr:col>21</xdr:col>
      <xdr:colOff>448469</xdr:colOff>
      <xdr:row>28</xdr:row>
      <xdr:rowOff>120820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119</xdr:row>
      <xdr:rowOff>95413</xdr:rowOff>
    </xdr:from>
    <xdr:to>
      <xdr:col>21</xdr:col>
      <xdr:colOff>448469</xdr:colOff>
      <xdr:row>123</xdr:row>
      <xdr:rowOff>142245</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18804</xdr:rowOff>
    </xdr:from>
    <xdr:to>
      <xdr:col>5</xdr:col>
      <xdr:colOff>609600</xdr:colOff>
      <xdr:row>249</xdr:row>
      <xdr:rowOff>18803</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227</xdr:row>
      <xdr:rowOff>166824</xdr:rowOff>
    </xdr:from>
    <xdr:to>
      <xdr:col>5</xdr:col>
      <xdr:colOff>609600</xdr:colOff>
      <xdr:row>248</xdr:row>
      <xdr:rowOff>128724</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166824</xdr:rowOff>
    </xdr:from>
    <xdr:to>
      <xdr:col>5</xdr:col>
      <xdr:colOff>609600</xdr:colOff>
      <xdr:row>250</xdr:row>
      <xdr:rowOff>18803</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166824</xdr:rowOff>
    </xdr:from>
    <xdr:to>
      <xdr:col>5</xdr:col>
      <xdr:colOff>609600</xdr:colOff>
      <xdr:row>237</xdr:row>
      <xdr:rowOff>128724</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90624</xdr:rowOff>
    </xdr:from>
    <xdr:to>
      <xdr:col>5</xdr:col>
      <xdr:colOff>609600</xdr:colOff>
      <xdr:row>214</xdr:row>
      <xdr:rowOff>128724</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166824</xdr:rowOff>
    </xdr:from>
    <xdr:to>
      <xdr:col>5</xdr:col>
      <xdr:colOff>609600</xdr:colOff>
      <xdr:row>215</xdr:row>
      <xdr:rowOff>166824</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166824</xdr:rowOff>
    </xdr:from>
    <xdr:to>
      <xdr:col>5</xdr:col>
      <xdr:colOff>609600</xdr:colOff>
      <xdr:row>217</xdr:row>
      <xdr:rowOff>18803</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166824</xdr:rowOff>
    </xdr:from>
    <xdr:to>
      <xdr:col>5</xdr:col>
      <xdr:colOff>609600</xdr:colOff>
      <xdr:row>223</xdr:row>
      <xdr:rowOff>166824</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152988</xdr:rowOff>
    </xdr:from>
    <xdr:to>
      <xdr:col>5</xdr:col>
      <xdr:colOff>609600</xdr:colOff>
      <xdr:row>76</xdr:row>
      <xdr:rowOff>271029</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152988</xdr:rowOff>
    </xdr:from>
    <xdr:to>
      <xdr:col>5</xdr:col>
      <xdr:colOff>609600</xdr:colOff>
      <xdr:row>77</xdr:row>
      <xdr:rowOff>134136</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88577</xdr:rowOff>
    </xdr:from>
    <xdr:to>
      <xdr:col>5</xdr:col>
      <xdr:colOff>609600</xdr:colOff>
      <xdr:row>78</xdr:row>
      <xdr:rowOff>66886</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79052</xdr:rowOff>
    </xdr:from>
    <xdr:to>
      <xdr:col>5</xdr:col>
      <xdr:colOff>609600</xdr:colOff>
      <xdr:row>81</xdr:row>
      <xdr:rowOff>74093</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9737</xdr:rowOff>
    </xdr:from>
    <xdr:to>
      <xdr:col>5</xdr:col>
      <xdr:colOff>609600</xdr:colOff>
      <xdr:row>87</xdr:row>
      <xdr:rowOff>7309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24445</xdr:rowOff>
    </xdr:from>
    <xdr:to>
      <xdr:col>5</xdr:col>
      <xdr:colOff>609600</xdr:colOff>
      <xdr:row>98</xdr:row>
      <xdr:rowOff>1536</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197538</xdr:rowOff>
    </xdr:from>
    <xdr:to>
      <xdr:col>5</xdr:col>
      <xdr:colOff>609600</xdr:colOff>
      <xdr:row>98</xdr:row>
      <xdr:rowOff>186070</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149147</xdr:rowOff>
    </xdr:from>
    <xdr:to>
      <xdr:col>5</xdr:col>
      <xdr:colOff>609600</xdr:colOff>
      <xdr:row>99</xdr:row>
      <xdr:rowOff>186071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94407</xdr:rowOff>
    </xdr:from>
    <xdr:to>
      <xdr:col>5</xdr:col>
      <xdr:colOff>609600</xdr:colOff>
      <xdr:row>100</xdr:row>
      <xdr:rowOff>184101</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111879</xdr:rowOff>
    </xdr:from>
    <xdr:to>
      <xdr:col>5</xdr:col>
      <xdr:colOff>609600</xdr:colOff>
      <xdr:row>123</xdr:row>
      <xdr:rowOff>131926</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95413</xdr:rowOff>
    </xdr:from>
    <xdr:to>
      <xdr:col>5</xdr:col>
      <xdr:colOff>609600</xdr:colOff>
      <xdr:row>123</xdr:row>
      <xdr:rowOff>131926</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66045</xdr:rowOff>
    </xdr:from>
    <xdr:to>
      <xdr:col>5</xdr:col>
      <xdr:colOff>609600</xdr:colOff>
      <xdr:row>123</xdr:row>
      <xdr:rowOff>131926</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45407</xdr:rowOff>
    </xdr:from>
    <xdr:to>
      <xdr:col>5</xdr:col>
      <xdr:colOff>609600</xdr:colOff>
      <xdr:row>123</xdr:row>
      <xdr:rowOff>131926</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57649</xdr:rowOff>
    </xdr:from>
    <xdr:to>
      <xdr:col>21</xdr:col>
      <xdr:colOff>448469</xdr:colOff>
      <xdr:row>28</xdr:row>
      <xdr:rowOff>120820</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144</xdr:row>
      <xdr:rowOff>35882</xdr:rowOff>
    </xdr:from>
    <xdr:to>
      <xdr:col>21</xdr:col>
      <xdr:colOff>448469</xdr:colOff>
      <xdr:row>148</xdr:row>
      <xdr:rowOff>73983</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65088</xdr:rowOff>
    </xdr:from>
    <xdr:to>
      <xdr:col>21</xdr:col>
      <xdr:colOff>410369</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83344</xdr:rowOff>
    </xdr:from>
    <xdr:to>
      <xdr:col>16</xdr:col>
      <xdr:colOff>410369</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2929</xdr:rowOff>
    </xdr:from>
    <xdr:to>
      <xdr:col>5</xdr:col>
      <xdr:colOff>609600</xdr:colOff>
      <xdr:row>245</xdr:row>
      <xdr:rowOff>2929</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150949</xdr:rowOff>
    </xdr:from>
    <xdr:to>
      <xdr:col>5</xdr:col>
      <xdr:colOff>609600</xdr:colOff>
      <xdr:row>244</xdr:row>
      <xdr:rowOff>112849</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150949</xdr:rowOff>
    </xdr:from>
    <xdr:to>
      <xdr:col>5</xdr:col>
      <xdr:colOff>609600</xdr:colOff>
      <xdr:row>246</xdr:row>
      <xdr:rowOff>2928</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227</xdr:row>
      <xdr:rowOff>150949</xdr:rowOff>
    </xdr:from>
    <xdr:to>
      <xdr:col>5</xdr:col>
      <xdr:colOff>609600</xdr:colOff>
      <xdr:row>233</xdr:row>
      <xdr:rowOff>112849</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74749</xdr:rowOff>
    </xdr:from>
    <xdr:to>
      <xdr:col>5</xdr:col>
      <xdr:colOff>609600</xdr:colOff>
      <xdr:row>210</xdr:row>
      <xdr:rowOff>112849</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150950</xdr:rowOff>
    </xdr:from>
    <xdr:to>
      <xdr:col>5</xdr:col>
      <xdr:colOff>609600</xdr:colOff>
      <xdr:row>211</xdr:row>
      <xdr:rowOff>169999</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150949</xdr:rowOff>
    </xdr:from>
    <xdr:to>
      <xdr:col>5</xdr:col>
      <xdr:colOff>609600</xdr:colOff>
      <xdr:row>213</xdr:row>
      <xdr:rowOff>2929</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150949</xdr:rowOff>
    </xdr:from>
    <xdr:to>
      <xdr:col>5</xdr:col>
      <xdr:colOff>609600</xdr:colOff>
      <xdr:row>219</xdr:row>
      <xdr:rowOff>169999</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149612</xdr:rowOff>
    </xdr:from>
    <xdr:to>
      <xdr:col>5</xdr:col>
      <xdr:colOff>609600</xdr:colOff>
      <xdr:row>73</xdr:row>
      <xdr:rowOff>107127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149612</xdr:rowOff>
    </xdr:from>
    <xdr:to>
      <xdr:col>5</xdr:col>
      <xdr:colOff>609600</xdr:colOff>
      <xdr:row>74</xdr:row>
      <xdr:rowOff>171744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69620</xdr:rowOff>
    </xdr:from>
    <xdr:to>
      <xdr:col>5</xdr:col>
      <xdr:colOff>609600</xdr:colOff>
      <xdr:row>75</xdr:row>
      <xdr:rowOff>124529</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69621</xdr:rowOff>
    </xdr:from>
    <xdr:to>
      <xdr:col>5</xdr:col>
      <xdr:colOff>609600</xdr:colOff>
      <xdr:row>77</xdr:row>
      <xdr:rowOff>123024</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50711</xdr:rowOff>
    </xdr:from>
    <xdr:to>
      <xdr:col>5</xdr:col>
      <xdr:colOff>609600</xdr:colOff>
      <xdr:row>83</xdr:row>
      <xdr:rowOff>4928</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958</xdr:rowOff>
    </xdr:from>
    <xdr:to>
      <xdr:col>5</xdr:col>
      <xdr:colOff>609600</xdr:colOff>
      <xdr:row>94</xdr:row>
      <xdr:rowOff>101494</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158338</xdr:rowOff>
    </xdr:from>
    <xdr:to>
      <xdr:col>5</xdr:col>
      <xdr:colOff>609600</xdr:colOff>
      <xdr:row>95</xdr:row>
      <xdr:rowOff>56278</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133529</xdr:rowOff>
    </xdr:from>
    <xdr:to>
      <xdr:col>5</xdr:col>
      <xdr:colOff>609600</xdr:colOff>
      <xdr:row>96</xdr:row>
      <xdr:rowOff>1538</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54114</xdr:rowOff>
    </xdr:from>
    <xdr:to>
      <xdr:col>5</xdr:col>
      <xdr:colOff>609600</xdr:colOff>
      <xdr:row>97</xdr:row>
      <xdr:rowOff>1537</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129371</xdr:rowOff>
    </xdr:from>
    <xdr:to>
      <xdr:col>5</xdr:col>
      <xdr:colOff>609600</xdr:colOff>
      <xdr:row>119</xdr:row>
      <xdr:rowOff>131926</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125374</xdr:rowOff>
    </xdr:from>
    <xdr:to>
      <xdr:col>5</xdr:col>
      <xdr:colOff>609600</xdr:colOff>
      <xdr:row>119</xdr:row>
      <xdr:rowOff>131926</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103943</xdr:rowOff>
    </xdr:from>
    <xdr:to>
      <xdr:col>5</xdr:col>
      <xdr:colOff>609600</xdr:colOff>
      <xdr:row>119</xdr:row>
      <xdr:rowOff>131926</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65843</xdr:rowOff>
    </xdr:from>
    <xdr:to>
      <xdr:col>5</xdr:col>
      <xdr:colOff>609600</xdr:colOff>
      <xdr:row>119</xdr:row>
      <xdr:rowOff>131926</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84463</xdr:rowOff>
    </xdr:from>
    <xdr:to>
      <xdr:col>21</xdr:col>
      <xdr:colOff>448469</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140</xdr:row>
      <xdr:rowOff>28739</xdr:rowOff>
    </xdr:from>
    <xdr:to>
      <xdr:col>21</xdr:col>
      <xdr:colOff>448469</xdr:colOff>
      <xdr:row>144</xdr:row>
      <xdr:rowOff>58107</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31454</xdr:rowOff>
    </xdr:from>
    <xdr:to>
      <xdr:col>21</xdr:col>
      <xdr:colOff>410369</xdr:colOff>
      <xdr:row>30</xdr:row>
      <xdr:rowOff>125413</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45975</xdr:rowOff>
    </xdr:from>
    <xdr:to>
      <xdr:col>16</xdr:col>
      <xdr:colOff>410369</xdr:colOff>
      <xdr:row>31</xdr:row>
      <xdr:rowOff>143669</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70781</xdr:rowOff>
    </xdr:from>
    <xdr:to>
      <xdr:col>5</xdr:col>
      <xdr:colOff>609600</xdr:colOff>
      <xdr:row>222</xdr:row>
      <xdr:rowOff>43794</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18803</xdr:rowOff>
    </xdr:from>
    <xdr:to>
      <xdr:col>5</xdr:col>
      <xdr:colOff>609600</xdr:colOff>
      <xdr:row>221</xdr:row>
      <xdr:rowOff>158093</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10072</xdr:rowOff>
    </xdr:from>
    <xdr:to>
      <xdr:col>5</xdr:col>
      <xdr:colOff>609600</xdr:colOff>
      <xdr:row>223</xdr:row>
      <xdr:rowOff>43793</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158093</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84274</xdr:rowOff>
    </xdr:from>
    <xdr:to>
      <xdr:col>5</xdr:col>
      <xdr:colOff>609600</xdr:colOff>
      <xdr:row>188</xdr:row>
      <xdr:rowOff>111262</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169206</xdr:rowOff>
    </xdr:from>
    <xdr:to>
      <xdr:col>5</xdr:col>
      <xdr:colOff>609600</xdr:colOff>
      <xdr:row>189</xdr:row>
      <xdr:rowOff>128724</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185080</xdr:rowOff>
    </xdr:from>
    <xdr:to>
      <xdr:col>5</xdr:col>
      <xdr:colOff>609600</xdr:colOff>
      <xdr:row>190</xdr:row>
      <xdr:rowOff>112056</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149362</xdr:rowOff>
    </xdr:from>
    <xdr:to>
      <xdr:col>5</xdr:col>
      <xdr:colOff>609600</xdr:colOff>
      <xdr:row>197</xdr:row>
      <xdr:rowOff>60462</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52</xdr:row>
      <xdr:rowOff>225576</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52</xdr:row>
      <xdr:rowOff>482899</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50006</xdr:rowOff>
    </xdr:from>
    <xdr:to>
      <xdr:col>5</xdr:col>
      <xdr:colOff>609600</xdr:colOff>
      <xdr:row>53</xdr:row>
      <xdr:rowOff>320955</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244626</xdr:rowOff>
    </xdr:from>
    <xdr:to>
      <xdr:col>5</xdr:col>
      <xdr:colOff>609600</xdr:colOff>
      <xdr:row>56</xdr:row>
      <xdr:rowOff>82670</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55771</xdr:rowOff>
    </xdr:from>
    <xdr:to>
      <xdr:col>5</xdr:col>
      <xdr:colOff>609600</xdr:colOff>
      <xdr:row>61</xdr:row>
      <xdr:rowOff>126869</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307221</xdr:rowOff>
    </xdr:from>
    <xdr:to>
      <xdr:col>5</xdr:col>
      <xdr:colOff>609600</xdr:colOff>
      <xdr:row>72</xdr:row>
      <xdr:rowOff>154871</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181537</xdr:rowOff>
    </xdr:from>
    <xdr:to>
      <xdr:col>5</xdr:col>
      <xdr:colOff>609600</xdr:colOff>
      <xdr:row>96</xdr:row>
      <xdr:rowOff>162818</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111134</xdr:rowOff>
    </xdr:from>
    <xdr:to>
      <xdr:col>5</xdr:col>
      <xdr:colOff>609600</xdr:colOff>
      <xdr:row>96</xdr:row>
      <xdr:rowOff>162818</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33176</xdr:rowOff>
    </xdr:from>
    <xdr:to>
      <xdr:col>5</xdr:col>
      <xdr:colOff>609600</xdr:colOff>
      <xdr:row>96</xdr:row>
      <xdr:rowOff>162818</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1426</xdr:rowOff>
    </xdr:from>
    <xdr:to>
      <xdr:col>5</xdr:col>
      <xdr:colOff>609600</xdr:colOff>
      <xdr:row>96</xdr:row>
      <xdr:rowOff>162818</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117</xdr:row>
      <xdr:rowOff>103148</xdr:rowOff>
    </xdr:from>
    <xdr:to>
      <xdr:col>21</xdr:col>
      <xdr:colOff>448469</xdr:colOff>
      <xdr:row>121</xdr:row>
      <xdr:rowOff>143040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31454</xdr:rowOff>
    </xdr:from>
    <xdr:to>
      <xdr:col>22</xdr:col>
      <xdr:colOff>619919</xdr:colOff>
      <xdr:row>26</xdr:row>
      <xdr:rowOff>66379</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121</xdr:row>
      <xdr:rowOff>93034</xdr:rowOff>
    </xdr:from>
    <xdr:to>
      <xdr:col>22</xdr:col>
      <xdr:colOff>619919</xdr:colOff>
      <xdr:row>125</xdr:row>
      <xdr:rowOff>86683</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52524</xdr:rowOff>
    </xdr:from>
    <xdr:to>
      <xdr:col>5</xdr:col>
      <xdr:colOff>609600</xdr:colOff>
      <xdr:row>223</xdr:row>
      <xdr:rowOff>43793</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10072</xdr:rowOff>
    </xdr:from>
    <xdr:to>
      <xdr:col>5</xdr:col>
      <xdr:colOff>609600</xdr:colOff>
      <xdr:row>222</xdr:row>
      <xdr:rowOff>158094</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224</xdr:row>
      <xdr:rowOff>43793</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10073</xdr:rowOff>
    </xdr:from>
    <xdr:to>
      <xdr:col>5</xdr:col>
      <xdr:colOff>609600</xdr:colOff>
      <xdr:row>211</xdr:row>
      <xdr:rowOff>158093</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90624</xdr:rowOff>
    </xdr:from>
    <xdr:to>
      <xdr:col>5</xdr:col>
      <xdr:colOff>609600</xdr:colOff>
      <xdr:row>189</xdr:row>
      <xdr:rowOff>71574</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7691</xdr:rowOff>
    </xdr:from>
    <xdr:to>
      <xdr:col>5</xdr:col>
      <xdr:colOff>609600</xdr:colOff>
      <xdr:row>190</xdr:row>
      <xdr:rowOff>112963</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158093</xdr:rowOff>
    </xdr:from>
    <xdr:to>
      <xdr:col>5</xdr:col>
      <xdr:colOff>609600</xdr:colOff>
      <xdr:row>191</xdr:row>
      <xdr:rowOff>109675</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109674</xdr:rowOff>
    </xdr:from>
    <xdr:to>
      <xdr:col>5</xdr:col>
      <xdr:colOff>609600</xdr:colOff>
      <xdr:row>198</xdr:row>
      <xdr:rowOff>60462</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111134</xdr:rowOff>
    </xdr:from>
    <xdr:to>
      <xdr:col>5</xdr:col>
      <xdr:colOff>609600</xdr:colOff>
      <xdr:row>97</xdr:row>
      <xdr:rowOff>162817</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33176</xdr:rowOff>
    </xdr:from>
    <xdr:to>
      <xdr:col>5</xdr:col>
      <xdr:colOff>609600</xdr:colOff>
      <xdr:row>97</xdr:row>
      <xdr:rowOff>162817</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215794</xdr:rowOff>
    </xdr:from>
    <xdr:to>
      <xdr:col>5</xdr:col>
      <xdr:colOff>609600</xdr:colOff>
      <xdr:row>97</xdr:row>
      <xdr:rowOff>162817</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177694</xdr:rowOff>
    </xdr:from>
    <xdr:to>
      <xdr:col>5</xdr:col>
      <xdr:colOff>609600</xdr:colOff>
      <xdr:row>97</xdr:row>
      <xdr:rowOff>162817</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84892</xdr:rowOff>
    </xdr:from>
    <xdr:to>
      <xdr:col>21</xdr:col>
      <xdr:colOff>448469</xdr:colOff>
      <xdr:row>122</xdr:row>
      <xdr:rowOff>143039</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122</xdr:row>
      <xdr:rowOff>93033</xdr:rowOff>
    </xdr:from>
    <xdr:to>
      <xdr:col>22</xdr:col>
      <xdr:colOff>619919</xdr:colOff>
      <xdr:row>126</xdr:row>
      <xdr:rowOff>73983</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52524</xdr:rowOff>
    </xdr:from>
    <xdr:to>
      <xdr:col>5</xdr:col>
      <xdr:colOff>609600</xdr:colOff>
      <xdr:row>223</xdr:row>
      <xdr:rowOff>43793</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10072</xdr:rowOff>
    </xdr:from>
    <xdr:to>
      <xdr:col>5</xdr:col>
      <xdr:colOff>609600</xdr:colOff>
      <xdr:row>222</xdr:row>
      <xdr:rowOff>158094</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224</xdr:row>
      <xdr:rowOff>43793</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10073</xdr:rowOff>
    </xdr:from>
    <xdr:to>
      <xdr:col>5</xdr:col>
      <xdr:colOff>609600</xdr:colOff>
      <xdr:row>211</xdr:row>
      <xdr:rowOff>158093</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90624</xdr:rowOff>
    </xdr:from>
    <xdr:to>
      <xdr:col>5</xdr:col>
      <xdr:colOff>609600</xdr:colOff>
      <xdr:row>189</xdr:row>
      <xdr:rowOff>71574</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7691</xdr:rowOff>
    </xdr:from>
    <xdr:to>
      <xdr:col>5</xdr:col>
      <xdr:colOff>609600</xdr:colOff>
      <xdr:row>190</xdr:row>
      <xdr:rowOff>112963</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158093</xdr:rowOff>
    </xdr:from>
    <xdr:to>
      <xdr:col>5</xdr:col>
      <xdr:colOff>609600</xdr:colOff>
      <xdr:row>191</xdr:row>
      <xdr:rowOff>109675</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109674</xdr:rowOff>
    </xdr:from>
    <xdr:to>
      <xdr:col>5</xdr:col>
      <xdr:colOff>609600</xdr:colOff>
      <xdr:row>198</xdr:row>
      <xdr:rowOff>60462</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111134</xdr:rowOff>
    </xdr:from>
    <xdr:to>
      <xdr:col>5</xdr:col>
      <xdr:colOff>609600</xdr:colOff>
      <xdr:row>97</xdr:row>
      <xdr:rowOff>162817</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33176</xdr:rowOff>
    </xdr:from>
    <xdr:to>
      <xdr:col>5</xdr:col>
      <xdr:colOff>609600</xdr:colOff>
      <xdr:row>97</xdr:row>
      <xdr:rowOff>162817</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215794</xdr:rowOff>
    </xdr:from>
    <xdr:to>
      <xdr:col>5</xdr:col>
      <xdr:colOff>609600</xdr:colOff>
      <xdr:row>97</xdr:row>
      <xdr:rowOff>162817</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177694</xdr:rowOff>
    </xdr:from>
    <xdr:to>
      <xdr:col>5</xdr:col>
      <xdr:colOff>609600</xdr:colOff>
      <xdr:row>97</xdr:row>
      <xdr:rowOff>162817</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84892</xdr:rowOff>
    </xdr:from>
    <xdr:to>
      <xdr:col>21</xdr:col>
      <xdr:colOff>448469</xdr:colOff>
      <xdr:row>122</xdr:row>
      <xdr:rowOff>143039</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122</xdr:row>
      <xdr:rowOff>93033</xdr:rowOff>
    </xdr:from>
    <xdr:to>
      <xdr:col>22</xdr:col>
      <xdr:colOff>619919</xdr:colOff>
      <xdr:row>126</xdr:row>
      <xdr:rowOff>73983</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52524</xdr:rowOff>
    </xdr:from>
    <xdr:to>
      <xdr:col>5</xdr:col>
      <xdr:colOff>609600</xdr:colOff>
      <xdr:row>223</xdr:row>
      <xdr:rowOff>43793</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10072</xdr:rowOff>
    </xdr:from>
    <xdr:to>
      <xdr:col>5</xdr:col>
      <xdr:colOff>609600</xdr:colOff>
      <xdr:row>222</xdr:row>
      <xdr:rowOff>158094</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224</xdr:row>
      <xdr:rowOff>43793</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10073</xdr:rowOff>
    </xdr:from>
    <xdr:to>
      <xdr:col>5</xdr:col>
      <xdr:colOff>609600</xdr:colOff>
      <xdr:row>211</xdr:row>
      <xdr:rowOff>158093</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90624</xdr:rowOff>
    </xdr:from>
    <xdr:to>
      <xdr:col>5</xdr:col>
      <xdr:colOff>609600</xdr:colOff>
      <xdr:row>189</xdr:row>
      <xdr:rowOff>71574</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7691</xdr:rowOff>
    </xdr:from>
    <xdr:to>
      <xdr:col>5</xdr:col>
      <xdr:colOff>609600</xdr:colOff>
      <xdr:row>190</xdr:row>
      <xdr:rowOff>112963</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158093</xdr:rowOff>
    </xdr:from>
    <xdr:to>
      <xdr:col>5</xdr:col>
      <xdr:colOff>609600</xdr:colOff>
      <xdr:row>191</xdr:row>
      <xdr:rowOff>109675</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109674</xdr:rowOff>
    </xdr:from>
    <xdr:to>
      <xdr:col>5</xdr:col>
      <xdr:colOff>609600</xdr:colOff>
      <xdr:row>198</xdr:row>
      <xdr:rowOff>60462</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130464</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57510</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75504</xdr:rowOff>
    </xdr:from>
    <xdr:to>
      <xdr:col>5</xdr:col>
      <xdr:colOff>609600</xdr:colOff>
      <xdr:row>73</xdr:row>
      <xdr:rowOff>153781</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111134</xdr:rowOff>
    </xdr:from>
    <xdr:to>
      <xdr:col>5</xdr:col>
      <xdr:colOff>609600</xdr:colOff>
      <xdr:row>97</xdr:row>
      <xdr:rowOff>162817</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33176</xdr:rowOff>
    </xdr:from>
    <xdr:to>
      <xdr:col>5</xdr:col>
      <xdr:colOff>609600</xdr:colOff>
      <xdr:row>97</xdr:row>
      <xdr:rowOff>162817</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215794</xdr:rowOff>
    </xdr:from>
    <xdr:to>
      <xdr:col>5</xdr:col>
      <xdr:colOff>609600</xdr:colOff>
      <xdr:row>97</xdr:row>
      <xdr:rowOff>162817</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177694</xdr:rowOff>
    </xdr:from>
    <xdr:to>
      <xdr:col>5</xdr:col>
      <xdr:colOff>609600</xdr:colOff>
      <xdr:row>97</xdr:row>
      <xdr:rowOff>162817</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84892</xdr:rowOff>
    </xdr:from>
    <xdr:to>
      <xdr:col>21</xdr:col>
      <xdr:colOff>448469</xdr:colOff>
      <xdr:row>122</xdr:row>
      <xdr:rowOff>143039</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122</xdr:row>
      <xdr:rowOff>93033</xdr:rowOff>
    </xdr:from>
    <xdr:to>
      <xdr:col>22</xdr:col>
      <xdr:colOff>619919</xdr:colOff>
      <xdr:row>126</xdr:row>
      <xdr:rowOff>73983</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43793</xdr:rowOff>
    </xdr:from>
    <xdr:to>
      <xdr:col>5</xdr:col>
      <xdr:colOff>609600</xdr:colOff>
      <xdr:row>228</xdr:row>
      <xdr:rowOff>43793</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167618</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43793</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167618</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17217</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60462</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71575</xdr:rowOff>
    </xdr:from>
    <xdr:to>
      <xdr:col>5</xdr:col>
      <xdr:colOff>609600</xdr:colOff>
      <xdr:row>196</xdr:row>
      <xdr:rowOff>79512</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43794</xdr:rowOff>
    </xdr:from>
    <xdr:to>
      <xdr:col>5</xdr:col>
      <xdr:colOff>609600</xdr:colOff>
      <xdr:row>203</xdr:row>
      <xdr:rowOff>29123</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58363</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88309</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107359</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105780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125322</xdr:rowOff>
    </xdr:from>
    <xdr:to>
      <xdr:col>5</xdr:col>
      <xdr:colOff>609600</xdr:colOff>
      <xdr:row>80</xdr:row>
      <xdr:rowOff>178223</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82</xdr:row>
      <xdr:rowOff>5035</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111036</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53886</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148595</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18</xdr:row>
      <xdr:rowOff>163512</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25899</xdr:rowOff>
    </xdr:from>
    <xdr:to>
      <xdr:col>24</xdr:col>
      <xdr:colOff>657225</xdr:colOff>
      <xdr:row>28</xdr:row>
      <xdr:rowOff>139700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657225</xdr:colOff>
      <xdr:row>131</xdr:row>
      <xdr:rowOff>183903</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43793</xdr:rowOff>
    </xdr:from>
    <xdr:to>
      <xdr:col>5</xdr:col>
      <xdr:colOff>609600</xdr:colOff>
      <xdr:row>228</xdr:row>
      <xdr:rowOff>43793</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158093</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43793</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158093</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7692</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60462</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71575</xdr:rowOff>
    </xdr:from>
    <xdr:to>
      <xdr:col>5</xdr:col>
      <xdr:colOff>609600</xdr:colOff>
      <xdr:row>196</xdr:row>
      <xdr:rowOff>79512</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43794</xdr:rowOff>
    </xdr:from>
    <xdr:to>
      <xdr:col>5</xdr:col>
      <xdr:colOff>609600</xdr:colOff>
      <xdr:row>203</xdr:row>
      <xdr:rowOff>29123</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83555</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80</xdr:row>
      <xdr:rowOff>178223</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181631</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111036</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53886</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183903</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43793</xdr:rowOff>
    </xdr:from>
    <xdr:to>
      <xdr:col>5</xdr:col>
      <xdr:colOff>609600</xdr:colOff>
      <xdr:row>228</xdr:row>
      <xdr:rowOff>43793</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158093</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43793</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158093</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7692</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60462</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71575</xdr:rowOff>
    </xdr:from>
    <xdr:to>
      <xdr:col>5</xdr:col>
      <xdr:colOff>609600</xdr:colOff>
      <xdr:row>196</xdr:row>
      <xdr:rowOff>79512</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43794</xdr:rowOff>
    </xdr:from>
    <xdr:to>
      <xdr:col>5</xdr:col>
      <xdr:colOff>609600</xdr:colOff>
      <xdr:row>203</xdr:row>
      <xdr:rowOff>29123</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83555</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80</xdr:row>
      <xdr:rowOff>178223</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181631</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111036</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53886</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183903</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43793</xdr:rowOff>
    </xdr:from>
    <xdr:to>
      <xdr:col>5</xdr:col>
      <xdr:colOff>609600</xdr:colOff>
      <xdr:row>228</xdr:row>
      <xdr:rowOff>43793</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158093</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43793</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158093</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7692</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60462</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71575</xdr:rowOff>
    </xdr:from>
    <xdr:to>
      <xdr:col>5</xdr:col>
      <xdr:colOff>609600</xdr:colOff>
      <xdr:row>196</xdr:row>
      <xdr:rowOff>79512</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43794</xdr:rowOff>
    </xdr:from>
    <xdr:to>
      <xdr:col>5</xdr:col>
      <xdr:colOff>609600</xdr:colOff>
      <xdr:row>203</xdr:row>
      <xdr:rowOff>29123</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83555</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80</xdr:row>
      <xdr:rowOff>178223</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181631</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111036</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53886</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183903</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657225</xdr:colOff>
      <xdr:row>18</xdr:row>
      <xdr:rowOff>143668</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657225</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151770</xdr:rowOff>
    </xdr:from>
    <xdr:to>
      <xdr:col>25</xdr:col>
      <xdr:colOff>657225</xdr:colOff>
      <xdr:row>131</xdr:row>
      <xdr:rowOff>150182</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243</xdr:row>
      <xdr:rowOff>43793</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10073</xdr:rowOff>
    </xdr:from>
    <xdr:to>
      <xdr:col>5</xdr:col>
      <xdr:colOff>609600</xdr:colOff>
      <xdr:row>242</xdr:row>
      <xdr:rowOff>158093</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10072</xdr:rowOff>
    </xdr:from>
    <xdr:to>
      <xdr:col>5</xdr:col>
      <xdr:colOff>609600</xdr:colOff>
      <xdr:row>244</xdr:row>
      <xdr:rowOff>43793</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10073</xdr:rowOff>
    </xdr:from>
    <xdr:to>
      <xdr:col>5</xdr:col>
      <xdr:colOff>609600</xdr:colOff>
      <xdr:row>231</xdr:row>
      <xdr:rowOff>158093</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119993</xdr:rowOff>
    </xdr:from>
    <xdr:to>
      <xdr:col>5</xdr:col>
      <xdr:colOff>609600</xdr:colOff>
      <xdr:row>208</xdr:row>
      <xdr:rowOff>158093</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29123</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211</xdr:row>
      <xdr:rowOff>43793</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10073</xdr:rowOff>
    </xdr:from>
    <xdr:to>
      <xdr:col>5</xdr:col>
      <xdr:colOff>609600</xdr:colOff>
      <xdr:row>218</xdr:row>
      <xdr:rowOff>29122</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85</xdr:row>
      <xdr:rowOff>35089</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85</xdr:row>
      <xdr:rowOff>48583</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85</xdr:row>
      <xdr:rowOff>67633</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88</xdr:row>
      <xdr:rowOff>7308</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7308</xdr:rowOff>
    </xdr:from>
    <xdr:to>
      <xdr:col>5</xdr:col>
      <xdr:colOff>609600</xdr:colOff>
      <xdr:row>94</xdr:row>
      <xdr:rowOff>207141</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90652</xdr:rowOff>
    </xdr:from>
    <xdr:to>
      <xdr:col>5</xdr:col>
      <xdr:colOff>609600</xdr:colOff>
      <xdr:row>94</xdr:row>
      <xdr:rowOff>73791</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33501</xdr:rowOff>
    </xdr:from>
    <xdr:to>
      <xdr:col>5</xdr:col>
      <xdr:colOff>609600</xdr:colOff>
      <xdr:row>94</xdr:row>
      <xdr:rowOff>149991</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24771</xdr:rowOff>
    </xdr:from>
    <xdr:to>
      <xdr:col>5</xdr:col>
      <xdr:colOff>609600</xdr:colOff>
      <xdr:row>95</xdr:row>
      <xdr:rowOff>107950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168737</xdr:rowOff>
    </xdr:from>
    <xdr:to>
      <xdr:col>5</xdr:col>
      <xdr:colOff>609600</xdr:colOff>
      <xdr:row>121</xdr:row>
      <xdr:rowOff>35884</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143039</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48583</xdr:rowOff>
    </xdr:from>
    <xdr:to>
      <xdr:col>5</xdr:col>
      <xdr:colOff>609600</xdr:colOff>
      <xdr:row>119</xdr:row>
      <xdr:rowOff>35089</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10483</xdr:rowOff>
    </xdr:from>
    <xdr:to>
      <xdr:col>5</xdr:col>
      <xdr:colOff>609600</xdr:colOff>
      <xdr:row>119</xdr:row>
      <xdr:rowOff>92239</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65252</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175172</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141452</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243</xdr:row>
      <xdr:rowOff>43793</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10073</xdr:rowOff>
    </xdr:from>
    <xdr:to>
      <xdr:col>5</xdr:col>
      <xdr:colOff>609600</xdr:colOff>
      <xdr:row>242</xdr:row>
      <xdr:rowOff>158093</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10072</xdr:rowOff>
    </xdr:from>
    <xdr:to>
      <xdr:col>5</xdr:col>
      <xdr:colOff>609600</xdr:colOff>
      <xdr:row>244</xdr:row>
      <xdr:rowOff>43793</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10073</xdr:rowOff>
    </xdr:from>
    <xdr:to>
      <xdr:col>5</xdr:col>
      <xdr:colOff>609600</xdr:colOff>
      <xdr:row>231</xdr:row>
      <xdr:rowOff>158093</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119993</xdr:rowOff>
    </xdr:from>
    <xdr:to>
      <xdr:col>5</xdr:col>
      <xdr:colOff>609600</xdr:colOff>
      <xdr:row>208</xdr:row>
      <xdr:rowOff>158093</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29123</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211</xdr:row>
      <xdr:rowOff>43793</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10073</xdr:rowOff>
    </xdr:from>
    <xdr:to>
      <xdr:col>5</xdr:col>
      <xdr:colOff>609600</xdr:colOff>
      <xdr:row>218</xdr:row>
      <xdr:rowOff>29122</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85</xdr:row>
      <xdr:rowOff>35089</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85</xdr:row>
      <xdr:rowOff>48583</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85</xdr:row>
      <xdr:rowOff>67633</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88</xdr:row>
      <xdr:rowOff>7308</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7308</xdr:rowOff>
    </xdr:from>
    <xdr:to>
      <xdr:col>5</xdr:col>
      <xdr:colOff>609600</xdr:colOff>
      <xdr:row>94</xdr:row>
      <xdr:rowOff>207141</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90652</xdr:rowOff>
    </xdr:from>
    <xdr:to>
      <xdr:col>5</xdr:col>
      <xdr:colOff>609600</xdr:colOff>
      <xdr:row>94</xdr:row>
      <xdr:rowOff>73791</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33501</xdr:rowOff>
    </xdr:from>
    <xdr:to>
      <xdr:col>5</xdr:col>
      <xdr:colOff>609600</xdr:colOff>
      <xdr:row>94</xdr:row>
      <xdr:rowOff>149991</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24771</xdr:rowOff>
    </xdr:from>
    <xdr:to>
      <xdr:col>5</xdr:col>
      <xdr:colOff>609600</xdr:colOff>
      <xdr:row>95</xdr:row>
      <xdr:rowOff>107950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168737</xdr:rowOff>
    </xdr:from>
    <xdr:to>
      <xdr:col>5</xdr:col>
      <xdr:colOff>609600</xdr:colOff>
      <xdr:row>121</xdr:row>
      <xdr:rowOff>35884</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143039</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48583</xdr:rowOff>
    </xdr:from>
    <xdr:to>
      <xdr:col>5</xdr:col>
      <xdr:colOff>609600</xdr:colOff>
      <xdr:row>119</xdr:row>
      <xdr:rowOff>35089</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10483</xdr:rowOff>
    </xdr:from>
    <xdr:to>
      <xdr:col>5</xdr:col>
      <xdr:colOff>609600</xdr:colOff>
      <xdr:row>119</xdr:row>
      <xdr:rowOff>92239</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65252</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175172</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141452</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243</xdr:row>
      <xdr:rowOff>43793</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10073</xdr:rowOff>
    </xdr:from>
    <xdr:to>
      <xdr:col>5</xdr:col>
      <xdr:colOff>609600</xdr:colOff>
      <xdr:row>242</xdr:row>
      <xdr:rowOff>158093</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10072</xdr:rowOff>
    </xdr:from>
    <xdr:to>
      <xdr:col>5</xdr:col>
      <xdr:colOff>609600</xdr:colOff>
      <xdr:row>244</xdr:row>
      <xdr:rowOff>43793</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10073</xdr:rowOff>
    </xdr:from>
    <xdr:to>
      <xdr:col>5</xdr:col>
      <xdr:colOff>609600</xdr:colOff>
      <xdr:row>231</xdr:row>
      <xdr:rowOff>158093</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119993</xdr:rowOff>
    </xdr:from>
    <xdr:to>
      <xdr:col>5</xdr:col>
      <xdr:colOff>609600</xdr:colOff>
      <xdr:row>208</xdr:row>
      <xdr:rowOff>158093</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29123</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211</xdr:row>
      <xdr:rowOff>43793</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10073</xdr:rowOff>
    </xdr:from>
    <xdr:to>
      <xdr:col>5</xdr:col>
      <xdr:colOff>609600</xdr:colOff>
      <xdr:row>218</xdr:row>
      <xdr:rowOff>29122</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35910</xdr:rowOff>
    </xdr:from>
    <xdr:to>
      <xdr:col>5</xdr:col>
      <xdr:colOff>628650</xdr:colOff>
      <xdr:row>85</xdr:row>
      <xdr:rowOff>35089</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85</xdr:row>
      <xdr:rowOff>48583</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85</xdr:row>
      <xdr:rowOff>67633</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88</xdr:row>
      <xdr:rowOff>7308</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7308</xdr:rowOff>
    </xdr:from>
    <xdr:to>
      <xdr:col>5</xdr:col>
      <xdr:colOff>609600</xdr:colOff>
      <xdr:row>94</xdr:row>
      <xdr:rowOff>207141</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90652</xdr:rowOff>
    </xdr:from>
    <xdr:to>
      <xdr:col>5</xdr:col>
      <xdr:colOff>609600</xdr:colOff>
      <xdr:row>94</xdr:row>
      <xdr:rowOff>73791</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33501</xdr:rowOff>
    </xdr:from>
    <xdr:to>
      <xdr:col>5</xdr:col>
      <xdr:colOff>609600</xdr:colOff>
      <xdr:row>94</xdr:row>
      <xdr:rowOff>149991</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24771</xdr:rowOff>
    </xdr:from>
    <xdr:to>
      <xdr:col>5</xdr:col>
      <xdr:colOff>609600</xdr:colOff>
      <xdr:row>95</xdr:row>
      <xdr:rowOff>107950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168737</xdr:rowOff>
    </xdr:from>
    <xdr:to>
      <xdr:col>5</xdr:col>
      <xdr:colOff>609600</xdr:colOff>
      <xdr:row>121</xdr:row>
      <xdr:rowOff>35884</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143039</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48583</xdr:rowOff>
    </xdr:from>
    <xdr:to>
      <xdr:col>5</xdr:col>
      <xdr:colOff>609600</xdr:colOff>
      <xdr:row>119</xdr:row>
      <xdr:rowOff>35089</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10483</xdr:rowOff>
    </xdr:from>
    <xdr:to>
      <xdr:col>5</xdr:col>
      <xdr:colOff>609600</xdr:colOff>
      <xdr:row>119</xdr:row>
      <xdr:rowOff>92239</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65252</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419072</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175172</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141452</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81893</xdr:rowOff>
    </xdr:from>
    <xdr:to>
      <xdr:col>5</xdr:col>
      <xdr:colOff>609600</xdr:colOff>
      <xdr:row>237</xdr:row>
      <xdr:rowOff>81893</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43793</xdr:rowOff>
    </xdr:from>
    <xdr:to>
      <xdr:col>5</xdr:col>
      <xdr:colOff>609600</xdr:colOff>
      <xdr:row>236</xdr:row>
      <xdr:rowOff>177143</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43793</xdr:rowOff>
    </xdr:from>
    <xdr:to>
      <xdr:col>5</xdr:col>
      <xdr:colOff>609600</xdr:colOff>
      <xdr:row>238</xdr:row>
      <xdr:rowOff>81894</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225</xdr:row>
      <xdr:rowOff>177143</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158093</xdr:rowOff>
    </xdr:from>
    <xdr:to>
      <xdr:col>5</xdr:col>
      <xdr:colOff>609600</xdr:colOff>
      <xdr:row>202</xdr:row>
      <xdr:rowOff>177143</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43793</xdr:rowOff>
    </xdr:from>
    <xdr:to>
      <xdr:col>5</xdr:col>
      <xdr:colOff>609600</xdr:colOff>
      <xdr:row>204</xdr:row>
      <xdr:rowOff>81893</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43793</xdr:rowOff>
    </xdr:from>
    <xdr:to>
      <xdr:col>5</xdr:col>
      <xdr:colOff>609600</xdr:colOff>
      <xdr:row>205</xdr:row>
      <xdr:rowOff>81893</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43793</xdr:rowOff>
    </xdr:from>
    <xdr:to>
      <xdr:col>5</xdr:col>
      <xdr:colOff>609600</xdr:colOff>
      <xdr:row>212</xdr:row>
      <xdr:rowOff>81893</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83</xdr:row>
      <xdr:rowOff>160502</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82</xdr:row>
      <xdr:rowOff>84301</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82</xdr:row>
      <xdr:rowOff>122401</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86</xdr:row>
      <xdr:rowOff>8102</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160502</xdr:rowOff>
    </xdr:from>
    <xdr:to>
      <xdr:col>5</xdr:col>
      <xdr:colOff>609600</xdr:colOff>
      <xdr:row>94</xdr:row>
      <xdr:rowOff>92841</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84301</xdr:rowOff>
    </xdr:from>
    <xdr:to>
      <xdr:col>5</xdr:col>
      <xdr:colOff>609600</xdr:colOff>
      <xdr:row>93</xdr:row>
      <xdr:rowOff>128533</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27152</xdr:rowOff>
    </xdr:from>
    <xdr:to>
      <xdr:col>5</xdr:col>
      <xdr:colOff>609600</xdr:colOff>
      <xdr:row>93</xdr:row>
      <xdr:rowOff>204733</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95</xdr:row>
      <xdr:rowOff>69850</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105761</xdr:rowOff>
    </xdr:from>
    <xdr:to>
      <xdr:col>5</xdr:col>
      <xdr:colOff>609600</xdr:colOff>
      <xdr:row>116</xdr:row>
      <xdr:rowOff>160502</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158531</xdr:rowOff>
    </xdr:from>
    <xdr:to>
      <xdr:col>5</xdr:col>
      <xdr:colOff>609600</xdr:colOff>
      <xdr:row>114</xdr:row>
      <xdr:rowOff>182116</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158531</xdr:rowOff>
    </xdr:from>
    <xdr:to>
      <xdr:col>5</xdr:col>
      <xdr:colOff>609600</xdr:colOff>
      <xdr:row>113</xdr:row>
      <xdr:rowOff>183138</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120431</xdr:rowOff>
    </xdr:from>
    <xdr:to>
      <xdr:col>5</xdr:col>
      <xdr:colOff>609600</xdr:colOff>
      <xdr:row>114</xdr:row>
      <xdr:rowOff>73217</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103352</xdr:rowOff>
    </xdr:from>
    <xdr:to>
      <xdr:col>21</xdr:col>
      <xdr:colOff>438150</xdr:colOff>
      <xdr:row>136</xdr:row>
      <xdr:rowOff>122402</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122402</xdr:rowOff>
    </xdr:from>
    <xdr:to>
      <xdr:col>22</xdr:col>
      <xdr:colOff>609600</xdr:colOff>
      <xdr:row>140</xdr:row>
      <xdr:rowOff>103352</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122402</xdr:rowOff>
    </xdr:from>
    <xdr:to>
      <xdr:col>24</xdr:col>
      <xdr:colOff>647700</xdr:colOff>
      <xdr:row>141</xdr:row>
      <xdr:rowOff>27151</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141452</xdr:rowOff>
    </xdr:from>
    <xdr:to>
      <xdr:col>25</xdr:col>
      <xdr:colOff>647700</xdr:colOff>
      <xdr:row>140</xdr:row>
      <xdr:rowOff>175172</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55" name="Text Box 347" hidden="1">
          <a:extLst>
            <a:ext uri="{FF2B5EF4-FFF2-40B4-BE49-F238E27FC236}">
              <a16:creationId xmlns:a16="http://schemas.microsoft.com/office/drawing/2014/main" id="{289DAD83-88C3-D16D-813F-46005D698CB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81893</xdr:rowOff>
    </xdr:from>
    <xdr:to>
      <xdr:col>5</xdr:col>
      <xdr:colOff>609600</xdr:colOff>
      <xdr:row>237</xdr:row>
      <xdr:rowOff>81893</xdr:rowOff>
    </xdr:to>
    <xdr:sp macro="" textlink="">
      <xdr:nvSpPr>
        <xdr:cNvPr id="376154" name="Text Box 346" hidden="1">
          <a:extLst>
            <a:ext uri="{FF2B5EF4-FFF2-40B4-BE49-F238E27FC236}">
              <a16:creationId xmlns:a16="http://schemas.microsoft.com/office/drawing/2014/main" id="{EA86264C-329E-062A-797A-92045A00A1E7}"/>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43793</xdr:rowOff>
    </xdr:from>
    <xdr:to>
      <xdr:col>5</xdr:col>
      <xdr:colOff>609600</xdr:colOff>
      <xdr:row>236</xdr:row>
      <xdr:rowOff>177143</xdr:rowOff>
    </xdr:to>
    <xdr:sp macro="" textlink="">
      <xdr:nvSpPr>
        <xdr:cNvPr id="376153" name="Text Box 345" hidden="1">
          <a:extLst>
            <a:ext uri="{FF2B5EF4-FFF2-40B4-BE49-F238E27FC236}">
              <a16:creationId xmlns:a16="http://schemas.microsoft.com/office/drawing/2014/main" id="{4F87CE42-9D49-DF6A-AE21-F81D68A3F54F}"/>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43793</xdr:rowOff>
    </xdr:from>
    <xdr:to>
      <xdr:col>5</xdr:col>
      <xdr:colOff>609600</xdr:colOff>
      <xdr:row>238</xdr:row>
      <xdr:rowOff>81894</xdr:rowOff>
    </xdr:to>
    <xdr:sp macro="" textlink="">
      <xdr:nvSpPr>
        <xdr:cNvPr id="376152" name="Text Box 344" hidden="1">
          <a:extLst>
            <a:ext uri="{FF2B5EF4-FFF2-40B4-BE49-F238E27FC236}">
              <a16:creationId xmlns:a16="http://schemas.microsoft.com/office/drawing/2014/main" id="{8711E70E-4BDB-0AD0-303C-F333156F8EF1}"/>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225</xdr:row>
      <xdr:rowOff>177143</xdr:rowOff>
    </xdr:to>
    <xdr:sp macro="" textlink="">
      <xdr:nvSpPr>
        <xdr:cNvPr id="376151" name="Text Box 343" hidden="1">
          <a:extLst>
            <a:ext uri="{FF2B5EF4-FFF2-40B4-BE49-F238E27FC236}">
              <a16:creationId xmlns:a16="http://schemas.microsoft.com/office/drawing/2014/main" id="{CB700919-6B46-F690-9369-E3A10ED32518}"/>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158093</xdr:rowOff>
    </xdr:from>
    <xdr:to>
      <xdr:col>5</xdr:col>
      <xdr:colOff>609600</xdr:colOff>
      <xdr:row>202</xdr:row>
      <xdr:rowOff>177143</xdr:rowOff>
    </xdr:to>
    <xdr:sp macro="" textlink="">
      <xdr:nvSpPr>
        <xdr:cNvPr id="376150" name="Text Box 342" hidden="1">
          <a:extLst>
            <a:ext uri="{FF2B5EF4-FFF2-40B4-BE49-F238E27FC236}">
              <a16:creationId xmlns:a16="http://schemas.microsoft.com/office/drawing/2014/main" id="{B5DEF912-37FB-9FE9-FCD1-F1DD967926B5}"/>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43793</xdr:rowOff>
    </xdr:from>
    <xdr:to>
      <xdr:col>5</xdr:col>
      <xdr:colOff>609600</xdr:colOff>
      <xdr:row>204</xdr:row>
      <xdr:rowOff>81893</xdr:rowOff>
    </xdr:to>
    <xdr:sp macro="" textlink="">
      <xdr:nvSpPr>
        <xdr:cNvPr id="376149" name="Text Box 341" hidden="1">
          <a:extLst>
            <a:ext uri="{FF2B5EF4-FFF2-40B4-BE49-F238E27FC236}">
              <a16:creationId xmlns:a16="http://schemas.microsoft.com/office/drawing/2014/main" id="{857CCBE7-5C5F-4A20-A627-89F0D5C12545}"/>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43793</xdr:rowOff>
    </xdr:from>
    <xdr:to>
      <xdr:col>5</xdr:col>
      <xdr:colOff>609600</xdr:colOff>
      <xdr:row>205</xdr:row>
      <xdr:rowOff>81893</xdr:rowOff>
    </xdr:to>
    <xdr:sp macro="" textlink="">
      <xdr:nvSpPr>
        <xdr:cNvPr id="376148" name="Text Box 340" hidden="1">
          <a:extLst>
            <a:ext uri="{FF2B5EF4-FFF2-40B4-BE49-F238E27FC236}">
              <a16:creationId xmlns:a16="http://schemas.microsoft.com/office/drawing/2014/main" id="{DA343549-D4F0-750C-546F-9CD05C97779A}"/>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43793</xdr:rowOff>
    </xdr:from>
    <xdr:to>
      <xdr:col>5</xdr:col>
      <xdr:colOff>609600</xdr:colOff>
      <xdr:row>212</xdr:row>
      <xdr:rowOff>81893</xdr:rowOff>
    </xdr:to>
    <xdr:sp macro="" textlink="">
      <xdr:nvSpPr>
        <xdr:cNvPr id="376147" name="Text Box 339" hidden="1">
          <a:extLst>
            <a:ext uri="{FF2B5EF4-FFF2-40B4-BE49-F238E27FC236}">
              <a16:creationId xmlns:a16="http://schemas.microsoft.com/office/drawing/2014/main" id="{F8FC3B03-315D-9BEF-5509-DC95AE0EA62E}"/>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46" name="Text Box 338" hidden="1">
          <a:extLst>
            <a:ext uri="{FF2B5EF4-FFF2-40B4-BE49-F238E27FC236}">
              <a16:creationId xmlns:a16="http://schemas.microsoft.com/office/drawing/2014/main" id="{A7970612-7607-96F2-BA84-75E814710C9D}"/>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83</xdr:row>
      <xdr:rowOff>160502</xdr:rowOff>
    </xdr:to>
    <xdr:sp macro="" textlink="">
      <xdr:nvSpPr>
        <xdr:cNvPr id="376145" name="Text Box 337" hidden="1">
          <a:extLst>
            <a:ext uri="{FF2B5EF4-FFF2-40B4-BE49-F238E27FC236}">
              <a16:creationId xmlns:a16="http://schemas.microsoft.com/office/drawing/2014/main" id="{097E716D-1AE4-EF15-A1AF-9E61E66148E7}"/>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82</xdr:row>
      <xdr:rowOff>84301</xdr:rowOff>
    </xdr:to>
    <xdr:sp macro="" textlink="">
      <xdr:nvSpPr>
        <xdr:cNvPr id="376144" name="Text Box 336" hidden="1">
          <a:extLst>
            <a:ext uri="{FF2B5EF4-FFF2-40B4-BE49-F238E27FC236}">
              <a16:creationId xmlns:a16="http://schemas.microsoft.com/office/drawing/2014/main" id="{CE8CE87D-DC62-F49B-6783-97D161EB42CA}"/>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82</xdr:row>
      <xdr:rowOff>122401</xdr:rowOff>
    </xdr:to>
    <xdr:sp macro="" textlink="">
      <xdr:nvSpPr>
        <xdr:cNvPr id="376143" name="Text Box 335" hidden="1">
          <a:extLst>
            <a:ext uri="{FF2B5EF4-FFF2-40B4-BE49-F238E27FC236}">
              <a16:creationId xmlns:a16="http://schemas.microsoft.com/office/drawing/2014/main" id="{F60890AF-2B37-369B-693C-DB2B6035E27F}"/>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86</xdr:row>
      <xdr:rowOff>8102</xdr:rowOff>
    </xdr:to>
    <xdr:sp macro="" textlink="">
      <xdr:nvSpPr>
        <xdr:cNvPr id="376142" name="Text Box 334" hidden="1">
          <a:extLst>
            <a:ext uri="{FF2B5EF4-FFF2-40B4-BE49-F238E27FC236}">
              <a16:creationId xmlns:a16="http://schemas.microsoft.com/office/drawing/2014/main" id="{D63059A1-FEE7-CBFD-C252-08B3D6316EA4}"/>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160502</xdr:rowOff>
    </xdr:from>
    <xdr:to>
      <xdr:col>5</xdr:col>
      <xdr:colOff>609600</xdr:colOff>
      <xdr:row>94</xdr:row>
      <xdr:rowOff>92841</xdr:rowOff>
    </xdr:to>
    <xdr:sp macro="" textlink="">
      <xdr:nvSpPr>
        <xdr:cNvPr id="376141" name="Text Box 333" hidden="1">
          <a:extLst>
            <a:ext uri="{FF2B5EF4-FFF2-40B4-BE49-F238E27FC236}">
              <a16:creationId xmlns:a16="http://schemas.microsoft.com/office/drawing/2014/main" id="{0BB78F55-C34F-39E7-25A8-2A89A60BA80B}"/>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84301</xdr:rowOff>
    </xdr:from>
    <xdr:to>
      <xdr:col>5</xdr:col>
      <xdr:colOff>609600</xdr:colOff>
      <xdr:row>93</xdr:row>
      <xdr:rowOff>128533</xdr:rowOff>
    </xdr:to>
    <xdr:sp macro="" textlink="">
      <xdr:nvSpPr>
        <xdr:cNvPr id="376140" name="Text Box 332" hidden="1">
          <a:extLst>
            <a:ext uri="{FF2B5EF4-FFF2-40B4-BE49-F238E27FC236}">
              <a16:creationId xmlns:a16="http://schemas.microsoft.com/office/drawing/2014/main" id="{8BDCF42B-E7B7-DC12-43EA-392156CC4FB3}"/>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27152</xdr:rowOff>
    </xdr:from>
    <xdr:to>
      <xdr:col>5</xdr:col>
      <xdr:colOff>609600</xdr:colOff>
      <xdr:row>93</xdr:row>
      <xdr:rowOff>204733</xdr:rowOff>
    </xdr:to>
    <xdr:sp macro="" textlink="">
      <xdr:nvSpPr>
        <xdr:cNvPr id="376139" name="Text Box 331" hidden="1">
          <a:extLst>
            <a:ext uri="{FF2B5EF4-FFF2-40B4-BE49-F238E27FC236}">
              <a16:creationId xmlns:a16="http://schemas.microsoft.com/office/drawing/2014/main" id="{C2925C56-2A77-2023-44D7-81023C70A08F}"/>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95</xdr:row>
      <xdr:rowOff>69850</xdr:rowOff>
    </xdr:to>
    <xdr:sp macro="" textlink="">
      <xdr:nvSpPr>
        <xdr:cNvPr id="376138" name="Text Box 330" hidden="1">
          <a:extLst>
            <a:ext uri="{FF2B5EF4-FFF2-40B4-BE49-F238E27FC236}">
              <a16:creationId xmlns:a16="http://schemas.microsoft.com/office/drawing/2014/main" id="{853E206F-F223-E8C4-44C2-143D32DC51E4}"/>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105761</xdr:rowOff>
    </xdr:from>
    <xdr:to>
      <xdr:col>5</xdr:col>
      <xdr:colOff>609600</xdr:colOff>
      <xdr:row>116</xdr:row>
      <xdr:rowOff>160502</xdr:rowOff>
    </xdr:to>
    <xdr:sp macro="" textlink="">
      <xdr:nvSpPr>
        <xdr:cNvPr id="376137" name="Text Box 329" hidden="1">
          <a:extLst>
            <a:ext uri="{FF2B5EF4-FFF2-40B4-BE49-F238E27FC236}">
              <a16:creationId xmlns:a16="http://schemas.microsoft.com/office/drawing/2014/main" id="{2553C463-94E7-B891-96D4-DD9208ECF91A}"/>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158531</xdr:rowOff>
    </xdr:from>
    <xdr:to>
      <xdr:col>5</xdr:col>
      <xdr:colOff>609600</xdr:colOff>
      <xdr:row>114</xdr:row>
      <xdr:rowOff>182116</xdr:rowOff>
    </xdr:to>
    <xdr:sp macro="" textlink="">
      <xdr:nvSpPr>
        <xdr:cNvPr id="376136" name="Text Box 328" hidden="1">
          <a:extLst>
            <a:ext uri="{FF2B5EF4-FFF2-40B4-BE49-F238E27FC236}">
              <a16:creationId xmlns:a16="http://schemas.microsoft.com/office/drawing/2014/main" id="{1113C332-F172-5A03-E012-4516703BBC62}"/>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158531</xdr:rowOff>
    </xdr:from>
    <xdr:to>
      <xdr:col>5</xdr:col>
      <xdr:colOff>609600</xdr:colOff>
      <xdr:row>113</xdr:row>
      <xdr:rowOff>183138</xdr:rowOff>
    </xdr:to>
    <xdr:sp macro="" textlink="">
      <xdr:nvSpPr>
        <xdr:cNvPr id="376135" name="Text Box 327" hidden="1">
          <a:extLst>
            <a:ext uri="{FF2B5EF4-FFF2-40B4-BE49-F238E27FC236}">
              <a16:creationId xmlns:a16="http://schemas.microsoft.com/office/drawing/2014/main" id="{70462800-9A40-1E45-13DA-56D97438C4D9}"/>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120431</xdr:rowOff>
    </xdr:from>
    <xdr:to>
      <xdr:col>5</xdr:col>
      <xdr:colOff>609600</xdr:colOff>
      <xdr:row>114</xdr:row>
      <xdr:rowOff>73217</xdr:rowOff>
    </xdr:to>
    <xdr:sp macro="" textlink="">
      <xdr:nvSpPr>
        <xdr:cNvPr id="376134" name="Text Box 326" hidden="1">
          <a:extLst>
            <a:ext uri="{FF2B5EF4-FFF2-40B4-BE49-F238E27FC236}">
              <a16:creationId xmlns:a16="http://schemas.microsoft.com/office/drawing/2014/main" id="{91AF69DE-95DE-E96C-8096-5CF38A7D9EB2}"/>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103352</xdr:rowOff>
    </xdr:from>
    <xdr:to>
      <xdr:col>21</xdr:col>
      <xdr:colOff>438150</xdr:colOff>
      <xdr:row>136</xdr:row>
      <xdr:rowOff>122402</xdr:rowOff>
    </xdr:to>
    <xdr:sp macro="" textlink="">
      <xdr:nvSpPr>
        <xdr:cNvPr id="376133" name="Text Box 325" hidden="1">
          <a:extLst>
            <a:ext uri="{FF2B5EF4-FFF2-40B4-BE49-F238E27FC236}">
              <a16:creationId xmlns:a16="http://schemas.microsoft.com/office/drawing/2014/main" id="{4AFEF2AA-B2E3-3E79-EEB1-F4163202E92C}"/>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32" name="Text Box 324" hidden="1">
          <a:extLst>
            <a:ext uri="{FF2B5EF4-FFF2-40B4-BE49-F238E27FC236}">
              <a16:creationId xmlns:a16="http://schemas.microsoft.com/office/drawing/2014/main" id="{329C3DF2-548C-E8E3-16EA-82E4A4AA90C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31" name="Text Box 323" hidden="1">
          <a:extLst>
            <a:ext uri="{FF2B5EF4-FFF2-40B4-BE49-F238E27FC236}">
              <a16:creationId xmlns:a16="http://schemas.microsoft.com/office/drawing/2014/main" id="{74FE3474-95EF-5087-720C-B65903EBE5E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122402</xdr:rowOff>
    </xdr:from>
    <xdr:to>
      <xdr:col>22</xdr:col>
      <xdr:colOff>609600</xdr:colOff>
      <xdr:row>140</xdr:row>
      <xdr:rowOff>103352</xdr:rowOff>
    </xdr:to>
    <xdr:sp macro="" textlink="">
      <xdr:nvSpPr>
        <xdr:cNvPr id="376130" name="Text Box 322" hidden="1">
          <a:extLst>
            <a:ext uri="{FF2B5EF4-FFF2-40B4-BE49-F238E27FC236}">
              <a16:creationId xmlns:a16="http://schemas.microsoft.com/office/drawing/2014/main" id="{6ACABC78-B79E-2AE9-B334-332B373FBF7F}"/>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29" name="Text Box 321" hidden="1">
          <a:extLst>
            <a:ext uri="{FF2B5EF4-FFF2-40B4-BE49-F238E27FC236}">
              <a16:creationId xmlns:a16="http://schemas.microsoft.com/office/drawing/2014/main" id="{8C73C23C-ED62-90AB-84D1-98128F634BCD}"/>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28" name="Text Box 320" hidden="1">
          <a:extLst>
            <a:ext uri="{FF2B5EF4-FFF2-40B4-BE49-F238E27FC236}">
              <a16:creationId xmlns:a16="http://schemas.microsoft.com/office/drawing/2014/main" id="{D229D49E-5632-80D7-8D26-B2BD9CE8F7D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27" name="Text Box 319" hidden="1">
          <a:extLst>
            <a:ext uri="{FF2B5EF4-FFF2-40B4-BE49-F238E27FC236}">
              <a16:creationId xmlns:a16="http://schemas.microsoft.com/office/drawing/2014/main" id="{619C35D9-C66E-188F-1A6E-13DE9612F65F}"/>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122402</xdr:rowOff>
    </xdr:from>
    <xdr:to>
      <xdr:col>24</xdr:col>
      <xdr:colOff>647700</xdr:colOff>
      <xdr:row>141</xdr:row>
      <xdr:rowOff>27151</xdr:rowOff>
    </xdr:to>
    <xdr:sp macro="" textlink="">
      <xdr:nvSpPr>
        <xdr:cNvPr id="376126" name="Text Box 318" hidden="1">
          <a:extLst>
            <a:ext uri="{FF2B5EF4-FFF2-40B4-BE49-F238E27FC236}">
              <a16:creationId xmlns:a16="http://schemas.microsoft.com/office/drawing/2014/main" id="{209A7F8D-7F10-DE97-8E78-DA7F145AC844}"/>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25" name="Text Box 317" hidden="1">
          <a:extLst>
            <a:ext uri="{FF2B5EF4-FFF2-40B4-BE49-F238E27FC236}">
              <a16:creationId xmlns:a16="http://schemas.microsoft.com/office/drawing/2014/main" id="{9D4D595F-9BC5-AE9C-7473-4A096B8ED62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24" name="Text Box 316" hidden="1">
          <a:extLst>
            <a:ext uri="{FF2B5EF4-FFF2-40B4-BE49-F238E27FC236}">
              <a16:creationId xmlns:a16="http://schemas.microsoft.com/office/drawing/2014/main" id="{7F6271C5-6F52-4FB0-C311-0FC23F4E7495}"/>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141452</xdr:rowOff>
    </xdr:from>
    <xdr:to>
      <xdr:col>25</xdr:col>
      <xdr:colOff>647700</xdr:colOff>
      <xdr:row>140</xdr:row>
      <xdr:rowOff>175172</xdr:rowOff>
    </xdr:to>
    <xdr:sp macro="" textlink="">
      <xdr:nvSpPr>
        <xdr:cNvPr id="376123" name="Text Box 315" hidden="1">
          <a:extLst>
            <a:ext uri="{FF2B5EF4-FFF2-40B4-BE49-F238E27FC236}">
              <a16:creationId xmlns:a16="http://schemas.microsoft.com/office/drawing/2014/main" id="{645AC416-88E0-22E4-CE89-714D04D6D672}"/>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22" name="Text Box 314" hidden="1">
          <a:extLst>
            <a:ext uri="{FF2B5EF4-FFF2-40B4-BE49-F238E27FC236}">
              <a16:creationId xmlns:a16="http://schemas.microsoft.com/office/drawing/2014/main" id="{74AD9851-4DB9-5EA4-069C-21740ACCA481}"/>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1" name="Text Box 313" hidden="1">
          <a:extLst>
            <a:ext uri="{FF2B5EF4-FFF2-40B4-BE49-F238E27FC236}">
              <a16:creationId xmlns:a16="http://schemas.microsoft.com/office/drawing/2014/main" id="{6992A4B7-0E60-0828-FC29-A049DBDD5C9A}"/>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90" name="Text Box 382" hidden="1">
          <a:extLst>
            <a:ext uri="{FF2B5EF4-FFF2-40B4-BE49-F238E27FC236}">
              <a16:creationId xmlns:a16="http://schemas.microsoft.com/office/drawing/2014/main" id="{478B04D7-86F1-7A9A-4D71-4BDF0E3AE560}"/>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81893</xdr:rowOff>
    </xdr:from>
    <xdr:to>
      <xdr:col>5</xdr:col>
      <xdr:colOff>609600</xdr:colOff>
      <xdr:row>237</xdr:row>
      <xdr:rowOff>81893</xdr:rowOff>
    </xdr:to>
    <xdr:sp macro="" textlink="">
      <xdr:nvSpPr>
        <xdr:cNvPr id="376189" name="Text Box 381" hidden="1">
          <a:extLst>
            <a:ext uri="{FF2B5EF4-FFF2-40B4-BE49-F238E27FC236}">
              <a16:creationId xmlns:a16="http://schemas.microsoft.com/office/drawing/2014/main" id="{F0BE34C0-66CB-C692-499B-A51CCBD06CA5}"/>
            </a:ext>
          </a:extLst>
        </xdr:cNvPr>
        <xdr:cNvSpPr txBox="1">
          <a:spLocks noChangeArrowheads="1"/>
        </xdr:cNvSpPr>
      </xdr:nvSpPr>
      <xdr:spPr bwMode="auto">
        <a:xfrm>
          <a:off x="3994150" y="423354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43793</xdr:rowOff>
    </xdr:from>
    <xdr:to>
      <xdr:col>5</xdr:col>
      <xdr:colOff>609600</xdr:colOff>
      <xdr:row>236</xdr:row>
      <xdr:rowOff>177143</xdr:rowOff>
    </xdr:to>
    <xdr:sp macro="" textlink="">
      <xdr:nvSpPr>
        <xdr:cNvPr id="376188" name="Text Box 380" hidden="1">
          <a:extLst>
            <a:ext uri="{FF2B5EF4-FFF2-40B4-BE49-F238E27FC236}">
              <a16:creationId xmlns:a16="http://schemas.microsoft.com/office/drawing/2014/main" id="{FAF0F7FB-528B-EA35-EFBB-B59FAB65B977}"/>
            </a:ext>
          </a:extLst>
        </xdr:cNvPr>
        <xdr:cNvSpPr txBox="1">
          <a:spLocks noChangeArrowheads="1"/>
        </xdr:cNvSpPr>
      </xdr:nvSpPr>
      <xdr:spPr bwMode="auto">
        <a:xfrm>
          <a:off x="3994150" y="426656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43793</xdr:rowOff>
    </xdr:from>
    <xdr:to>
      <xdr:col>5</xdr:col>
      <xdr:colOff>609600</xdr:colOff>
      <xdr:row>238</xdr:row>
      <xdr:rowOff>81894</xdr:rowOff>
    </xdr:to>
    <xdr:sp macro="" textlink="">
      <xdr:nvSpPr>
        <xdr:cNvPr id="376187" name="Text Box 379" hidden="1">
          <a:extLst>
            <a:ext uri="{FF2B5EF4-FFF2-40B4-BE49-F238E27FC236}">
              <a16:creationId xmlns:a16="http://schemas.microsoft.com/office/drawing/2014/main" id="{CAD1CCD5-E25F-D83B-2C88-40D764FCC97C}"/>
            </a:ext>
          </a:extLst>
        </xdr:cNvPr>
        <xdr:cNvSpPr txBox="1">
          <a:spLocks noChangeArrowheads="1"/>
        </xdr:cNvSpPr>
      </xdr:nvSpPr>
      <xdr:spPr bwMode="auto">
        <a:xfrm>
          <a:off x="3994150" y="432181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225</xdr:row>
      <xdr:rowOff>177143</xdr:rowOff>
    </xdr:to>
    <xdr:sp macro="" textlink="">
      <xdr:nvSpPr>
        <xdr:cNvPr id="376186" name="Text Box 378" hidden="1">
          <a:extLst>
            <a:ext uri="{FF2B5EF4-FFF2-40B4-BE49-F238E27FC236}">
              <a16:creationId xmlns:a16="http://schemas.microsoft.com/office/drawing/2014/main" id="{BAF95D75-B096-E336-A198-61ACE26CD62E}"/>
            </a:ext>
          </a:extLst>
        </xdr:cNvPr>
        <xdr:cNvSpPr txBox="1">
          <a:spLocks noChangeArrowheads="1"/>
        </xdr:cNvSpPr>
      </xdr:nvSpPr>
      <xdr:spPr bwMode="auto">
        <a:xfrm>
          <a:off x="3994150" y="43402250"/>
          <a:ext cx="131445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158093</xdr:rowOff>
    </xdr:from>
    <xdr:to>
      <xdr:col>5</xdr:col>
      <xdr:colOff>609600</xdr:colOff>
      <xdr:row>202</xdr:row>
      <xdr:rowOff>177143</xdr:rowOff>
    </xdr:to>
    <xdr:sp macro="" textlink="">
      <xdr:nvSpPr>
        <xdr:cNvPr id="376185" name="Text Box 377" hidden="1">
          <a:extLst>
            <a:ext uri="{FF2B5EF4-FFF2-40B4-BE49-F238E27FC236}">
              <a16:creationId xmlns:a16="http://schemas.microsoft.com/office/drawing/2014/main" id="{F6A61F4C-75C4-FCF4-7311-3510FE64BDAE}"/>
            </a:ext>
          </a:extLst>
        </xdr:cNvPr>
        <xdr:cNvSpPr txBox="1">
          <a:spLocks noChangeArrowheads="1"/>
        </xdr:cNvSpPr>
      </xdr:nvSpPr>
      <xdr:spPr bwMode="auto">
        <a:xfrm>
          <a:off x="3994150" y="390969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43793</xdr:rowOff>
    </xdr:from>
    <xdr:to>
      <xdr:col>5</xdr:col>
      <xdr:colOff>609600</xdr:colOff>
      <xdr:row>204</xdr:row>
      <xdr:rowOff>81893</xdr:rowOff>
    </xdr:to>
    <xdr:sp macro="" textlink="">
      <xdr:nvSpPr>
        <xdr:cNvPr id="376184" name="Text Box 376" hidden="1">
          <a:extLst>
            <a:ext uri="{FF2B5EF4-FFF2-40B4-BE49-F238E27FC236}">
              <a16:creationId xmlns:a16="http://schemas.microsoft.com/office/drawing/2014/main" id="{016656CE-67B9-9FFF-C8F7-0FA90FD91C96}"/>
            </a:ext>
          </a:extLst>
        </xdr:cNvPr>
        <xdr:cNvSpPr txBox="1">
          <a:spLocks noChangeArrowheads="1"/>
        </xdr:cNvSpPr>
      </xdr:nvSpPr>
      <xdr:spPr bwMode="auto">
        <a:xfrm>
          <a:off x="3994150" y="395351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43793</xdr:rowOff>
    </xdr:from>
    <xdr:to>
      <xdr:col>5</xdr:col>
      <xdr:colOff>609600</xdr:colOff>
      <xdr:row>205</xdr:row>
      <xdr:rowOff>81893</xdr:rowOff>
    </xdr:to>
    <xdr:sp macro="" textlink="">
      <xdr:nvSpPr>
        <xdr:cNvPr id="376183" name="Text Box 375" hidden="1">
          <a:extLst>
            <a:ext uri="{FF2B5EF4-FFF2-40B4-BE49-F238E27FC236}">
              <a16:creationId xmlns:a16="http://schemas.microsoft.com/office/drawing/2014/main" id="{305CC0C7-B42C-8CE5-8A8D-DDD6C31B2A3A}"/>
            </a:ext>
          </a:extLst>
        </xdr:cNvPr>
        <xdr:cNvSpPr txBox="1">
          <a:spLocks noChangeArrowheads="1"/>
        </xdr:cNvSpPr>
      </xdr:nvSpPr>
      <xdr:spPr bwMode="auto">
        <a:xfrm>
          <a:off x="3994150" y="399034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43793</xdr:rowOff>
    </xdr:from>
    <xdr:to>
      <xdr:col>5</xdr:col>
      <xdr:colOff>609600</xdr:colOff>
      <xdr:row>212</xdr:row>
      <xdr:rowOff>81893</xdr:rowOff>
    </xdr:to>
    <xdr:sp macro="" textlink="">
      <xdr:nvSpPr>
        <xdr:cNvPr id="376182" name="Text Box 374" hidden="1">
          <a:extLst>
            <a:ext uri="{FF2B5EF4-FFF2-40B4-BE49-F238E27FC236}">
              <a16:creationId xmlns:a16="http://schemas.microsoft.com/office/drawing/2014/main" id="{E0F4F60D-AC02-C5C6-14F4-EB2471D572B4}"/>
            </a:ext>
          </a:extLst>
        </xdr:cNvPr>
        <xdr:cNvSpPr txBox="1">
          <a:spLocks noChangeArrowheads="1"/>
        </xdr:cNvSpPr>
      </xdr:nvSpPr>
      <xdr:spPr bwMode="auto">
        <a:xfrm>
          <a:off x="3994150" y="40271700"/>
          <a:ext cx="13144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81" name="Text Box 373" hidden="1">
          <a:extLst>
            <a:ext uri="{FF2B5EF4-FFF2-40B4-BE49-F238E27FC236}">
              <a16:creationId xmlns:a16="http://schemas.microsoft.com/office/drawing/2014/main" id="{012EC611-8E0A-595F-A982-8082444BE366}"/>
            </a:ext>
          </a:extLst>
        </xdr:cNvPr>
        <xdr:cNvSpPr txBox="1">
          <a:spLocks noChangeArrowheads="1"/>
        </xdr:cNvSpPr>
      </xdr:nvSpPr>
      <xdr:spPr bwMode="auto">
        <a:xfrm>
          <a:off x="3994150" y="134556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83</xdr:row>
      <xdr:rowOff>160502</xdr:rowOff>
    </xdr:to>
    <xdr:sp macro="" textlink="">
      <xdr:nvSpPr>
        <xdr:cNvPr id="376180" name="Text Box 372" hidden="1">
          <a:extLst>
            <a:ext uri="{FF2B5EF4-FFF2-40B4-BE49-F238E27FC236}">
              <a16:creationId xmlns:a16="http://schemas.microsoft.com/office/drawing/2014/main" id="{96393D78-FF24-7AB0-4C5C-CA49D5EDFBD2}"/>
            </a:ext>
          </a:extLst>
        </xdr:cNvPr>
        <xdr:cNvSpPr txBox="1">
          <a:spLocks noChangeArrowheads="1"/>
        </xdr:cNvSpPr>
      </xdr:nvSpPr>
      <xdr:spPr bwMode="auto">
        <a:xfrm>
          <a:off x="4013200" y="13785850"/>
          <a:ext cx="1314450" cy="416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82</xdr:row>
      <xdr:rowOff>84301</xdr:rowOff>
    </xdr:to>
    <xdr:sp macro="" textlink="">
      <xdr:nvSpPr>
        <xdr:cNvPr id="376179" name="Text Box 371" hidden="1">
          <a:extLst>
            <a:ext uri="{FF2B5EF4-FFF2-40B4-BE49-F238E27FC236}">
              <a16:creationId xmlns:a16="http://schemas.microsoft.com/office/drawing/2014/main" id="{B9203DE2-1880-7016-5488-48F1DFBA3CA4}"/>
            </a:ext>
          </a:extLst>
        </xdr:cNvPr>
        <xdr:cNvSpPr txBox="1">
          <a:spLocks noChangeArrowheads="1"/>
        </xdr:cNvSpPr>
      </xdr:nvSpPr>
      <xdr:spPr bwMode="auto">
        <a:xfrm>
          <a:off x="3994150" y="134556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82</xdr:row>
      <xdr:rowOff>122401</xdr:rowOff>
    </xdr:to>
    <xdr:sp macro="" textlink="">
      <xdr:nvSpPr>
        <xdr:cNvPr id="376178" name="Text Box 370" hidden="1">
          <a:extLst>
            <a:ext uri="{FF2B5EF4-FFF2-40B4-BE49-F238E27FC236}">
              <a16:creationId xmlns:a16="http://schemas.microsoft.com/office/drawing/2014/main" id="{A918AC66-7C89-7CF8-F57D-559187846E3F}"/>
            </a:ext>
          </a:extLst>
        </xdr:cNvPr>
        <xdr:cNvSpPr txBox="1">
          <a:spLocks noChangeArrowheads="1"/>
        </xdr:cNvSpPr>
      </xdr:nvSpPr>
      <xdr:spPr bwMode="auto">
        <a:xfrm>
          <a:off x="3994150" y="13474700"/>
          <a:ext cx="1314450" cy="425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86</xdr:row>
      <xdr:rowOff>8102</xdr:rowOff>
    </xdr:to>
    <xdr:sp macro="" textlink="">
      <xdr:nvSpPr>
        <xdr:cNvPr id="376177" name="Text Box 369" hidden="1">
          <a:extLst>
            <a:ext uri="{FF2B5EF4-FFF2-40B4-BE49-F238E27FC236}">
              <a16:creationId xmlns:a16="http://schemas.microsoft.com/office/drawing/2014/main" id="{033ECE85-200F-1A01-A2AB-BD214F1BB788}"/>
            </a:ext>
          </a:extLst>
        </xdr:cNvPr>
        <xdr:cNvSpPr txBox="1">
          <a:spLocks noChangeArrowheads="1"/>
        </xdr:cNvSpPr>
      </xdr:nvSpPr>
      <xdr:spPr bwMode="auto">
        <a:xfrm>
          <a:off x="3994150" y="14668500"/>
          <a:ext cx="1314450" cy="368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160502</xdr:rowOff>
    </xdr:from>
    <xdr:to>
      <xdr:col>5</xdr:col>
      <xdr:colOff>609600</xdr:colOff>
      <xdr:row>94</xdr:row>
      <xdr:rowOff>92841</xdr:rowOff>
    </xdr:to>
    <xdr:sp macro="" textlink="">
      <xdr:nvSpPr>
        <xdr:cNvPr id="376176" name="Text Box 368" hidden="1">
          <a:extLst>
            <a:ext uri="{FF2B5EF4-FFF2-40B4-BE49-F238E27FC236}">
              <a16:creationId xmlns:a16="http://schemas.microsoft.com/office/drawing/2014/main" id="{0D4DEC18-188D-9760-AF29-93FF1AD892C1}"/>
            </a:ext>
          </a:extLst>
        </xdr:cNvPr>
        <xdr:cNvSpPr txBox="1">
          <a:spLocks noChangeArrowheads="1"/>
        </xdr:cNvSpPr>
      </xdr:nvSpPr>
      <xdr:spPr bwMode="auto">
        <a:xfrm>
          <a:off x="3994150" y="17583150"/>
          <a:ext cx="1314450" cy="2444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84301</xdr:rowOff>
    </xdr:from>
    <xdr:to>
      <xdr:col>5</xdr:col>
      <xdr:colOff>609600</xdr:colOff>
      <xdr:row>93</xdr:row>
      <xdr:rowOff>128533</xdr:rowOff>
    </xdr:to>
    <xdr:sp macro="" textlink="">
      <xdr:nvSpPr>
        <xdr:cNvPr id="376175" name="Text Box 367" hidden="1">
          <a:extLst>
            <a:ext uri="{FF2B5EF4-FFF2-40B4-BE49-F238E27FC236}">
              <a16:creationId xmlns:a16="http://schemas.microsoft.com/office/drawing/2014/main" id="{1584BB7B-04C3-B69E-0963-72E932575602}"/>
            </a:ext>
          </a:extLst>
        </xdr:cNvPr>
        <xdr:cNvSpPr txBox="1">
          <a:spLocks noChangeArrowheads="1"/>
        </xdr:cNvSpPr>
      </xdr:nvSpPr>
      <xdr:spPr bwMode="auto">
        <a:xfrm>
          <a:off x="3994150" y="17691100"/>
          <a:ext cx="1314450" cy="213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27152</xdr:rowOff>
    </xdr:from>
    <xdr:to>
      <xdr:col>5</xdr:col>
      <xdr:colOff>609600</xdr:colOff>
      <xdr:row>93</xdr:row>
      <xdr:rowOff>204733</xdr:rowOff>
    </xdr:to>
    <xdr:sp macro="" textlink="">
      <xdr:nvSpPr>
        <xdr:cNvPr id="376174" name="Text Box 366" hidden="1">
          <a:extLst>
            <a:ext uri="{FF2B5EF4-FFF2-40B4-BE49-F238E27FC236}">
              <a16:creationId xmlns:a16="http://schemas.microsoft.com/office/drawing/2014/main" id="{4E858CF1-AA6D-8757-B1C8-50DB001F6E3E}"/>
            </a:ext>
          </a:extLst>
        </xdr:cNvPr>
        <xdr:cNvSpPr txBox="1">
          <a:spLocks noChangeArrowheads="1"/>
        </xdr:cNvSpPr>
      </xdr:nvSpPr>
      <xdr:spPr bwMode="auto">
        <a:xfrm>
          <a:off x="3994150" y="17818100"/>
          <a:ext cx="131445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95</xdr:row>
      <xdr:rowOff>69850</xdr:rowOff>
    </xdr:to>
    <xdr:sp macro="" textlink="">
      <xdr:nvSpPr>
        <xdr:cNvPr id="376173" name="Text Box 365" hidden="1">
          <a:extLst>
            <a:ext uri="{FF2B5EF4-FFF2-40B4-BE49-F238E27FC236}">
              <a16:creationId xmlns:a16="http://schemas.microsoft.com/office/drawing/2014/main" id="{DBE32A68-6D76-2CA7-424C-2F09F040FCC6}"/>
            </a:ext>
          </a:extLst>
        </xdr:cNvPr>
        <xdr:cNvSpPr txBox="1">
          <a:spLocks noChangeArrowheads="1"/>
        </xdr:cNvSpPr>
      </xdr:nvSpPr>
      <xdr:spPr bwMode="auto">
        <a:xfrm>
          <a:off x="3994150" y="18002250"/>
          <a:ext cx="13144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105761</xdr:rowOff>
    </xdr:from>
    <xdr:to>
      <xdr:col>5</xdr:col>
      <xdr:colOff>609600</xdr:colOff>
      <xdr:row>116</xdr:row>
      <xdr:rowOff>160502</xdr:rowOff>
    </xdr:to>
    <xdr:sp macro="" textlink="">
      <xdr:nvSpPr>
        <xdr:cNvPr id="376172" name="Text Box 364" hidden="1">
          <a:extLst>
            <a:ext uri="{FF2B5EF4-FFF2-40B4-BE49-F238E27FC236}">
              <a16:creationId xmlns:a16="http://schemas.microsoft.com/office/drawing/2014/main" id="{36FDD0F4-4AFC-AD60-60C7-CEBA9BFFBA9C}"/>
            </a:ext>
          </a:extLst>
        </xdr:cNvPr>
        <xdr:cNvSpPr txBox="1">
          <a:spLocks noChangeArrowheads="1"/>
        </xdr:cNvSpPr>
      </xdr:nvSpPr>
      <xdr:spPr bwMode="auto">
        <a:xfrm>
          <a:off x="3994150" y="22421850"/>
          <a:ext cx="1314450" cy="189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158531</xdr:rowOff>
    </xdr:from>
    <xdr:to>
      <xdr:col>5</xdr:col>
      <xdr:colOff>609600</xdr:colOff>
      <xdr:row>114</xdr:row>
      <xdr:rowOff>182116</xdr:rowOff>
    </xdr:to>
    <xdr:sp macro="" textlink="">
      <xdr:nvSpPr>
        <xdr:cNvPr id="376171" name="Text Box 363" hidden="1">
          <a:extLst>
            <a:ext uri="{FF2B5EF4-FFF2-40B4-BE49-F238E27FC236}">
              <a16:creationId xmlns:a16="http://schemas.microsoft.com/office/drawing/2014/main" id="{C564B77F-F417-7377-DAA0-FA0A5FC115D3}"/>
            </a:ext>
          </a:extLst>
        </xdr:cNvPr>
        <xdr:cNvSpPr txBox="1">
          <a:spLocks noChangeArrowheads="1"/>
        </xdr:cNvSpPr>
      </xdr:nvSpPr>
      <xdr:spPr bwMode="auto">
        <a:xfrm>
          <a:off x="3994150" y="22656800"/>
          <a:ext cx="13144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158531</xdr:rowOff>
    </xdr:from>
    <xdr:to>
      <xdr:col>5</xdr:col>
      <xdr:colOff>609600</xdr:colOff>
      <xdr:row>113</xdr:row>
      <xdr:rowOff>183138</xdr:rowOff>
    </xdr:to>
    <xdr:sp macro="" textlink="">
      <xdr:nvSpPr>
        <xdr:cNvPr id="376170" name="Text Box 362" hidden="1">
          <a:extLst>
            <a:ext uri="{FF2B5EF4-FFF2-40B4-BE49-F238E27FC236}">
              <a16:creationId xmlns:a16="http://schemas.microsoft.com/office/drawing/2014/main" id="{F25AC198-976D-E1D9-81E2-21130DAAD8B9}"/>
            </a:ext>
          </a:extLst>
        </xdr:cNvPr>
        <xdr:cNvSpPr txBox="1">
          <a:spLocks noChangeArrowheads="1"/>
        </xdr:cNvSpPr>
      </xdr:nvSpPr>
      <xdr:spPr bwMode="auto">
        <a:xfrm>
          <a:off x="3994150" y="22840950"/>
          <a:ext cx="1314450" cy="933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120431</xdr:rowOff>
    </xdr:from>
    <xdr:to>
      <xdr:col>5</xdr:col>
      <xdr:colOff>609600</xdr:colOff>
      <xdr:row>114</xdr:row>
      <xdr:rowOff>73217</xdr:rowOff>
    </xdr:to>
    <xdr:sp macro="" textlink="">
      <xdr:nvSpPr>
        <xdr:cNvPr id="376169" name="Text Box 361" hidden="1">
          <a:extLst>
            <a:ext uri="{FF2B5EF4-FFF2-40B4-BE49-F238E27FC236}">
              <a16:creationId xmlns:a16="http://schemas.microsoft.com/office/drawing/2014/main" id="{B8A88A5D-8906-50EA-235C-1C133D444BF2}"/>
            </a:ext>
          </a:extLst>
        </xdr:cNvPr>
        <xdr:cNvSpPr txBox="1">
          <a:spLocks noChangeArrowheads="1"/>
        </xdr:cNvSpPr>
      </xdr:nvSpPr>
      <xdr:spPr bwMode="auto">
        <a:xfrm>
          <a:off x="3994150" y="22802850"/>
          <a:ext cx="13144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103352</xdr:rowOff>
    </xdr:from>
    <xdr:to>
      <xdr:col>21</xdr:col>
      <xdr:colOff>438150</xdr:colOff>
      <xdr:row>136</xdr:row>
      <xdr:rowOff>122402</xdr:rowOff>
    </xdr:to>
    <xdr:sp macro="" textlink="">
      <xdr:nvSpPr>
        <xdr:cNvPr id="376168" name="Text Box 360" hidden="1">
          <a:extLst>
            <a:ext uri="{FF2B5EF4-FFF2-40B4-BE49-F238E27FC236}">
              <a16:creationId xmlns:a16="http://schemas.microsoft.com/office/drawing/2014/main" id="{6AF95E5E-9D07-BCA3-2783-4F92A50CB001}"/>
            </a:ext>
          </a:extLst>
        </xdr:cNvPr>
        <xdr:cNvSpPr txBox="1">
          <a:spLocks noChangeArrowheads="1"/>
        </xdr:cNvSpPr>
      </xdr:nvSpPr>
      <xdr:spPr bwMode="auto">
        <a:xfrm>
          <a:off x="17513300" y="27203400"/>
          <a:ext cx="13335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67" name="Text Box 359" hidden="1">
          <a:extLst>
            <a:ext uri="{FF2B5EF4-FFF2-40B4-BE49-F238E27FC236}">
              <a16:creationId xmlns:a16="http://schemas.microsoft.com/office/drawing/2014/main" id="{E03C5E47-BA62-5CE7-B7D4-E7A063AEC4D1}"/>
            </a:ext>
          </a:extLst>
        </xdr:cNvPr>
        <xdr:cNvSpPr txBox="1">
          <a:spLocks noChangeArrowheads="1"/>
        </xdr:cNvSpPr>
      </xdr:nvSpPr>
      <xdr:spPr bwMode="auto">
        <a:xfrm>
          <a:off x="18332450" y="3556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66" name="Text Box 358" hidden="1">
          <a:extLst>
            <a:ext uri="{FF2B5EF4-FFF2-40B4-BE49-F238E27FC236}">
              <a16:creationId xmlns:a16="http://schemas.microsoft.com/office/drawing/2014/main" id="{172A1800-2104-BD56-24C2-9E9E8B37D9F0}"/>
            </a:ext>
          </a:extLst>
        </xdr:cNvPr>
        <xdr:cNvSpPr txBox="1">
          <a:spLocks noChangeArrowheads="1"/>
        </xdr:cNvSpPr>
      </xdr:nvSpPr>
      <xdr:spPr bwMode="auto">
        <a:xfrm>
          <a:off x="18332450" y="55626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122402</xdr:rowOff>
    </xdr:from>
    <xdr:to>
      <xdr:col>22</xdr:col>
      <xdr:colOff>609600</xdr:colOff>
      <xdr:row>140</xdr:row>
      <xdr:rowOff>103352</xdr:rowOff>
    </xdr:to>
    <xdr:sp macro="" textlink="">
      <xdr:nvSpPr>
        <xdr:cNvPr id="376165" name="Text Box 357" hidden="1">
          <a:extLst>
            <a:ext uri="{FF2B5EF4-FFF2-40B4-BE49-F238E27FC236}">
              <a16:creationId xmlns:a16="http://schemas.microsoft.com/office/drawing/2014/main" id="{63F89848-8B79-9010-E15E-8D0EAB2E6EE5}"/>
            </a:ext>
          </a:extLst>
        </xdr:cNvPr>
        <xdr:cNvSpPr txBox="1">
          <a:spLocks noChangeArrowheads="1"/>
        </xdr:cNvSpPr>
      </xdr:nvSpPr>
      <xdr:spPr bwMode="auto">
        <a:xfrm>
          <a:off x="18332450" y="279590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64" name="Text Box 356" hidden="1">
          <a:extLst>
            <a:ext uri="{FF2B5EF4-FFF2-40B4-BE49-F238E27FC236}">
              <a16:creationId xmlns:a16="http://schemas.microsoft.com/office/drawing/2014/main" id="{3AF29814-4526-EAD9-0F0F-89464D8DEF8C}"/>
            </a:ext>
          </a:extLst>
        </xdr:cNvPr>
        <xdr:cNvSpPr txBox="1">
          <a:spLocks noChangeArrowheads="1"/>
        </xdr:cNvSpPr>
      </xdr:nvSpPr>
      <xdr:spPr bwMode="auto">
        <a:xfrm>
          <a:off x="9359900" y="72199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63" name="Text Box 355" hidden="1">
          <a:extLst>
            <a:ext uri="{FF2B5EF4-FFF2-40B4-BE49-F238E27FC236}">
              <a16:creationId xmlns:a16="http://schemas.microsoft.com/office/drawing/2014/main" id="{A33376DD-8227-8190-7F98-E6DC62794349}"/>
            </a:ext>
          </a:extLst>
        </xdr:cNvPr>
        <xdr:cNvSpPr txBox="1">
          <a:spLocks noChangeArrowheads="1"/>
        </xdr:cNvSpPr>
      </xdr:nvSpPr>
      <xdr:spPr bwMode="auto">
        <a:xfrm>
          <a:off x="20027900" y="35560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62" name="Text Box 354" hidden="1">
          <a:extLst>
            <a:ext uri="{FF2B5EF4-FFF2-40B4-BE49-F238E27FC236}">
              <a16:creationId xmlns:a16="http://schemas.microsoft.com/office/drawing/2014/main" id="{61E9B088-C604-6887-3D38-92E8D556240E}"/>
            </a:ext>
          </a:extLst>
        </xdr:cNvPr>
        <xdr:cNvSpPr txBox="1">
          <a:spLocks noChangeArrowheads="1"/>
        </xdr:cNvSpPr>
      </xdr:nvSpPr>
      <xdr:spPr bwMode="auto">
        <a:xfrm>
          <a:off x="20027900" y="556260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122402</xdr:rowOff>
    </xdr:from>
    <xdr:to>
      <xdr:col>24</xdr:col>
      <xdr:colOff>647700</xdr:colOff>
      <xdr:row>141</xdr:row>
      <xdr:rowOff>27151</xdr:rowOff>
    </xdr:to>
    <xdr:sp macro="" textlink="">
      <xdr:nvSpPr>
        <xdr:cNvPr id="376161" name="Text Box 353" hidden="1">
          <a:extLst>
            <a:ext uri="{FF2B5EF4-FFF2-40B4-BE49-F238E27FC236}">
              <a16:creationId xmlns:a16="http://schemas.microsoft.com/office/drawing/2014/main" id="{C9302C73-D776-B999-4B35-82F7C8965F23}"/>
            </a:ext>
          </a:extLst>
        </xdr:cNvPr>
        <xdr:cNvSpPr txBox="1">
          <a:spLocks noChangeArrowheads="1"/>
        </xdr:cNvSpPr>
      </xdr:nvSpPr>
      <xdr:spPr bwMode="auto">
        <a:xfrm>
          <a:off x="20027900" y="279590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60" name="Text Box 352" hidden="1">
          <a:extLst>
            <a:ext uri="{FF2B5EF4-FFF2-40B4-BE49-F238E27FC236}">
              <a16:creationId xmlns:a16="http://schemas.microsoft.com/office/drawing/2014/main" id="{FF4786C9-8643-41A0-439D-38EF533E0238}"/>
            </a:ext>
          </a:extLst>
        </xdr:cNvPr>
        <xdr:cNvSpPr txBox="1">
          <a:spLocks noChangeArrowheads="1"/>
        </xdr:cNvSpPr>
      </xdr:nvSpPr>
      <xdr:spPr bwMode="auto">
        <a:xfrm>
          <a:off x="20789900" y="35750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59" name="Text Box 351" hidden="1">
          <a:extLst>
            <a:ext uri="{FF2B5EF4-FFF2-40B4-BE49-F238E27FC236}">
              <a16:creationId xmlns:a16="http://schemas.microsoft.com/office/drawing/2014/main" id="{7F6BBECA-919A-B1B3-2EEE-FAE98CEDB8A6}"/>
            </a:ext>
          </a:extLst>
        </xdr:cNvPr>
        <xdr:cNvSpPr txBox="1">
          <a:spLocks noChangeArrowheads="1"/>
        </xdr:cNvSpPr>
      </xdr:nvSpPr>
      <xdr:spPr bwMode="auto">
        <a:xfrm>
          <a:off x="20789900" y="5581650"/>
          <a:ext cx="1314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141452</xdr:rowOff>
    </xdr:from>
    <xdr:to>
      <xdr:col>25</xdr:col>
      <xdr:colOff>647700</xdr:colOff>
      <xdr:row>140</xdr:row>
      <xdr:rowOff>175172</xdr:rowOff>
    </xdr:to>
    <xdr:sp macro="" textlink="">
      <xdr:nvSpPr>
        <xdr:cNvPr id="376158" name="Text Box 350" hidden="1">
          <a:extLst>
            <a:ext uri="{FF2B5EF4-FFF2-40B4-BE49-F238E27FC236}">
              <a16:creationId xmlns:a16="http://schemas.microsoft.com/office/drawing/2014/main" id="{97BC809F-4723-F49C-5B75-FDE86FA3626E}"/>
            </a:ext>
          </a:extLst>
        </xdr:cNvPr>
        <xdr:cNvSpPr txBox="1">
          <a:spLocks noChangeArrowheads="1"/>
        </xdr:cNvSpPr>
      </xdr:nvSpPr>
      <xdr:spPr bwMode="auto">
        <a:xfrm>
          <a:off x="20789900" y="279781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57" name="Text Box 349" hidden="1">
          <a:extLst>
            <a:ext uri="{FF2B5EF4-FFF2-40B4-BE49-F238E27FC236}">
              <a16:creationId xmlns:a16="http://schemas.microsoft.com/office/drawing/2014/main" id="{98B5EBF1-C5B0-E498-CB0E-DEB3F43F2ED2}"/>
            </a:ext>
          </a:extLst>
        </xdr:cNvPr>
        <xdr:cNvSpPr txBox="1">
          <a:spLocks noChangeArrowheads="1"/>
        </xdr:cNvSpPr>
      </xdr:nvSpPr>
      <xdr:spPr bwMode="auto">
        <a:xfrm>
          <a:off x="9398000" y="7937500"/>
          <a:ext cx="13716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56" name="Text Box 348" hidden="1">
          <a:extLst>
            <a:ext uri="{FF2B5EF4-FFF2-40B4-BE49-F238E27FC236}">
              <a16:creationId xmlns:a16="http://schemas.microsoft.com/office/drawing/2014/main" id="{FC8C8875-046F-E133-7B65-E85F764B8B9E}"/>
            </a:ext>
          </a:extLst>
        </xdr:cNvPr>
        <xdr:cNvSpPr txBox="1">
          <a:spLocks noChangeArrowheads="1"/>
        </xdr:cNvSpPr>
      </xdr:nvSpPr>
      <xdr:spPr bwMode="auto">
        <a:xfrm>
          <a:off x="11125200" y="7937500"/>
          <a:ext cx="1403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869" name="Text Box 37" hidden="1">
          <a:extLst>
            <a:ext uri="{FF2B5EF4-FFF2-40B4-BE49-F238E27FC236}">
              <a16:creationId xmlns:a16="http://schemas.microsoft.com/office/drawing/2014/main" id="{145549B7-3A5D-AEE4-6A21-E33FC3BDE9D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81893</xdr:rowOff>
    </xdr:from>
    <xdr:to>
      <xdr:col>5</xdr:col>
      <xdr:colOff>609600</xdr:colOff>
      <xdr:row>238</xdr:row>
      <xdr:rowOff>62844</xdr:rowOff>
    </xdr:to>
    <xdr:sp macro="" textlink="">
      <xdr:nvSpPr>
        <xdr:cNvPr id="376868" name="Text Box 36" hidden="1">
          <a:extLst>
            <a:ext uri="{FF2B5EF4-FFF2-40B4-BE49-F238E27FC236}">
              <a16:creationId xmlns:a16="http://schemas.microsoft.com/office/drawing/2014/main" id="{E8EE6838-26D2-5E5B-BAB6-0A6D7760F8AB}"/>
            </a:ext>
          </a:extLst>
        </xdr:cNvPr>
        <xdr:cNvSpPr txBox="1">
          <a:spLocks noChangeArrowheads="1"/>
        </xdr:cNvSpPr>
      </xdr:nvSpPr>
      <xdr:spPr bwMode="auto">
        <a:xfrm>
          <a:off x="3994150" y="42519600"/>
          <a:ext cx="1314450" cy="421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43793</xdr:rowOff>
    </xdr:from>
    <xdr:to>
      <xdr:col>5</xdr:col>
      <xdr:colOff>609600</xdr:colOff>
      <xdr:row>237</xdr:row>
      <xdr:rowOff>177143</xdr:rowOff>
    </xdr:to>
    <xdr:sp macro="" textlink="">
      <xdr:nvSpPr>
        <xdr:cNvPr id="376867" name="Text Box 35" hidden="1">
          <a:extLst>
            <a:ext uri="{FF2B5EF4-FFF2-40B4-BE49-F238E27FC236}">
              <a16:creationId xmlns:a16="http://schemas.microsoft.com/office/drawing/2014/main" id="{AD94417A-C3FE-F55E-8FDA-092574A81918}"/>
            </a:ext>
          </a:extLst>
        </xdr:cNvPr>
        <xdr:cNvSpPr txBox="1">
          <a:spLocks noChangeArrowheads="1"/>
        </xdr:cNvSpPr>
      </xdr:nvSpPr>
      <xdr:spPr bwMode="auto">
        <a:xfrm>
          <a:off x="3994150" y="4284980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43793</xdr:rowOff>
    </xdr:from>
    <xdr:to>
      <xdr:col>5</xdr:col>
      <xdr:colOff>609600</xdr:colOff>
      <xdr:row>239</xdr:row>
      <xdr:rowOff>62843</xdr:rowOff>
    </xdr:to>
    <xdr:sp macro="" textlink="">
      <xdr:nvSpPr>
        <xdr:cNvPr id="376866" name="Text Box 34" hidden="1">
          <a:extLst>
            <a:ext uri="{FF2B5EF4-FFF2-40B4-BE49-F238E27FC236}">
              <a16:creationId xmlns:a16="http://schemas.microsoft.com/office/drawing/2014/main" id="{DC638EA5-91FA-1DD7-1550-339E9D59BE5F}"/>
            </a:ext>
          </a:extLst>
        </xdr:cNvPr>
        <xdr:cNvSpPr txBox="1">
          <a:spLocks noChangeArrowheads="1"/>
        </xdr:cNvSpPr>
      </xdr:nvSpPr>
      <xdr:spPr bwMode="auto">
        <a:xfrm>
          <a:off x="3994150" y="43402250"/>
          <a:ext cx="1314450" cy="351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43793</xdr:rowOff>
    </xdr:from>
    <xdr:to>
      <xdr:col>5</xdr:col>
      <xdr:colOff>609600</xdr:colOff>
      <xdr:row>226</xdr:row>
      <xdr:rowOff>177143</xdr:rowOff>
    </xdr:to>
    <xdr:sp macro="" textlink="">
      <xdr:nvSpPr>
        <xdr:cNvPr id="376865" name="Text Box 33" hidden="1">
          <a:extLst>
            <a:ext uri="{FF2B5EF4-FFF2-40B4-BE49-F238E27FC236}">
              <a16:creationId xmlns:a16="http://schemas.microsoft.com/office/drawing/2014/main" id="{231A6E3E-8E6B-2A1E-34EC-BC538DB18C1A}"/>
            </a:ext>
          </a:extLst>
        </xdr:cNvPr>
        <xdr:cNvSpPr txBox="1">
          <a:spLocks noChangeArrowheads="1"/>
        </xdr:cNvSpPr>
      </xdr:nvSpPr>
      <xdr:spPr bwMode="auto">
        <a:xfrm>
          <a:off x="3994150" y="4358640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158093</xdr:rowOff>
    </xdr:from>
    <xdr:to>
      <xdr:col>5</xdr:col>
      <xdr:colOff>609600</xdr:colOff>
      <xdr:row>203</xdr:row>
      <xdr:rowOff>177143</xdr:rowOff>
    </xdr:to>
    <xdr:sp macro="" textlink="">
      <xdr:nvSpPr>
        <xdr:cNvPr id="376864" name="Text Box 32" hidden="1">
          <a:extLst>
            <a:ext uri="{FF2B5EF4-FFF2-40B4-BE49-F238E27FC236}">
              <a16:creationId xmlns:a16="http://schemas.microsoft.com/office/drawing/2014/main" id="{33AAFAD0-EAB1-3FB1-15A6-D2822190F5A5}"/>
            </a:ext>
          </a:extLst>
        </xdr:cNvPr>
        <xdr:cNvSpPr txBox="1">
          <a:spLocks noChangeArrowheads="1"/>
        </xdr:cNvSpPr>
      </xdr:nvSpPr>
      <xdr:spPr bwMode="auto">
        <a:xfrm>
          <a:off x="3994150" y="3928110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43793</xdr:rowOff>
    </xdr:from>
    <xdr:to>
      <xdr:col>5</xdr:col>
      <xdr:colOff>609600</xdr:colOff>
      <xdr:row>205</xdr:row>
      <xdr:rowOff>62843</xdr:rowOff>
    </xdr:to>
    <xdr:sp macro="" textlink="">
      <xdr:nvSpPr>
        <xdr:cNvPr id="376863" name="Text Box 31" hidden="1">
          <a:extLst>
            <a:ext uri="{FF2B5EF4-FFF2-40B4-BE49-F238E27FC236}">
              <a16:creationId xmlns:a16="http://schemas.microsoft.com/office/drawing/2014/main" id="{629393EA-56C0-E401-7E67-5157B382608B}"/>
            </a:ext>
          </a:extLst>
        </xdr:cNvPr>
        <xdr:cNvSpPr txBox="1">
          <a:spLocks noChangeArrowheads="1"/>
        </xdr:cNvSpPr>
      </xdr:nvSpPr>
      <xdr:spPr bwMode="auto">
        <a:xfrm>
          <a:off x="3994150" y="397192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43793</xdr:rowOff>
    </xdr:from>
    <xdr:to>
      <xdr:col>5</xdr:col>
      <xdr:colOff>609600</xdr:colOff>
      <xdr:row>206</xdr:row>
      <xdr:rowOff>62844</xdr:rowOff>
    </xdr:to>
    <xdr:sp macro="" textlink="">
      <xdr:nvSpPr>
        <xdr:cNvPr id="376862" name="Text Box 30" hidden="1">
          <a:extLst>
            <a:ext uri="{FF2B5EF4-FFF2-40B4-BE49-F238E27FC236}">
              <a16:creationId xmlns:a16="http://schemas.microsoft.com/office/drawing/2014/main" id="{03C3DB7E-3DF2-8AAE-1278-5E18A2457BE1}"/>
            </a:ext>
          </a:extLst>
        </xdr:cNvPr>
        <xdr:cNvSpPr txBox="1">
          <a:spLocks noChangeArrowheads="1"/>
        </xdr:cNvSpPr>
      </xdr:nvSpPr>
      <xdr:spPr bwMode="auto">
        <a:xfrm>
          <a:off x="3994150" y="400875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43793</xdr:rowOff>
    </xdr:from>
    <xdr:to>
      <xdr:col>5</xdr:col>
      <xdr:colOff>609600</xdr:colOff>
      <xdr:row>213</xdr:row>
      <xdr:rowOff>62843</xdr:rowOff>
    </xdr:to>
    <xdr:sp macro="" textlink="">
      <xdr:nvSpPr>
        <xdr:cNvPr id="376861" name="Text Box 29" hidden="1">
          <a:extLst>
            <a:ext uri="{FF2B5EF4-FFF2-40B4-BE49-F238E27FC236}">
              <a16:creationId xmlns:a16="http://schemas.microsoft.com/office/drawing/2014/main" id="{0343956E-393C-1F80-E9D7-36AF65C96F21}"/>
            </a:ext>
          </a:extLst>
        </xdr:cNvPr>
        <xdr:cNvSpPr txBox="1">
          <a:spLocks noChangeArrowheads="1"/>
        </xdr:cNvSpPr>
      </xdr:nvSpPr>
      <xdr:spPr bwMode="auto">
        <a:xfrm>
          <a:off x="3994150" y="404558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163567</xdr:rowOff>
    </xdr:from>
    <xdr:to>
      <xdr:col>5</xdr:col>
      <xdr:colOff>609600</xdr:colOff>
      <xdr:row>63</xdr:row>
      <xdr:rowOff>163567</xdr:rowOff>
    </xdr:to>
    <xdr:sp macro="" textlink="">
      <xdr:nvSpPr>
        <xdr:cNvPr id="376860" name="Text Box 28" hidden="1">
          <a:extLst>
            <a:ext uri="{FF2B5EF4-FFF2-40B4-BE49-F238E27FC236}">
              <a16:creationId xmlns:a16="http://schemas.microsoft.com/office/drawing/2014/main" id="{21FD6705-EB88-42DD-E85B-3FB27411242B}"/>
            </a:ext>
          </a:extLst>
        </xdr:cNvPr>
        <xdr:cNvSpPr txBox="1">
          <a:spLocks noChangeArrowheads="1"/>
        </xdr:cNvSpPr>
      </xdr:nvSpPr>
      <xdr:spPr bwMode="auto">
        <a:xfrm>
          <a:off x="3994150" y="138303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142984</xdr:rowOff>
    </xdr:from>
    <xdr:to>
      <xdr:col>5</xdr:col>
      <xdr:colOff>628650</xdr:colOff>
      <xdr:row>87</xdr:row>
      <xdr:rowOff>8102</xdr:rowOff>
    </xdr:to>
    <xdr:sp macro="" textlink="">
      <xdr:nvSpPr>
        <xdr:cNvPr id="376859" name="Text Box 27" hidden="1">
          <a:extLst>
            <a:ext uri="{FF2B5EF4-FFF2-40B4-BE49-F238E27FC236}">
              <a16:creationId xmlns:a16="http://schemas.microsoft.com/office/drawing/2014/main" id="{BE1E8DC1-6846-6BB2-03F3-BC5789186C68}"/>
            </a:ext>
          </a:extLst>
        </xdr:cNvPr>
        <xdr:cNvSpPr txBox="1">
          <a:spLocks noChangeArrowheads="1"/>
        </xdr:cNvSpPr>
      </xdr:nvSpPr>
      <xdr:spPr bwMode="auto">
        <a:xfrm>
          <a:off x="4013200" y="13989050"/>
          <a:ext cx="1314450" cy="454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163567</xdr:rowOff>
    </xdr:from>
    <xdr:to>
      <xdr:col>5</xdr:col>
      <xdr:colOff>609600</xdr:colOff>
      <xdr:row>84</xdr:row>
      <xdr:rowOff>122402</xdr:rowOff>
    </xdr:to>
    <xdr:sp macro="" textlink="">
      <xdr:nvSpPr>
        <xdr:cNvPr id="376858" name="Text Box 26" hidden="1">
          <a:extLst>
            <a:ext uri="{FF2B5EF4-FFF2-40B4-BE49-F238E27FC236}">
              <a16:creationId xmlns:a16="http://schemas.microsoft.com/office/drawing/2014/main" id="{0700B06C-8488-DC43-9135-421ABD3F382A}"/>
            </a:ext>
          </a:extLst>
        </xdr:cNvPr>
        <xdr:cNvSpPr txBox="1">
          <a:spLocks noChangeArrowheads="1"/>
        </xdr:cNvSpPr>
      </xdr:nvSpPr>
      <xdr:spPr bwMode="auto">
        <a:xfrm>
          <a:off x="3994150" y="13830300"/>
          <a:ext cx="1314450" cy="426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182617</xdr:rowOff>
    </xdr:from>
    <xdr:to>
      <xdr:col>5</xdr:col>
      <xdr:colOff>609600</xdr:colOff>
      <xdr:row>84</xdr:row>
      <xdr:rowOff>160502</xdr:rowOff>
    </xdr:to>
    <xdr:sp macro="" textlink="">
      <xdr:nvSpPr>
        <xdr:cNvPr id="376857" name="Text Box 25" hidden="1">
          <a:extLst>
            <a:ext uri="{FF2B5EF4-FFF2-40B4-BE49-F238E27FC236}">
              <a16:creationId xmlns:a16="http://schemas.microsoft.com/office/drawing/2014/main" id="{3A621DFD-6007-8D9C-E6F1-6174BD459B7F}"/>
            </a:ext>
          </a:extLst>
        </xdr:cNvPr>
        <xdr:cNvSpPr txBox="1">
          <a:spLocks noChangeArrowheads="1"/>
        </xdr:cNvSpPr>
      </xdr:nvSpPr>
      <xdr:spPr bwMode="auto">
        <a:xfrm>
          <a:off x="3994150" y="13849350"/>
          <a:ext cx="1314450" cy="4286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236483</xdr:rowOff>
    </xdr:from>
    <xdr:to>
      <xdr:col>5</xdr:col>
      <xdr:colOff>609600</xdr:colOff>
      <xdr:row>87</xdr:row>
      <xdr:rowOff>46202</xdr:rowOff>
    </xdr:to>
    <xdr:sp macro="" textlink="">
      <xdr:nvSpPr>
        <xdr:cNvPr id="376856" name="Text Box 24" hidden="1">
          <a:extLst>
            <a:ext uri="{FF2B5EF4-FFF2-40B4-BE49-F238E27FC236}">
              <a16:creationId xmlns:a16="http://schemas.microsoft.com/office/drawing/2014/main" id="{7DC1DE39-DC8C-0E7B-BC85-CE2E93BD3259}"/>
            </a:ext>
          </a:extLst>
        </xdr:cNvPr>
        <xdr:cNvSpPr txBox="1">
          <a:spLocks noChangeArrowheads="1"/>
        </xdr:cNvSpPr>
      </xdr:nvSpPr>
      <xdr:spPr bwMode="auto">
        <a:xfrm>
          <a:off x="3994150" y="14871700"/>
          <a:ext cx="1314450" cy="370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160501</xdr:rowOff>
    </xdr:from>
    <xdr:to>
      <xdr:col>5</xdr:col>
      <xdr:colOff>609600</xdr:colOff>
      <xdr:row>95</xdr:row>
      <xdr:rowOff>19050</xdr:rowOff>
    </xdr:to>
    <xdr:sp macro="" textlink="">
      <xdr:nvSpPr>
        <xdr:cNvPr id="376855" name="Text Box 23" hidden="1">
          <a:extLst>
            <a:ext uri="{FF2B5EF4-FFF2-40B4-BE49-F238E27FC236}">
              <a16:creationId xmlns:a16="http://schemas.microsoft.com/office/drawing/2014/main" id="{4A1B5561-33EE-8F25-B818-366FEB142683}"/>
            </a:ext>
          </a:extLst>
        </xdr:cNvPr>
        <xdr:cNvSpPr txBox="1">
          <a:spLocks noChangeArrowheads="1"/>
        </xdr:cNvSpPr>
      </xdr:nvSpPr>
      <xdr:spPr bwMode="auto">
        <a:xfrm>
          <a:off x="3994150" y="17767300"/>
          <a:ext cx="1314450" cy="2425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84302</xdr:rowOff>
    </xdr:from>
    <xdr:to>
      <xdr:col>5</xdr:col>
      <xdr:colOff>609600</xdr:colOff>
      <xdr:row>94</xdr:row>
      <xdr:rowOff>73791</xdr:rowOff>
    </xdr:to>
    <xdr:sp macro="" textlink="">
      <xdr:nvSpPr>
        <xdr:cNvPr id="376854" name="Text Box 22" hidden="1">
          <a:extLst>
            <a:ext uri="{FF2B5EF4-FFF2-40B4-BE49-F238E27FC236}">
              <a16:creationId xmlns:a16="http://schemas.microsoft.com/office/drawing/2014/main" id="{0FDD5B7A-560B-7B3B-149F-E735F3A233D4}"/>
            </a:ext>
          </a:extLst>
        </xdr:cNvPr>
        <xdr:cNvSpPr txBox="1">
          <a:spLocks noChangeArrowheads="1"/>
        </xdr:cNvSpPr>
      </xdr:nvSpPr>
      <xdr:spPr bwMode="auto">
        <a:xfrm>
          <a:off x="3994150" y="1787525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94</xdr:row>
      <xdr:rowOff>149991</xdr:rowOff>
    </xdr:to>
    <xdr:sp macro="" textlink="">
      <xdr:nvSpPr>
        <xdr:cNvPr id="376853" name="Text Box 21" hidden="1">
          <a:extLst>
            <a:ext uri="{FF2B5EF4-FFF2-40B4-BE49-F238E27FC236}">
              <a16:creationId xmlns:a16="http://schemas.microsoft.com/office/drawing/2014/main" id="{9AE191C3-1E10-DC58-C44B-66F917300B01}"/>
            </a:ext>
          </a:extLst>
        </xdr:cNvPr>
        <xdr:cNvSpPr txBox="1">
          <a:spLocks noChangeArrowheads="1"/>
        </xdr:cNvSpPr>
      </xdr:nvSpPr>
      <xdr:spPr bwMode="auto">
        <a:xfrm>
          <a:off x="3994150" y="1800225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27152</xdr:rowOff>
    </xdr:from>
    <xdr:to>
      <xdr:col>5</xdr:col>
      <xdr:colOff>609600</xdr:colOff>
      <xdr:row>96</xdr:row>
      <xdr:rowOff>15109</xdr:rowOff>
    </xdr:to>
    <xdr:sp macro="" textlink="">
      <xdr:nvSpPr>
        <xdr:cNvPr id="376852" name="Text Box 20" hidden="1">
          <a:extLst>
            <a:ext uri="{FF2B5EF4-FFF2-40B4-BE49-F238E27FC236}">
              <a16:creationId xmlns:a16="http://schemas.microsoft.com/office/drawing/2014/main" id="{E62398EC-3C25-C629-FFEE-B447B6FAA1B1}"/>
            </a:ext>
          </a:extLst>
        </xdr:cNvPr>
        <xdr:cNvSpPr txBox="1">
          <a:spLocks noChangeArrowheads="1"/>
        </xdr:cNvSpPr>
      </xdr:nvSpPr>
      <xdr:spPr bwMode="auto">
        <a:xfrm>
          <a:off x="3994150" y="1818640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105760</xdr:rowOff>
    </xdr:from>
    <xdr:to>
      <xdr:col>5</xdr:col>
      <xdr:colOff>609600</xdr:colOff>
      <xdr:row>117</xdr:row>
      <xdr:rowOff>160502</xdr:rowOff>
    </xdr:to>
    <xdr:sp macro="" textlink="">
      <xdr:nvSpPr>
        <xdr:cNvPr id="376851" name="Text Box 19" hidden="1">
          <a:extLst>
            <a:ext uri="{FF2B5EF4-FFF2-40B4-BE49-F238E27FC236}">
              <a16:creationId xmlns:a16="http://schemas.microsoft.com/office/drawing/2014/main" id="{0D9D8116-CC69-3447-1D53-57DD2654B4A1}"/>
            </a:ext>
          </a:extLst>
        </xdr:cNvPr>
        <xdr:cNvSpPr txBox="1">
          <a:spLocks noChangeArrowheads="1"/>
        </xdr:cNvSpPr>
      </xdr:nvSpPr>
      <xdr:spPr bwMode="auto">
        <a:xfrm>
          <a:off x="3994150" y="2260600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158531</xdr:rowOff>
    </xdr:from>
    <xdr:to>
      <xdr:col>5</xdr:col>
      <xdr:colOff>609600</xdr:colOff>
      <xdr:row>115</xdr:row>
      <xdr:rowOff>46201</xdr:rowOff>
    </xdr:to>
    <xdr:sp macro="" textlink="">
      <xdr:nvSpPr>
        <xdr:cNvPr id="376850" name="Text Box 18" hidden="1">
          <a:extLst>
            <a:ext uri="{FF2B5EF4-FFF2-40B4-BE49-F238E27FC236}">
              <a16:creationId xmlns:a16="http://schemas.microsoft.com/office/drawing/2014/main" id="{FF6FB21D-5596-AA72-B4A0-B2D88388A70F}"/>
            </a:ext>
          </a:extLst>
        </xdr:cNvPr>
        <xdr:cNvSpPr txBox="1">
          <a:spLocks noChangeArrowheads="1"/>
        </xdr:cNvSpPr>
      </xdr:nvSpPr>
      <xdr:spPr bwMode="auto">
        <a:xfrm>
          <a:off x="3994150" y="22840950"/>
          <a:ext cx="1314450" cy="117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158531</xdr:rowOff>
    </xdr:from>
    <xdr:to>
      <xdr:col>5</xdr:col>
      <xdr:colOff>609600</xdr:colOff>
      <xdr:row>114</xdr:row>
      <xdr:rowOff>175172</xdr:rowOff>
    </xdr:to>
    <xdr:sp macro="" textlink="">
      <xdr:nvSpPr>
        <xdr:cNvPr id="376849" name="Text Box 17" hidden="1">
          <a:extLst>
            <a:ext uri="{FF2B5EF4-FFF2-40B4-BE49-F238E27FC236}">
              <a16:creationId xmlns:a16="http://schemas.microsoft.com/office/drawing/2014/main" id="{746FD96A-BF81-F69D-28EB-E0C7126C6BD1}"/>
            </a:ext>
          </a:extLst>
        </xdr:cNvPr>
        <xdr:cNvSpPr txBox="1">
          <a:spLocks noChangeArrowheads="1"/>
        </xdr:cNvSpPr>
      </xdr:nvSpPr>
      <xdr:spPr bwMode="auto">
        <a:xfrm>
          <a:off x="3994150" y="2302510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120431</xdr:rowOff>
    </xdr:from>
    <xdr:to>
      <xdr:col>5</xdr:col>
      <xdr:colOff>609600</xdr:colOff>
      <xdr:row>114</xdr:row>
      <xdr:rowOff>175172</xdr:rowOff>
    </xdr:to>
    <xdr:sp macro="" textlink="">
      <xdr:nvSpPr>
        <xdr:cNvPr id="376848" name="Text Box 16" hidden="1">
          <a:extLst>
            <a:ext uri="{FF2B5EF4-FFF2-40B4-BE49-F238E27FC236}">
              <a16:creationId xmlns:a16="http://schemas.microsoft.com/office/drawing/2014/main" id="{CD4EF107-3F06-D104-801B-553EBB062875}"/>
            </a:ext>
          </a:extLst>
        </xdr:cNvPr>
        <xdr:cNvSpPr txBox="1">
          <a:spLocks noChangeArrowheads="1"/>
        </xdr:cNvSpPr>
      </xdr:nvSpPr>
      <xdr:spPr bwMode="auto">
        <a:xfrm>
          <a:off x="3994150" y="22987000"/>
          <a:ext cx="1314450"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103352</xdr:rowOff>
    </xdr:from>
    <xdr:to>
      <xdr:col>21</xdr:col>
      <xdr:colOff>438150</xdr:colOff>
      <xdr:row>137</xdr:row>
      <xdr:rowOff>122402</xdr:rowOff>
    </xdr:to>
    <xdr:sp macro="" textlink="">
      <xdr:nvSpPr>
        <xdr:cNvPr id="376847" name="Text Box 15" hidden="1">
          <a:extLst>
            <a:ext uri="{FF2B5EF4-FFF2-40B4-BE49-F238E27FC236}">
              <a16:creationId xmlns:a16="http://schemas.microsoft.com/office/drawing/2014/main" id="{30EFDDD4-7F95-E699-F117-E947A6943A90}"/>
            </a:ext>
          </a:extLst>
        </xdr:cNvPr>
        <xdr:cNvSpPr txBox="1">
          <a:spLocks noChangeArrowheads="1"/>
        </xdr:cNvSpPr>
      </xdr:nvSpPr>
      <xdr:spPr bwMode="auto">
        <a:xfrm>
          <a:off x="17513300" y="273875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46" name="Text Box 14" hidden="1">
          <a:extLst>
            <a:ext uri="{FF2B5EF4-FFF2-40B4-BE49-F238E27FC236}">
              <a16:creationId xmlns:a16="http://schemas.microsoft.com/office/drawing/2014/main" id="{ADD85B21-34BC-CE8C-32A7-94A4B97856B9}"/>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45" name="Text Box 13" hidden="1">
          <a:extLst>
            <a:ext uri="{FF2B5EF4-FFF2-40B4-BE49-F238E27FC236}">
              <a16:creationId xmlns:a16="http://schemas.microsoft.com/office/drawing/2014/main" id="{A77E8A31-3567-4C97-AE1C-66441FEFFF9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122402</xdr:rowOff>
    </xdr:from>
    <xdr:to>
      <xdr:col>22</xdr:col>
      <xdr:colOff>609600</xdr:colOff>
      <xdr:row>141</xdr:row>
      <xdr:rowOff>103351</xdr:rowOff>
    </xdr:to>
    <xdr:sp macro="" textlink="">
      <xdr:nvSpPr>
        <xdr:cNvPr id="376844" name="Text Box 12" hidden="1">
          <a:extLst>
            <a:ext uri="{FF2B5EF4-FFF2-40B4-BE49-F238E27FC236}">
              <a16:creationId xmlns:a16="http://schemas.microsoft.com/office/drawing/2014/main" id="{BA0D968D-C020-A02C-06B1-E747A16E4E7C}"/>
            </a:ext>
          </a:extLst>
        </xdr:cNvPr>
        <xdr:cNvSpPr txBox="1">
          <a:spLocks noChangeArrowheads="1"/>
        </xdr:cNvSpPr>
      </xdr:nvSpPr>
      <xdr:spPr bwMode="auto">
        <a:xfrm>
          <a:off x="18332450" y="281432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43" name="Text Box 11" hidden="1">
          <a:extLst>
            <a:ext uri="{FF2B5EF4-FFF2-40B4-BE49-F238E27FC236}">
              <a16:creationId xmlns:a16="http://schemas.microsoft.com/office/drawing/2014/main" id="{23CC21BF-493B-DF2F-D17A-267F9FF6B62F}"/>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42" name="Text Box 10" hidden="1">
          <a:extLst>
            <a:ext uri="{FF2B5EF4-FFF2-40B4-BE49-F238E27FC236}">
              <a16:creationId xmlns:a16="http://schemas.microsoft.com/office/drawing/2014/main" id="{CA694832-E025-ED1D-D008-24E07DFCBBB8}"/>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41" name="Text Box 9" hidden="1">
          <a:extLst>
            <a:ext uri="{FF2B5EF4-FFF2-40B4-BE49-F238E27FC236}">
              <a16:creationId xmlns:a16="http://schemas.microsoft.com/office/drawing/2014/main" id="{4E9D0161-C9C4-F1EF-5A8F-BCAA1FA7E527}"/>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122402</xdr:rowOff>
    </xdr:from>
    <xdr:to>
      <xdr:col>24</xdr:col>
      <xdr:colOff>647700</xdr:colOff>
      <xdr:row>142</xdr:row>
      <xdr:rowOff>8102</xdr:rowOff>
    </xdr:to>
    <xdr:sp macro="" textlink="">
      <xdr:nvSpPr>
        <xdr:cNvPr id="376840" name="Text Box 8" hidden="1">
          <a:extLst>
            <a:ext uri="{FF2B5EF4-FFF2-40B4-BE49-F238E27FC236}">
              <a16:creationId xmlns:a16="http://schemas.microsoft.com/office/drawing/2014/main" id="{8BA181D4-0C20-B9D3-37A2-0EB8F79C793F}"/>
            </a:ext>
          </a:extLst>
        </xdr:cNvPr>
        <xdr:cNvSpPr txBox="1">
          <a:spLocks noChangeArrowheads="1"/>
        </xdr:cNvSpPr>
      </xdr:nvSpPr>
      <xdr:spPr bwMode="auto">
        <a:xfrm>
          <a:off x="20027900" y="2814320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839" name="Text Box 7" hidden="1">
          <a:extLst>
            <a:ext uri="{FF2B5EF4-FFF2-40B4-BE49-F238E27FC236}">
              <a16:creationId xmlns:a16="http://schemas.microsoft.com/office/drawing/2014/main" id="{3A2A7D03-9C87-2D2C-C11D-9F703B304948}"/>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838" name="Text Box 6" hidden="1">
          <a:extLst>
            <a:ext uri="{FF2B5EF4-FFF2-40B4-BE49-F238E27FC236}">
              <a16:creationId xmlns:a16="http://schemas.microsoft.com/office/drawing/2014/main" id="{7E4FBE26-09D1-69B0-CD90-9B4A7649C9B1}"/>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141452</xdr:rowOff>
    </xdr:from>
    <xdr:to>
      <xdr:col>25</xdr:col>
      <xdr:colOff>647700</xdr:colOff>
      <xdr:row>141</xdr:row>
      <xdr:rowOff>175172</xdr:rowOff>
    </xdr:to>
    <xdr:sp macro="" textlink="">
      <xdr:nvSpPr>
        <xdr:cNvPr id="376837" name="Text Box 5" hidden="1">
          <a:extLst>
            <a:ext uri="{FF2B5EF4-FFF2-40B4-BE49-F238E27FC236}">
              <a16:creationId xmlns:a16="http://schemas.microsoft.com/office/drawing/2014/main" id="{447DE201-B8B6-E745-AB93-2EADDFAC95C1}"/>
            </a:ext>
          </a:extLst>
        </xdr:cNvPr>
        <xdr:cNvSpPr txBox="1">
          <a:spLocks noChangeArrowheads="1"/>
        </xdr:cNvSpPr>
      </xdr:nvSpPr>
      <xdr:spPr bwMode="auto">
        <a:xfrm>
          <a:off x="20789900" y="281622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114300</xdr:rowOff>
    </xdr:to>
    <xdr:sp macro="" textlink="">
      <xdr:nvSpPr>
        <xdr:cNvPr id="376836" name="Text Box 4" hidden="1">
          <a:extLst>
            <a:ext uri="{FF2B5EF4-FFF2-40B4-BE49-F238E27FC236}">
              <a16:creationId xmlns:a16="http://schemas.microsoft.com/office/drawing/2014/main" id="{434DCAD9-A99A-4CD7-7BAA-5CE69182ECA6}"/>
            </a:ext>
          </a:extLst>
        </xdr:cNvPr>
        <xdr:cNvSpPr txBox="1">
          <a:spLocks noChangeArrowheads="1"/>
        </xdr:cNvSpPr>
      </xdr:nvSpPr>
      <xdr:spPr bwMode="auto">
        <a:xfrm>
          <a:off x="9398000" y="8121650"/>
          <a:ext cx="13525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114300</xdr:rowOff>
    </xdr:to>
    <xdr:sp macro="" textlink="">
      <xdr:nvSpPr>
        <xdr:cNvPr id="376835" name="Text Box 3" hidden="1">
          <a:extLst>
            <a:ext uri="{FF2B5EF4-FFF2-40B4-BE49-F238E27FC236}">
              <a16:creationId xmlns:a16="http://schemas.microsoft.com/office/drawing/2014/main" id="{1C043BD1-2041-D5D1-84DF-1E66495B4DAB}"/>
            </a:ext>
          </a:extLst>
        </xdr:cNvPr>
        <xdr:cNvSpPr txBox="1">
          <a:spLocks noChangeArrowheads="1"/>
        </xdr:cNvSpPr>
      </xdr:nvSpPr>
      <xdr:spPr bwMode="auto">
        <a:xfrm>
          <a:off x="11125200" y="812165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19</xdr:row>
      <xdr:rowOff>457200</xdr:rowOff>
    </xdr:from>
    <xdr:to>
      <xdr:col>30</xdr:col>
      <xdr:colOff>647700</xdr:colOff>
      <xdr:row>24</xdr:row>
      <xdr:rowOff>0</xdr:rowOff>
    </xdr:to>
    <xdr:sp macro="" textlink="">
      <xdr:nvSpPr>
        <xdr:cNvPr id="376834" name="Text Box 2" hidden="1">
          <a:extLst>
            <a:ext uri="{FF2B5EF4-FFF2-40B4-BE49-F238E27FC236}">
              <a16:creationId xmlns:a16="http://schemas.microsoft.com/office/drawing/2014/main" id="{BABCEF68-2AA1-1BD2-C3EF-1EEC0CD23C30}"/>
            </a:ext>
          </a:extLst>
        </xdr:cNvPr>
        <xdr:cNvSpPr txBox="1">
          <a:spLocks noChangeArrowheads="1"/>
        </xdr:cNvSpPr>
      </xdr:nvSpPr>
      <xdr:spPr bwMode="auto">
        <a:xfrm>
          <a:off x="24599900" y="4838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33" name="Text Box 1" hidden="1">
          <a:extLst>
            <a:ext uri="{FF2B5EF4-FFF2-40B4-BE49-F238E27FC236}">
              <a16:creationId xmlns:a16="http://schemas.microsoft.com/office/drawing/2014/main" id="{6A30B42E-64FB-DA90-F398-63D48D5B54B5}"/>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95250</xdr:rowOff>
    </xdr:from>
    <xdr:to>
      <xdr:col>18</xdr:col>
      <xdr:colOff>438150</xdr:colOff>
      <xdr:row>10</xdr:row>
      <xdr:rowOff>152400</xdr:rowOff>
    </xdr:to>
    <xdr:sp macro="" textlink="">
      <xdr:nvSpPr>
        <xdr:cNvPr id="376906" name="Text Box 74" hidden="1">
          <a:extLst>
            <a:ext uri="{FF2B5EF4-FFF2-40B4-BE49-F238E27FC236}">
              <a16:creationId xmlns:a16="http://schemas.microsoft.com/office/drawing/2014/main" id="{9611A285-2281-9494-8BAE-24DEAD8A23A8}"/>
            </a:ext>
          </a:extLst>
        </xdr:cNvPr>
        <xdr:cNvSpPr txBox="1">
          <a:spLocks noChangeArrowheads="1"/>
        </xdr:cNvSpPr>
      </xdr:nvSpPr>
      <xdr:spPr bwMode="auto">
        <a:xfrm>
          <a:off x="15151100" y="20828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228600</xdr:rowOff>
    </xdr:from>
    <xdr:to>
      <xdr:col>5</xdr:col>
      <xdr:colOff>609600</xdr:colOff>
      <xdr:row>53</xdr:row>
      <xdr:rowOff>228600</xdr:rowOff>
    </xdr:to>
    <xdr:sp macro="" textlink="">
      <xdr:nvSpPr>
        <xdr:cNvPr id="376897" name="Text Box 65" hidden="1">
          <a:extLst>
            <a:ext uri="{FF2B5EF4-FFF2-40B4-BE49-F238E27FC236}">
              <a16:creationId xmlns:a16="http://schemas.microsoft.com/office/drawing/2014/main" id="{4AAC5021-AC39-EF52-0099-5594971EBA5E}"/>
            </a:ext>
          </a:extLst>
        </xdr:cNvPr>
        <xdr:cNvSpPr txBox="1">
          <a:spLocks noChangeArrowheads="1"/>
        </xdr:cNvSpPr>
      </xdr:nvSpPr>
      <xdr:spPr bwMode="auto">
        <a:xfrm>
          <a:off x="3994150" y="115633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266700</xdr:rowOff>
    </xdr:from>
    <xdr:to>
      <xdr:col>5</xdr:col>
      <xdr:colOff>628650</xdr:colOff>
      <xdr:row>76</xdr:row>
      <xdr:rowOff>152400</xdr:rowOff>
    </xdr:to>
    <xdr:sp macro="" textlink="">
      <xdr:nvSpPr>
        <xdr:cNvPr id="376896" name="Text Box 64" hidden="1">
          <a:extLst>
            <a:ext uri="{FF2B5EF4-FFF2-40B4-BE49-F238E27FC236}">
              <a16:creationId xmlns:a16="http://schemas.microsoft.com/office/drawing/2014/main" id="{7E2FD3A6-062F-9024-E49E-C4B0F4FBE9C4}"/>
            </a:ext>
          </a:extLst>
        </xdr:cNvPr>
        <xdr:cNvSpPr txBox="1">
          <a:spLocks noChangeArrowheads="1"/>
        </xdr:cNvSpPr>
      </xdr:nvSpPr>
      <xdr:spPr bwMode="auto">
        <a:xfrm>
          <a:off x="4013200" y="11601450"/>
          <a:ext cx="1314450" cy="485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228600</xdr:rowOff>
    </xdr:from>
    <xdr:to>
      <xdr:col>5</xdr:col>
      <xdr:colOff>609600</xdr:colOff>
      <xdr:row>74</xdr:row>
      <xdr:rowOff>76200</xdr:rowOff>
    </xdr:to>
    <xdr:sp macro="" textlink="">
      <xdr:nvSpPr>
        <xdr:cNvPr id="376895" name="Text Box 63" hidden="1">
          <a:extLst>
            <a:ext uri="{FF2B5EF4-FFF2-40B4-BE49-F238E27FC236}">
              <a16:creationId xmlns:a16="http://schemas.microsoft.com/office/drawing/2014/main" id="{C0EE46E0-0151-13E2-7601-C4AAF9F413A3}"/>
            </a:ext>
          </a:extLst>
        </xdr:cNvPr>
        <xdr:cNvSpPr txBox="1">
          <a:spLocks noChangeArrowheads="1"/>
        </xdr:cNvSpPr>
      </xdr:nvSpPr>
      <xdr:spPr bwMode="auto">
        <a:xfrm>
          <a:off x="3994150" y="11563350"/>
          <a:ext cx="1314450" cy="445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228600</xdr:rowOff>
    </xdr:from>
    <xdr:to>
      <xdr:col>5</xdr:col>
      <xdr:colOff>609600</xdr:colOff>
      <xdr:row>74</xdr:row>
      <xdr:rowOff>114300</xdr:rowOff>
    </xdr:to>
    <xdr:sp macro="" textlink="">
      <xdr:nvSpPr>
        <xdr:cNvPr id="376894" name="Text Box 62" hidden="1">
          <a:extLst>
            <a:ext uri="{FF2B5EF4-FFF2-40B4-BE49-F238E27FC236}">
              <a16:creationId xmlns:a16="http://schemas.microsoft.com/office/drawing/2014/main" id="{2A474C24-02BD-A050-3855-06C0446ADA8A}"/>
            </a:ext>
          </a:extLst>
        </xdr:cNvPr>
        <xdr:cNvSpPr txBox="1">
          <a:spLocks noChangeArrowheads="1"/>
        </xdr:cNvSpPr>
      </xdr:nvSpPr>
      <xdr:spPr bwMode="auto">
        <a:xfrm>
          <a:off x="3994150" y="11563350"/>
          <a:ext cx="1314450" cy="4489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171450</xdr:rowOff>
    </xdr:from>
    <xdr:to>
      <xdr:col>5</xdr:col>
      <xdr:colOff>609600</xdr:colOff>
      <xdr:row>78</xdr:row>
      <xdr:rowOff>114300</xdr:rowOff>
    </xdr:to>
    <xdr:sp macro="" textlink="">
      <xdr:nvSpPr>
        <xdr:cNvPr id="376893" name="Text Box 61" hidden="1">
          <a:extLst>
            <a:ext uri="{FF2B5EF4-FFF2-40B4-BE49-F238E27FC236}">
              <a16:creationId xmlns:a16="http://schemas.microsoft.com/office/drawing/2014/main" id="{04A4B739-14AC-D18D-289E-883F861B1A59}"/>
            </a:ext>
          </a:extLst>
        </xdr:cNvPr>
        <xdr:cNvSpPr txBox="1">
          <a:spLocks noChangeArrowheads="1"/>
        </xdr:cNvSpPr>
      </xdr:nvSpPr>
      <xdr:spPr bwMode="auto">
        <a:xfrm>
          <a:off x="3994150" y="12858750"/>
          <a:ext cx="1314450" cy="4127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76200</xdr:rowOff>
    </xdr:from>
    <xdr:to>
      <xdr:col>5</xdr:col>
      <xdr:colOff>609600</xdr:colOff>
      <xdr:row>88</xdr:row>
      <xdr:rowOff>19050</xdr:rowOff>
    </xdr:to>
    <xdr:sp macro="" textlink="">
      <xdr:nvSpPr>
        <xdr:cNvPr id="376892" name="Text Box 60" hidden="1">
          <a:extLst>
            <a:ext uri="{FF2B5EF4-FFF2-40B4-BE49-F238E27FC236}">
              <a16:creationId xmlns:a16="http://schemas.microsoft.com/office/drawing/2014/main" id="{5C5B126C-08DD-7E61-CA06-497AC8ACEE36}"/>
            </a:ext>
          </a:extLst>
        </xdr:cNvPr>
        <xdr:cNvSpPr txBox="1">
          <a:spLocks noChangeArrowheads="1"/>
        </xdr:cNvSpPr>
      </xdr:nvSpPr>
      <xdr:spPr bwMode="auto">
        <a:xfrm>
          <a:off x="3994150" y="15830550"/>
          <a:ext cx="1314450" cy="2901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87</xdr:row>
      <xdr:rowOff>19050</xdr:rowOff>
    </xdr:to>
    <xdr:sp macro="" textlink="">
      <xdr:nvSpPr>
        <xdr:cNvPr id="376891" name="Text Box 59" hidden="1">
          <a:extLst>
            <a:ext uri="{FF2B5EF4-FFF2-40B4-BE49-F238E27FC236}">
              <a16:creationId xmlns:a16="http://schemas.microsoft.com/office/drawing/2014/main" id="{1A992DDD-F45A-F16D-4409-472EAFCD74D9}"/>
            </a:ext>
          </a:extLst>
        </xdr:cNvPr>
        <xdr:cNvSpPr txBox="1">
          <a:spLocks noChangeArrowheads="1"/>
        </xdr:cNvSpPr>
      </xdr:nvSpPr>
      <xdr:spPr bwMode="auto">
        <a:xfrm>
          <a:off x="3994150" y="1593850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114300</xdr:rowOff>
    </xdr:from>
    <xdr:to>
      <xdr:col>5</xdr:col>
      <xdr:colOff>609600</xdr:colOff>
      <xdr:row>87</xdr:row>
      <xdr:rowOff>114300</xdr:rowOff>
    </xdr:to>
    <xdr:sp macro="" textlink="">
      <xdr:nvSpPr>
        <xdr:cNvPr id="376890" name="Text Box 58" hidden="1">
          <a:extLst>
            <a:ext uri="{FF2B5EF4-FFF2-40B4-BE49-F238E27FC236}">
              <a16:creationId xmlns:a16="http://schemas.microsoft.com/office/drawing/2014/main" id="{94913A76-79F6-EAC5-B993-5120D011788B}"/>
            </a:ext>
          </a:extLst>
        </xdr:cNvPr>
        <xdr:cNvSpPr txBox="1">
          <a:spLocks noChangeArrowheads="1"/>
        </xdr:cNvSpPr>
      </xdr:nvSpPr>
      <xdr:spPr bwMode="auto">
        <a:xfrm>
          <a:off x="3994150" y="16052800"/>
          <a:ext cx="1314450" cy="259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114300</xdr:rowOff>
    </xdr:from>
    <xdr:to>
      <xdr:col>5</xdr:col>
      <xdr:colOff>609600</xdr:colOff>
      <xdr:row>89</xdr:row>
      <xdr:rowOff>95250</xdr:rowOff>
    </xdr:to>
    <xdr:sp macro="" textlink="">
      <xdr:nvSpPr>
        <xdr:cNvPr id="376889" name="Text Box 57" hidden="1">
          <a:extLst>
            <a:ext uri="{FF2B5EF4-FFF2-40B4-BE49-F238E27FC236}">
              <a16:creationId xmlns:a16="http://schemas.microsoft.com/office/drawing/2014/main" id="{B6139A6C-650F-AE56-F331-DEACEAAD4207}"/>
            </a:ext>
          </a:extLst>
        </xdr:cNvPr>
        <xdr:cNvSpPr txBox="1">
          <a:spLocks noChangeArrowheads="1"/>
        </xdr:cNvSpPr>
      </xdr:nvSpPr>
      <xdr:spPr bwMode="auto">
        <a:xfrm>
          <a:off x="3994150" y="16236950"/>
          <a:ext cx="1314450" cy="2755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107</xdr:row>
      <xdr:rowOff>133350</xdr:rowOff>
    </xdr:to>
    <xdr:sp macro="" textlink="">
      <xdr:nvSpPr>
        <xdr:cNvPr id="376888" name="Text Box 56" hidden="1">
          <a:extLst>
            <a:ext uri="{FF2B5EF4-FFF2-40B4-BE49-F238E27FC236}">
              <a16:creationId xmlns:a16="http://schemas.microsoft.com/office/drawing/2014/main" id="{75328656-1A7E-F78F-A4C4-DE6AF6828F3E}"/>
            </a:ext>
          </a:extLst>
        </xdr:cNvPr>
        <xdr:cNvSpPr txBox="1">
          <a:spLocks noChangeArrowheads="1"/>
        </xdr:cNvSpPr>
      </xdr:nvSpPr>
      <xdr:spPr bwMode="auto">
        <a:xfrm>
          <a:off x="3994150" y="20624800"/>
          <a:ext cx="1314450" cy="200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76200</xdr:rowOff>
    </xdr:from>
    <xdr:to>
      <xdr:col>5</xdr:col>
      <xdr:colOff>609600</xdr:colOff>
      <xdr:row>105</xdr:row>
      <xdr:rowOff>44450</xdr:rowOff>
    </xdr:to>
    <xdr:sp macro="" textlink="">
      <xdr:nvSpPr>
        <xdr:cNvPr id="376887" name="Text Box 55" hidden="1">
          <a:extLst>
            <a:ext uri="{FF2B5EF4-FFF2-40B4-BE49-F238E27FC236}">
              <a16:creationId xmlns:a16="http://schemas.microsoft.com/office/drawing/2014/main" id="{F0FB9549-4BE4-C187-711B-6521EDD5D938}"/>
            </a:ext>
          </a:extLst>
        </xdr:cNvPr>
        <xdr:cNvSpPr txBox="1">
          <a:spLocks noChangeArrowheads="1"/>
        </xdr:cNvSpPr>
      </xdr:nvSpPr>
      <xdr:spPr bwMode="auto">
        <a:xfrm>
          <a:off x="3994150" y="20866100"/>
          <a:ext cx="1314450" cy="1257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76200</xdr:rowOff>
    </xdr:from>
    <xdr:to>
      <xdr:col>5</xdr:col>
      <xdr:colOff>609600</xdr:colOff>
      <xdr:row>105</xdr:row>
      <xdr:rowOff>44450</xdr:rowOff>
    </xdr:to>
    <xdr:sp macro="" textlink="">
      <xdr:nvSpPr>
        <xdr:cNvPr id="376886" name="Text Box 54" hidden="1">
          <a:extLst>
            <a:ext uri="{FF2B5EF4-FFF2-40B4-BE49-F238E27FC236}">
              <a16:creationId xmlns:a16="http://schemas.microsoft.com/office/drawing/2014/main" id="{70CCDB1A-C036-F055-879E-BA9568DB70CB}"/>
            </a:ext>
          </a:extLst>
        </xdr:cNvPr>
        <xdr:cNvSpPr txBox="1">
          <a:spLocks noChangeArrowheads="1"/>
        </xdr:cNvSpPr>
      </xdr:nvSpPr>
      <xdr:spPr bwMode="auto">
        <a:xfrm>
          <a:off x="3994150" y="21050250"/>
          <a:ext cx="1314450" cy="1073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38100</xdr:rowOff>
    </xdr:from>
    <xdr:to>
      <xdr:col>5</xdr:col>
      <xdr:colOff>609600</xdr:colOff>
      <xdr:row>105</xdr:row>
      <xdr:rowOff>44450</xdr:rowOff>
    </xdr:to>
    <xdr:sp macro="" textlink="">
      <xdr:nvSpPr>
        <xdr:cNvPr id="376885" name="Text Box 53" hidden="1">
          <a:extLst>
            <a:ext uri="{FF2B5EF4-FFF2-40B4-BE49-F238E27FC236}">
              <a16:creationId xmlns:a16="http://schemas.microsoft.com/office/drawing/2014/main" id="{19F8ECB3-80CA-FFF8-A6A7-119452F996C6}"/>
            </a:ext>
          </a:extLst>
        </xdr:cNvPr>
        <xdr:cNvSpPr txBox="1">
          <a:spLocks noChangeArrowheads="1"/>
        </xdr:cNvSpPr>
      </xdr:nvSpPr>
      <xdr:spPr bwMode="auto">
        <a:xfrm>
          <a:off x="3994150" y="21012150"/>
          <a:ext cx="1314450" cy="1111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0</xdr:rowOff>
    </xdr:from>
    <xdr:to>
      <xdr:col>21</xdr:col>
      <xdr:colOff>438150</xdr:colOff>
      <xdr:row>127</xdr:row>
      <xdr:rowOff>19050</xdr:rowOff>
    </xdr:to>
    <xdr:sp macro="" textlink="">
      <xdr:nvSpPr>
        <xdr:cNvPr id="376884" name="Text Box 52" hidden="1">
          <a:extLst>
            <a:ext uri="{FF2B5EF4-FFF2-40B4-BE49-F238E27FC236}">
              <a16:creationId xmlns:a16="http://schemas.microsoft.com/office/drawing/2014/main" id="{D9A0F09F-0450-6840-88EE-560D6F895059}"/>
            </a:ext>
          </a:extLst>
        </xdr:cNvPr>
        <xdr:cNvSpPr txBox="1">
          <a:spLocks noChangeArrowheads="1"/>
        </xdr:cNvSpPr>
      </xdr:nvSpPr>
      <xdr:spPr bwMode="auto">
        <a:xfrm>
          <a:off x="17513300" y="254444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83" name="Text Box 51" hidden="1">
          <a:extLst>
            <a:ext uri="{FF2B5EF4-FFF2-40B4-BE49-F238E27FC236}">
              <a16:creationId xmlns:a16="http://schemas.microsoft.com/office/drawing/2014/main" id="{F1FF0681-B4CA-3E65-08FE-7FF70AC04DA7}"/>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82" name="Text Box 50" hidden="1">
          <a:extLst>
            <a:ext uri="{FF2B5EF4-FFF2-40B4-BE49-F238E27FC236}">
              <a16:creationId xmlns:a16="http://schemas.microsoft.com/office/drawing/2014/main" id="{FE6A8E8C-19C2-D4FF-3A5F-42B6D53ECA5A}"/>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19050</xdr:rowOff>
    </xdr:from>
    <xdr:to>
      <xdr:col>22</xdr:col>
      <xdr:colOff>609600</xdr:colOff>
      <xdr:row>131</xdr:row>
      <xdr:rowOff>0</xdr:rowOff>
    </xdr:to>
    <xdr:sp macro="" textlink="">
      <xdr:nvSpPr>
        <xdr:cNvPr id="376881" name="Text Box 49" hidden="1">
          <a:extLst>
            <a:ext uri="{FF2B5EF4-FFF2-40B4-BE49-F238E27FC236}">
              <a16:creationId xmlns:a16="http://schemas.microsoft.com/office/drawing/2014/main" id="{3F799C1D-6D96-3E08-D393-724D1842401F}"/>
            </a:ext>
          </a:extLst>
        </xdr:cNvPr>
        <xdr:cNvSpPr txBox="1">
          <a:spLocks noChangeArrowheads="1"/>
        </xdr:cNvSpPr>
      </xdr:nvSpPr>
      <xdr:spPr bwMode="auto">
        <a:xfrm>
          <a:off x="18332450" y="262001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80" name="Text Box 48" hidden="1">
          <a:extLst>
            <a:ext uri="{FF2B5EF4-FFF2-40B4-BE49-F238E27FC236}">
              <a16:creationId xmlns:a16="http://schemas.microsoft.com/office/drawing/2014/main" id="{E77D9521-44ED-CFB2-27B3-B8D88151C5C4}"/>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79" name="Text Box 47" hidden="1">
          <a:extLst>
            <a:ext uri="{FF2B5EF4-FFF2-40B4-BE49-F238E27FC236}">
              <a16:creationId xmlns:a16="http://schemas.microsoft.com/office/drawing/2014/main" id="{E93BDD93-773E-6A8A-4AF7-4B80D6F8C633}"/>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78" name="Text Box 46" hidden="1">
          <a:extLst>
            <a:ext uri="{FF2B5EF4-FFF2-40B4-BE49-F238E27FC236}">
              <a16:creationId xmlns:a16="http://schemas.microsoft.com/office/drawing/2014/main" id="{2CBAD194-42F9-E920-7D2F-8DA4192D54C4}"/>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19050</xdr:rowOff>
    </xdr:from>
    <xdr:to>
      <xdr:col>24</xdr:col>
      <xdr:colOff>647700</xdr:colOff>
      <xdr:row>131</xdr:row>
      <xdr:rowOff>95250</xdr:rowOff>
    </xdr:to>
    <xdr:sp macro="" textlink="">
      <xdr:nvSpPr>
        <xdr:cNvPr id="376877" name="Text Box 45" hidden="1">
          <a:extLst>
            <a:ext uri="{FF2B5EF4-FFF2-40B4-BE49-F238E27FC236}">
              <a16:creationId xmlns:a16="http://schemas.microsoft.com/office/drawing/2014/main" id="{5E3DEC50-B549-50CB-6E94-E71492AE9E1F}"/>
            </a:ext>
          </a:extLst>
        </xdr:cNvPr>
        <xdr:cNvSpPr txBox="1">
          <a:spLocks noChangeArrowheads="1"/>
        </xdr:cNvSpPr>
      </xdr:nvSpPr>
      <xdr:spPr bwMode="auto">
        <a:xfrm>
          <a:off x="20027900" y="262001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95250</xdr:rowOff>
    </xdr:from>
    <xdr:to>
      <xdr:col>25</xdr:col>
      <xdr:colOff>647700</xdr:colOff>
      <xdr:row>18</xdr:row>
      <xdr:rowOff>133350</xdr:rowOff>
    </xdr:to>
    <xdr:sp macro="" textlink="">
      <xdr:nvSpPr>
        <xdr:cNvPr id="376876" name="Text Box 44" hidden="1">
          <a:extLst>
            <a:ext uri="{FF2B5EF4-FFF2-40B4-BE49-F238E27FC236}">
              <a16:creationId xmlns:a16="http://schemas.microsoft.com/office/drawing/2014/main" id="{B37EA2C3-326C-B7AB-2699-257073505B98}"/>
            </a:ext>
          </a:extLst>
        </xdr:cNvPr>
        <xdr:cNvSpPr txBox="1">
          <a:spLocks noChangeArrowheads="1"/>
        </xdr:cNvSpPr>
      </xdr:nvSpPr>
      <xdr:spPr bwMode="auto">
        <a:xfrm>
          <a:off x="20789900" y="35560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95250</xdr:rowOff>
    </xdr:from>
    <xdr:to>
      <xdr:col>25</xdr:col>
      <xdr:colOff>647700</xdr:colOff>
      <xdr:row>29</xdr:row>
      <xdr:rowOff>95250</xdr:rowOff>
    </xdr:to>
    <xdr:sp macro="" textlink="">
      <xdr:nvSpPr>
        <xdr:cNvPr id="376875" name="Text Box 43" hidden="1">
          <a:extLst>
            <a:ext uri="{FF2B5EF4-FFF2-40B4-BE49-F238E27FC236}">
              <a16:creationId xmlns:a16="http://schemas.microsoft.com/office/drawing/2014/main" id="{2DA0C7F5-2725-A208-B69A-226B2908361B}"/>
            </a:ext>
          </a:extLst>
        </xdr:cNvPr>
        <xdr:cNvSpPr txBox="1">
          <a:spLocks noChangeArrowheads="1"/>
        </xdr:cNvSpPr>
      </xdr:nvSpPr>
      <xdr:spPr bwMode="auto">
        <a:xfrm>
          <a:off x="20789900" y="55626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57150</xdr:rowOff>
    </xdr:from>
    <xdr:to>
      <xdr:col>25</xdr:col>
      <xdr:colOff>647700</xdr:colOff>
      <xdr:row>131</xdr:row>
      <xdr:rowOff>95250</xdr:rowOff>
    </xdr:to>
    <xdr:sp macro="" textlink="">
      <xdr:nvSpPr>
        <xdr:cNvPr id="376874" name="Text Box 42" hidden="1">
          <a:extLst>
            <a:ext uri="{FF2B5EF4-FFF2-40B4-BE49-F238E27FC236}">
              <a16:creationId xmlns:a16="http://schemas.microsoft.com/office/drawing/2014/main" id="{B25801DF-3F28-69C5-4962-3287471AFC73}"/>
            </a:ext>
          </a:extLst>
        </xdr:cNvPr>
        <xdr:cNvSpPr txBox="1">
          <a:spLocks noChangeArrowheads="1"/>
        </xdr:cNvSpPr>
      </xdr:nvSpPr>
      <xdr:spPr bwMode="auto">
        <a:xfrm>
          <a:off x="20789900" y="262382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95250</xdr:rowOff>
    </xdr:to>
    <xdr:sp macro="" textlink="">
      <xdr:nvSpPr>
        <xdr:cNvPr id="376873" name="Text Box 41" hidden="1">
          <a:extLst>
            <a:ext uri="{FF2B5EF4-FFF2-40B4-BE49-F238E27FC236}">
              <a16:creationId xmlns:a16="http://schemas.microsoft.com/office/drawing/2014/main" id="{6FA56BEA-3A16-B934-A2B0-C06F0A7D7B53}"/>
            </a:ext>
          </a:extLst>
        </xdr:cNvPr>
        <xdr:cNvSpPr txBox="1">
          <a:spLocks noChangeArrowheads="1"/>
        </xdr:cNvSpPr>
      </xdr:nvSpPr>
      <xdr:spPr bwMode="auto">
        <a:xfrm>
          <a:off x="9398000" y="8121650"/>
          <a:ext cx="13525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95250</xdr:rowOff>
    </xdr:to>
    <xdr:sp macro="" textlink="">
      <xdr:nvSpPr>
        <xdr:cNvPr id="376872" name="Text Box 40" hidden="1">
          <a:extLst>
            <a:ext uri="{FF2B5EF4-FFF2-40B4-BE49-F238E27FC236}">
              <a16:creationId xmlns:a16="http://schemas.microsoft.com/office/drawing/2014/main" id="{0FFCC677-D171-57FD-8064-CBBE3EDD7ABB}"/>
            </a:ext>
          </a:extLst>
        </xdr:cNvPr>
        <xdr:cNvSpPr txBox="1">
          <a:spLocks noChangeArrowheads="1"/>
        </xdr:cNvSpPr>
      </xdr:nvSpPr>
      <xdr:spPr bwMode="auto">
        <a:xfrm>
          <a:off x="11125200" y="8121650"/>
          <a:ext cx="14033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20</xdr:row>
      <xdr:rowOff>0</xdr:rowOff>
    </xdr:from>
    <xdr:to>
      <xdr:col>30</xdr:col>
      <xdr:colOff>647700</xdr:colOff>
      <xdr:row>27</xdr:row>
      <xdr:rowOff>57150</xdr:rowOff>
    </xdr:to>
    <xdr:sp macro="" textlink="">
      <xdr:nvSpPr>
        <xdr:cNvPr id="376871" name="Text Box 39" hidden="1">
          <a:extLst>
            <a:ext uri="{FF2B5EF4-FFF2-40B4-BE49-F238E27FC236}">
              <a16:creationId xmlns:a16="http://schemas.microsoft.com/office/drawing/2014/main" id="{8E65DAC2-52BC-CDB6-C18F-7054AB00C363}"/>
            </a:ext>
          </a:extLst>
        </xdr:cNvPr>
        <xdr:cNvSpPr txBox="1">
          <a:spLocks noChangeArrowheads="1"/>
        </xdr:cNvSpPr>
      </xdr:nvSpPr>
      <xdr:spPr bwMode="auto">
        <a:xfrm>
          <a:off x="24599900" y="4914900"/>
          <a:ext cx="1314450" cy="134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70" name="Text Box 38" hidden="1">
          <a:extLst>
            <a:ext uri="{FF2B5EF4-FFF2-40B4-BE49-F238E27FC236}">
              <a16:creationId xmlns:a16="http://schemas.microsoft.com/office/drawing/2014/main" id="{C3C99520-2DB9-F5EA-4968-47B97E3BE243}"/>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95250</xdr:colOff>
      <xdr:row>53</xdr:row>
      <xdr:rowOff>323850</xdr:rowOff>
    </xdr:from>
    <xdr:to>
      <xdr:col>14</xdr:col>
      <xdr:colOff>571500</xdr:colOff>
      <xdr:row>56</xdr:row>
      <xdr:rowOff>19050</xdr:rowOff>
    </xdr:to>
    <xdr:sp macro="" textlink="">
      <xdr:nvSpPr>
        <xdr:cNvPr id="376907" name="Text Box 75" hidden="1">
          <a:extLst>
            <a:ext uri="{FF2B5EF4-FFF2-40B4-BE49-F238E27FC236}">
              <a16:creationId xmlns:a16="http://schemas.microsoft.com/office/drawing/2014/main" id="{8FC89825-020C-AD3B-CC63-37F557206705}"/>
            </a:ext>
          </a:extLst>
        </xdr:cNvPr>
        <xdr:cNvSpPr txBox="1">
          <a:spLocks noChangeArrowheads="1"/>
        </xdr:cNvSpPr>
      </xdr:nvSpPr>
      <xdr:spPr bwMode="auto">
        <a:xfrm>
          <a:off x="11957050" y="11658600"/>
          <a:ext cx="1416050" cy="679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58</xdr:row>
      <xdr:rowOff>76200</xdr:rowOff>
    </xdr:from>
    <xdr:to>
      <xdr:col>14</xdr:col>
      <xdr:colOff>609600</xdr:colOff>
      <xdr:row>62</xdr:row>
      <xdr:rowOff>0</xdr:rowOff>
    </xdr:to>
    <xdr:sp macro="" textlink="">
      <xdr:nvSpPr>
        <xdr:cNvPr id="376910" name="Text Box 78" hidden="1">
          <a:extLst>
            <a:ext uri="{FF2B5EF4-FFF2-40B4-BE49-F238E27FC236}">
              <a16:creationId xmlns:a16="http://schemas.microsoft.com/office/drawing/2014/main" id="{CBBFCE7B-6E42-0700-99E9-0C52587E52D5}"/>
            </a:ext>
          </a:extLst>
        </xdr:cNvPr>
        <xdr:cNvSpPr txBox="1">
          <a:spLocks noChangeArrowheads="1"/>
        </xdr:cNvSpPr>
      </xdr:nvSpPr>
      <xdr:spPr bwMode="auto">
        <a:xfrm>
          <a:off x="11995150" y="12763500"/>
          <a:ext cx="14160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37</xdr:row>
      <xdr:rowOff>76200</xdr:rowOff>
    </xdr:from>
    <xdr:to>
      <xdr:col>14</xdr:col>
      <xdr:colOff>609600</xdr:colOff>
      <xdr:row>41</xdr:row>
      <xdr:rowOff>95250</xdr:rowOff>
    </xdr:to>
    <xdr:sp macro="" textlink="">
      <xdr:nvSpPr>
        <xdr:cNvPr id="376913" name="Text Box 81" hidden="1">
          <a:extLst>
            <a:ext uri="{FF2B5EF4-FFF2-40B4-BE49-F238E27FC236}">
              <a16:creationId xmlns:a16="http://schemas.microsoft.com/office/drawing/2014/main" id="{76EE71BA-DE5E-0A08-1508-D522AC20302D}"/>
            </a:ext>
          </a:extLst>
        </xdr:cNvPr>
        <xdr:cNvSpPr txBox="1">
          <a:spLocks noChangeArrowheads="1"/>
        </xdr:cNvSpPr>
      </xdr:nvSpPr>
      <xdr:spPr bwMode="auto">
        <a:xfrm>
          <a:off x="11995150" y="81216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55</xdr:row>
      <xdr:rowOff>101600</xdr:rowOff>
    </xdr:from>
    <xdr:to>
      <xdr:col>6</xdr:col>
      <xdr:colOff>44450</xdr:colOff>
      <xdr:row>59</xdr:row>
      <xdr:rowOff>76200</xdr:rowOff>
    </xdr:to>
    <xdr:sp macro="" textlink="">
      <xdr:nvSpPr>
        <xdr:cNvPr id="376914" name="Text Box 82" hidden="1">
          <a:extLst>
            <a:ext uri="{FF2B5EF4-FFF2-40B4-BE49-F238E27FC236}">
              <a16:creationId xmlns:a16="http://schemas.microsoft.com/office/drawing/2014/main" id="{05F8CDFF-F661-6114-51D5-31168286F391}"/>
            </a:ext>
          </a:extLst>
        </xdr:cNvPr>
        <xdr:cNvSpPr txBox="1">
          <a:spLocks noChangeArrowheads="1"/>
        </xdr:cNvSpPr>
      </xdr:nvSpPr>
      <xdr:spPr bwMode="auto">
        <a:xfrm>
          <a:off x="4057650" y="122110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1901972</xdr:colOff>
      <xdr:row>53</xdr:row>
      <xdr:rowOff>549</xdr:rowOff>
    </xdr:from>
    <xdr:to>
      <xdr:col>2</xdr:col>
      <xdr:colOff>809458</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1894987</xdr:colOff>
      <xdr:row>53</xdr:row>
      <xdr:rowOff>549</xdr:rowOff>
    </xdr:from>
    <xdr:to>
      <xdr:col>2</xdr:col>
      <xdr:colOff>792948</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53</xdr:row>
      <xdr:rowOff>549</xdr:rowOff>
    </xdr:from>
    <xdr:to>
      <xdr:col>2</xdr:col>
      <xdr:colOff>773898</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53</xdr:row>
      <xdr:rowOff>549</xdr:rowOff>
    </xdr:from>
    <xdr:to>
      <xdr:col>2</xdr:col>
      <xdr:colOff>773898</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57</xdr:row>
      <xdr:rowOff>154015</xdr:rowOff>
    </xdr:from>
    <xdr:to>
      <xdr:col>2</xdr:col>
      <xdr:colOff>773898</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63</xdr:row>
      <xdr:rowOff>160180</xdr:rowOff>
    </xdr:from>
    <xdr:to>
      <xdr:col>2</xdr:col>
      <xdr:colOff>773898</xdr:colOff>
      <xdr:row>63</xdr:row>
      <xdr:rowOff>160180</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53</xdr:row>
      <xdr:rowOff>107008</xdr:rowOff>
    </xdr:from>
    <xdr:to>
      <xdr:col>2</xdr:col>
      <xdr:colOff>659598</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55</xdr:row>
      <xdr:rowOff>83701</xdr:rowOff>
    </xdr:from>
    <xdr:to>
      <xdr:col>2</xdr:col>
      <xdr:colOff>659598</xdr:colOff>
      <xdr:row>59</xdr:row>
      <xdr:rowOff>121836</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57</xdr:row>
      <xdr:rowOff>57359</xdr:rowOff>
    </xdr:from>
    <xdr:to>
      <xdr:col>2</xdr:col>
      <xdr:colOff>659598</xdr:colOff>
      <xdr:row>61</xdr:row>
      <xdr:rowOff>104077</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59</xdr:row>
      <xdr:rowOff>18666</xdr:rowOff>
    </xdr:from>
    <xdr:to>
      <xdr:col>2</xdr:col>
      <xdr:colOff>659598</xdr:colOff>
      <xdr:row>62</xdr:row>
      <xdr:rowOff>48567</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60</xdr:row>
      <xdr:rowOff>172496</xdr:rowOff>
    </xdr:from>
    <xdr:to>
      <xdr:col>2</xdr:col>
      <xdr:colOff>659598</xdr:colOff>
      <xdr:row>63</xdr:row>
      <xdr:rowOff>198281</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61</xdr:row>
      <xdr:rowOff>323152</xdr:rowOff>
    </xdr:from>
    <xdr:to>
      <xdr:col>2</xdr:col>
      <xdr:colOff>659598</xdr:colOff>
      <xdr:row>64</xdr:row>
      <xdr:rowOff>164298</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67</xdr:row>
      <xdr:rowOff>107846</xdr:rowOff>
    </xdr:from>
    <xdr:to>
      <xdr:col>2</xdr:col>
      <xdr:colOff>773898</xdr:colOff>
      <xdr:row>67</xdr:row>
      <xdr:rowOff>107846</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63</xdr:row>
      <xdr:rowOff>235439</xdr:rowOff>
    </xdr:from>
    <xdr:to>
      <xdr:col>2</xdr:col>
      <xdr:colOff>659598</xdr:colOff>
      <xdr:row>64</xdr:row>
      <xdr:rowOff>159588</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64</xdr:row>
      <xdr:rowOff>159588</xdr:rowOff>
    </xdr:from>
    <xdr:to>
      <xdr:col>2</xdr:col>
      <xdr:colOff>659598</xdr:colOff>
      <xdr:row>65</xdr:row>
      <xdr:rowOff>8792</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8792</xdr:rowOff>
    </xdr:from>
    <xdr:to>
      <xdr:col>2</xdr:col>
      <xdr:colOff>659598</xdr:colOff>
      <xdr:row>65</xdr:row>
      <xdr:rowOff>188162</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188162</xdr:rowOff>
    </xdr:from>
    <xdr:to>
      <xdr:col>2</xdr:col>
      <xdr:colOff>659598</xdr:colOff>
      <xdr:row>66</xdr:row>
      <xdr:rowOff>46892</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46892</xdr:rowOff>
    </xdr:from>
    <xdr:to>
      <xdr:col>2</xdr:col>
      <xdr:colOff>659598</xdr:colOff>
      <xdr:row>66</xdr:row>
      <xdr:rowOff>226263</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245313</xdr:rowOff>
    </xdr:from>
    <xdr:to>
      <xdr:col>2</xdr:col>
      <xdr:colOff>659598</xdr:colOff>
      <xdr:row>67</xdr:row>
      <xdr:rowOff>180871</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68</xdr:row>
      <xdr:rowOff>160181</xdr:rowOff>
    </xdr:from>
    <xdr:to>
      <xdr:col>2</xdr:col>
      <xdr:colOff>773898</xdr:colOff>
      <xdr:row>68</xdr:row>
      <xdr:rowOff>160181</xdr:rowOff>
    </xdr:to>
    <xdr:sp macro="" textlink="">
      <xdr:nvSpPr>
        <xdr:cNvPr id="376909" name="Text Box 77" hidden="1">
          <a:extLst>
            <a:ext uri="{FF2B5EF4-FFF2-40B4-BE49-F238E27FC236}">
              <a16:creationId xmlns:a16="http://schemas.microsoft.com/office/drawing/2014/main" id="{459B16E4-67F5-7B78-2B05-607381E4279C}"/>
            </a:ext>
          </a:extLst>
        </xdr:cNvPr>
        <xdr:cNvSpPr txBox="1">
          <a:spLocks noChangeArrowheads="1"/>
        </xdr:cNvSpPr>
      </xdr:nvSpPr>
      <xdr:spPr bwMode="auto">
        <a:xfrm>
          <a:off x="2724150" y="136271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198281</xdr:rowOff>
    </xdr:from>
    <xdr:to>
      <xdr:col>2</xdr:col>
      <xdr:colOff>659598</xdr:colOff>
      <xdr:row>66</xdr:row>
      <xdr:rowOff>179231</xdr:rowOff>
    </xdr:to>
    <xdr:sp macro="" textlink="">
      <xdr:nvSpPr>
        <xdr:cNvPr id="376908" name="Text Box 76" hidden="1">
          <a:extLst>
            <a:ext uri="{FF2B5EF4-FFF2-40B4-BE49-F238E27FC236}">
              <a16:creationId xmlns:a16="http://schemas.microsoft.com/office/drawing/2014/main" id="{4C65BBA8-01CE-DB28-B116-1E791DC52FA4}"/>
            </a:ext>
          </a:extLst>
        </xdr:cNvPr>
        <xdr:cNvSpPr txBox="1">
          <a:spLocks noChangeArrowheads="1"/>
        </xdr:cNvSpPr>
      </xdr:nvSpPr>
      <xdr:spPr bwMode="auto">
        <a:xfrm>
          <a:off x="2705100" y="126746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142736</xdr:rowOff>
    </xdr:from>
    <xdr:to>
      <xdr:col>2</xdr:col>
      <xdr:colOff>659598</xdr:colOff>
      <xdr:row>67</xdr:row>
      <xdr:rowOff>489</xdr:rowOff>
    </xdr:to>
    <xdr:sp macro="" textlink="">
      <xdr:nvSpPr>
        <xdr:cNvPr id="376907" name="Text Box 75" hidden="1">
          <a:extLst>
            <a:ext uri="{FF2B5EF4-FFF2-40B4-BE49-F238E27FC236}">
              <a16:creationId xmlns:a16="http://schemas.microsoft.com/office/drawing/2014/main" id="{692E2A35-CD86-DF92-FBC2-7CB5E41E3F19}"/>
            </a:ext>
          </a:extLst>
        </xdr:cNvPr>
        <xdr:cNvSpPr txBox="1">
          <a:spLocks noChangeArrowheads="1"/>
        </xdr:cNvSpPr>
      </xdr:nvSpPr>
      <xdr:spPr bwMode="auto">
        <a:xfrm>
          <a:off x="2705100" y="129603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489</xdr:rowOff>
    </xdr:from>
    <xdr:to>
      <xdr:col>2</xdr:col>
      <xdr:colOff>659598</xdr:colOff>
      <xdr:row>67</xdr:row>
      <xdr:rowOff>179231</xdr:rowOff>
    </xdr:to>
    <xdr:sp macro="" textlink="">
      <xdr:nvSpPr>
        <xdr:cNvPr id="376906" name="Text Box 74" hidden="1">
          <a:extLst>
            <a:ext uri="{FF2B5EF4-FFF2-40B4-BE49-F238E27FC236}">
              <a16:creationId xmlns:a16="http://schemas.microsoft.com/office/drawing/2014/main" id="{6FD3E38D-C572-86DA-EBB9-03ADA81BD2BD}"/>
            </a:ext>
          </a:extLst>
        </xdr:cNvPr>
        <xdr:cNvSpPr txBox="1">
          <a:spLocks noChangeArrowheads="1"/>
        </xdr:cNvSpPr>
      </xdr:nvSpPr>
      <xdr:spPr bwMode="auto">
        <a:xfrm>
          <a:off x="2705100" y="131381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179231</xdr:rowOff>
    </xdr:from>
    <xdr:to>
      <xdr:col>2</xdr:col>
      <xdr:colOff>659598</xdr:colOff>
      <xdr:row>67</xdr:row>
      <xdr:rowOff>293531</xdr:rowOff>
    </xdr:to>
    <xdr:sp macro="" textlink="">
      <xdr:nvSpPr>
        <xdr:cNvPr id="376905" name="Text Box 73" hidden="1">
          <a:extLst>
            <a:ext uri="{FF2B5EF4-FFF2-40B4-BE49-F238E27FC236}">
              <a16:creationId xmlns:a16="http://schemas.microsoft.com/office/drawing/2014/main" id="{EA3B16A2-728E-C99A-8747-97D0652AD9D1}"/>
            </a:ext>
          </a:extLst>
        </xdr:cNvPr>
        <xdr:cNvSpPr txBox="1">
          <a:spLocks noChangeArrowheads="1"/>
        </xdr:cNvSpPr>
      </xdr:nvSpPr>
      <xdr:spPr bwMode="auto">
        <a:xfrm>
          <a:off x="2705100" y="133159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293531</xdr:rowOff>
    </xdr:from>
    <xdr:to>
      <xdr:col>2</xdr:col>
      <xdr:colOff>659598</xdr:colOff>
      <xdr:row>68</xdr:row>
      <xdr:rowOff>66536</xdr:rowOff>
    </xdr:to>
    <xdr:sp macro="" textlink="">
      <xdr:nvSpPr>
        <xdr:cNvPr id="376904" name="Text Box 72" hidden="1">
          <a:extLst>
            <a:ext uri="{FF2B5EF4-FFF2-40B4-BE49-F238E27FC236}">
              <a16:creationId xmlns:a16="http://schemas.microsoft.com/office/drawing/2014/main" id="{F7D89B4D-C9FF-2A20-73A1-A0C3E0ECC002}"/>
            </a:ext>
          </a:extLst>
        </xdr:cNvPr>
        <xdr:cNvSpPr txBox="1">
          <a:spLocks noChangeArrowheads="1"/>
        </xdr:cNvSpPr>
      </xdr:nvSpPr>
      <xdr:spPr bwMode="auto">
        <a:xfrm>
          <a:off x="2705100" y="134302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66536</xdr:rowOff>
    </xdr:from>
    <xdr:to>
      <xdr:col>2</xdr:col>
      <xdr:colOff>659598</xdr:colOff>
      <xdr:row>68</xdr:row>
      <xdr:rowOff>236381</xdr:rowOff>
    </xdr:to>
    <xdr:sp macro="" textlink="">
      <xdr:nvSpPr>
        <xdr:cNvPr id="376903" name="Text Box 71" hidden="1">
          <a:extLst>
            <a:ext uri="{FF2B5EF4-FFF2-40B4-BE49-F238E27FC236}">
              <a16:creationId xmlns:a16="http://schemas.microsoft.com/office/drawing/2014/main" id="{0BABDFC4-E531-913D-0C82-FA380E211B23}"/>
            </a:ext>
          </a:extLst>
        </xdr:cNvPr>
        <xdr:cNvSpPr txBox="1">
          <a:spLocks noChangeArrowheads="1"/>
        </xdr:cNvSpPr>
      </xdr:nvSpPr>
      <xdr:spPr bwMode="auto">
        <a:xfrm>
          <a:off x="2705100" y="13544550"/>
          <a:ext cx="1320800" cy="158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68</xdr:row>
      <xdr:rowOff>160181</xdr:rowOff>
    </xdr:from>
    <xdr:to>
      <xdr:col>2</xdr:col>
      <xdr:colOff>773898</xdr:colOff>
      <xdr:row>68</xdr:row>
      <xdr:rowOff>160181</xdr:rowOff>
    </xdr:to>
    <xdr:sp macro="" textlink="">
      <xdr:nvSpPr>
        <xdr:cNvPr id="376916" name="Text Box 84" hidden="1">
          <a:extLst>
            <a:ext uri="{FF2B5EF4-FFF2-40B4-BE49-F238E27FC236}">
              <a16:creationId xmlns:a16="http://schemas.microsoft.com/office/drawing/2014/main" id="{B10A64DD-9D2E-5C46-79AC-3919C973FC02}"/>
            </a:ext>
          </a:extLst>
        </xdr:cNvPr>
        <xdr:cNvSpPr txBox="1">
          <a:spLocks noChangeArrowheads="1"/>
        </xdr:cNvSpPr>
      </xdr:nvSpPr>
      <xdr:spPr bwMode="auto">
        <a:xfrm>
          <a:off x="2724150" y="136271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65</xdr:row>
      <xdr:rowOff>198281</xdr:rowOff>
    </xdr:from>
    <xdr:to>
      <xdr:col>2</xdr:col>
      <xdr:colOff>659598</xdr:colOff>
      <xdr:row>66</xdr:row>
      <xdr:rowOff>179231</xdr:rowOff>
    </xdr:to>
    <xdr:sp macro="" textlink="">
      <xdr:nvSpPr>
        <xdr:cNvPr id="376915" name="Text Box 83" hidden="1">
          <a:extLst>
            <a:ext uri="{FF2B5EF4-FFF2-40B4-BE49-F238E27FC236}">
              <a16:creationId xmlns:a16="http://schemas.microsoft.com/office/drawing/2014/main" id="{388F033F-569F-ECFA-EB5C-57EF64794363}"/>
            </a:ext>
          </a:extLst>
        </xdr:cNvPr>
        <xdr:cNvSpPr txBox="1">
          <a:spLocks noChangeArrowheads="1"/>
        </xdr:cNvSpPr>
      </xdr:nvSpPr>
      <xdr:spPr bwMode="auto">
        <a:xfrm>
          <a:off x="2705100" y="12674600"/>
          <a:ext cx="132080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142736</xdr:rowOff>
    </xdr:from>
    <xdr:to>
      <xdr:col>2</xdr:col>
      <xdr:colOff>659598</xdr:colOff>
      <xdr:row>67</xdr:row>
      <xdr:rowOff>489</xdr:rowOff>
    </xdr:to>
    <xdr:sp macro="" textlink="">
      <xdr:nvSpPr>
        <xdr:cNvPr id="376914" name="Text Box 82" hidden="1">
          <a:extLst>
            <a:ext uri="{FF2B5EF4-FFF2-40B4-BE49-F238E27FC236}">
              <a16:creationId xmlns:a16="http://schemas.microsoft.com/office/drawing/2014/main" id="{F557BCC3-3C2E-62A0-AC61-DBDBEBB2257F}"/>
            </a:ext>
          </a:extLst>
        </xdr:cNvPr>
        <xdr:cNvSpPr txBox="1">
          <a:spLocks noChangeArrowheads="1"/>
        </xdr:cNvSpPr>
      </xdr:nvSpPr>
      <xdr:spPr bwMode="auto">
        <a:xfrm>
          <a:off x="2705100" y="129603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489</xdr:rowOff>
    </xdr:from>
    <xdr:to>
      <xdr:col>2</xdr:col>
      <xdr:colOff>659598</xdr:colOff>
      <xdr:row>67</xdr:row>
      <xdr:rowOff>179231</xdr:rowOff>
    </xdr:to>
    <xdr:sp macro="" textlink="">
      <xdr:nvSpPr>
        <xdr:cNvPr id="376913" name="Text Box 81" hidden="1">
          <a:extLst>
            <a:ext uri="{FF2B5EF4-FFF2-40B4-BE49-F238E27FC236}">
              <a16:creationId xmlns:a16="http://schemas.microsoft.com/office/drawing/2014/main" id="{C37A8B92-0808-1B77-C0AF-F776DCA5C398}"/>
            </a:ext>
          </a:extLst>
        </xdr:cNvPr>
        <xdr:cNvSpPr txBox="1">
          <a:spLocks noChangeArrowheads="1"/>
        </xdr:cNvSpPr>
      </xdr:nvSpPr>
      <xdr:spPr bwMode="auto">
        <a:xfrm>
          <a:off x="2705100" y="131381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179231</xdr:rowOff>
    </xdr:from>
    <xdr:to>
      <xdr:col>2</xdr:col>
      <xdr:colOff>659598</xdr:colOff>
      <xdr:row>67</xdr:row>
      <xdr:rowOff>293531</xdr:rowOff>
    </xdr:to>
    <xdr:sp macro="" textlink="">
      <xdr:nvSpPr>
        <xdr:cNvPr id="376912" name="Text Box 80" hidden="1">
          <a:extLst>
            <a:ext uri="{FF2B5EF4-FFF2-40B4-BE49-F238E27FC236}">
              <a16:creationId xmlns:a16="http://schemas.microsoft.com/office/drawing/2014/main" id="{BDDF56AC-F3E0-48B5-F887-3854E08E0887}"/>
            </a:ext>
          </a:extLst>
        </xdr:cNvPr>
        <xdr:cNvSpPr txBox="1">
          <a:spLocks noChangeArrowheads="1"/>
        </xdr:cNvSpPr>
      </xdr:nvSpPr>
      <xdr:spPr bwMode="auto">
        <a:xfrm>
          <a:off x="2705100" y="133159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293531</xdr:rowOff>
    </xdr:from>
    <xdr:to>
      <xdr:col>2</xdr:col>
      <xdr:colOff>659598</xdr:colOff>
      <xdr:row>68</xdr:row>
      <xdr:rowOff>66536</xdr:rowOff>
    </xdr:to>
    <xdr:sp macro="" textlink="">
      <xdr:nvSpPr>
        <xdr:cNvPr id="376911" name="Text Box 79" hidden="1">
          <a:extLst>
            <a:ext uri="{FF2B5EF4-FFF2-40B4-BE49-F238E27FC236}">
              <a16:creationId xmlns:a16="http://schemas.microsoft.com/office/drawing/2014/main" id="{30AE7D83-BCF9-1F5C-4C30-055E3D19C828}"/>
            </a:ext>
          </a:extLst>
        </xdr:cNvPr>
        <xdr:cNvSpPr txBox="1">
          <a:spLocks noChangeArrowheads="1"/>
        </xdr:cNvSpPr>
      </xdr:nvSpPr>
      <xdr:spPr bwMode="auto">
        <a:xfrm>
          <a:off x="2705100" y="134302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66536</xdr:rowOff>
    </xdr:from>
    <xdr:to>
      <xdr:col>2</xdr:col>
      <xdr:colOff>659598</xdr:colOff>
      <xdr:row>68</xdr:row>
      <xdr:rowOff>236381</xdr:rowOff>
    </xdr:to>
    <xdr:sp macro="" textlink="">
      <xdr:nvSpPr>
        <xdr:cNvPr id="376910" name="Text Box 78" hidden="1">
          <a:extLst>
            <a:ext uri="{FF2B5EF4-FFF2-40B4-BE49-F238E27FC236}">
              <a16:creationId xmlns:a16="http://schemas.microsoft.com/office/drawing/2014/main" id="{3231700D-E483-E69A-737E-82E6C42402EA}"/>
            </a:ext>
          </a:extLst>
        </xdr:cNvPr>
        <xdr:cNvSpPr txBox="1">
          <a:spLocks noChangeArrowheads="1"/>
        </xdr:cNvSpPr>
      </xdr:nvSpPr>
      <xdr:spPr bwMode="auto">
        <a:xfrm>
          <a:off x="2705100" y="13544550"/>
          <a:ext cx="1320800" cy="15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1875937</xdr:colOff>
      <xdr:row>69</xdr:row>
      <xdr:rowOff>0</xdr:rowOff>
    </xdr:from>
    <xdr:to>
      <xdr:col>2</xdr:col>
      <xdr:colOff>773898</xdr:colOff>
      <xdr:row>69</xdr:row>
      <xdr:rowOff>0</xdr:rowOff>
    </xdr:to>
    <xdr:sp macro="" textlink="">
      <xdr:nvSpPr>
        <xdr:cNvPr id="377863" name="Text Box 7" hidden="1">
          <a:extLst>
            <a:ext uri="{FF2B5EF4-FFF2-40B4-BE49-F238E27FC236}">
              <a16:creationId xmlns:a16="http://schemas.microsoft.com/office/drawing/2014/main" id="{8BB22F0A-6C22-B387-FD71-B611F6DA7ADC}"/>
            </a:ext>
          </a:extLst>
        </xdr:cNvPr>
        <xdr:cNvSpPr txBox="1">
          <a:spLocks noChangeArrowheads="1"/>
        </xdr:cNvSpPr>
      </xdr:nvSpPr>
      <xdr:spPr bwMode="auto">
        <a:xfrm>
          <a:off x="2724150" y="1381125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66</xdr:row>
      <xdr:rowOff>171450</xdr:rowOff>
    </xdr:from>
    <xdr:to>
      <xdr:col>2</xdr:col>
      <xdr:colOff>659598</xdr:colOff>
      <xdr:row>67</xdr:row>
      <xdr:rowOff>152400</xdr:rowOff>
    </xdr:to>
    <xdr:sp macro="" textlink="">
      <xdr:nvSpPr>
        <xdr:cNvPr id="377862" name="Text Box 6" hidden="1">
          <a:extLst>
            <a:ext uri="{FF2B5EF4-FFF2-40B4-BE49-F238E27FC236}">
              <a16:creationId xmlns:a16="http://schemas.microsoft.com/office/drawing/2014/main" id="{C6700B10-2481-46CF-B87C-AD3B8E4A7959}"/>
            </a:ext>
          </a:extLst>
        </xdr:cNvPr>
        <xdr:cNvSpPr txBox="1">
          <a:spLocks noChangeArrowheads="1"/>
        </xdr:cNvSpPr>
      </xdr:nvSpPr>
      <xdr:spPr bwMode="auto">
        <a:xfrm>
          <a:off x="2705100" y="129921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133350</xdr:rowOff>
    </xdr:from>
    <xdr:to>
      <xdr:col>2</xdr:col>
      <xdr:colOff>659598</xdr:colOff>
      <xdr:row>67</xdr:row>
      <xdr:rowOff>304800</xdr:rowOff>
    </xdr:to>
    <xdr:sp macro="" textlink="">
      <xdr:nvSpPr>
        <xdr:cNvPr id="377861" name="Text Box 5" hidden="1">
          <a:extLst>
            <a:ext uri="{FF2B5EF4-FFF2-40B4-BE49-F238E27FC236}">
              <a16:creationId xmlns:a16="http://schemas.microsoft.com/office/drawing/2014/main" id="{B5A64647-06CD-D687-7C6B-842C1B28EA07}"/>
            </a:ext>
          </a:extLst>
        </xdr:cNvPr>
        <xdr:cNvSpPr txBox="1">
          <a:spLocks noChangeArrowheads="1"/>
        </xdr:cNvSpPr>
      </xdr:nvSpPr>
      <xdr:spPr bwMode="auto">
        <a:xfrm>
          <a:off x="2705100" y="13284200"/>
          <a:ext cx="132080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67</xdr:row>
      <xdr:rowOff>304800</xdr:rowOff>
    </xdr:from>
    <xdr:to>
      <xdr:col>2</xdr:col>
      <xdr:colOff>659598</xdr:colOff>
      <xdr:row>68</xdr:row>
      <xdr:rowOff>152400</xdr:rowOff>
    </xdr:to>
    <xdr:sp macro="" textlink="">
      <xdr:nvSpPr>
        <xdr:cNvPr id="377860" name="Text Box 4" hidden="1">
          <a:extLst>
            <a:ext uri="{FF2B5EF4-FFF2-40B4-BE49-F238E27FC236}">
              <a16:creationId xmlns:a16="http://schemas.microsoft.com/office/drawing/2014/main" id="{F36D56D0-C829-6497-83EF-9A1048D2058B}"/>
            </a:ext>
          </a:extLst>
        </xdr:cNvPr>
        <xdr:cNvSpPr txBox="1">
          <a:spLocks noChangeArrowheads="1"/>
        </xdr:cNvSpPr>
      </xdr:nvSpPr>
      <xdr:spPr bwMode="auto">
        <a:xfrm>
          <a:off x="2705100" y="134556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152400</xdr:rowOff>
    </xdr:from>
    <xdr:to>
      <xdr:col>2</xdr:col>
      <xdr:colOff>659598</xdr:colOff>
      <xdr:row>68</xdr:row>
      <xdr:rowOff>266700</xdr:rowOff>
    </xdr:to>
    <xdr:sp macro="" textlink="">
      <xdr:nvSpPr>
        <xdr:cNvPr id="377859" name="Text Box 3" hidden="1">
          <a:extLst>
            <a:ext uri="{FF2B5EF4-FFF2-40B4-BE49-F238E27FC236}">
              <a16:creationId xmlns:a16="http://schemas.microsoft.com/office/drawing/2014/main" id="{790B31AA-73EA-0FED-B469-127E1441C301}"/>
            </a:ext>
          </a:extLst>
        </xdr:cNvPr>
        <xdr:cNvSpPr txBox="1">
          <a:spLocks noChangeArrowheads="1"/>
        </xdr:cNvSpPr>
      </xdr:nvSpPr>
      <xdr:spPr bwMode="auto">
        <a:xfrm>
          <a:off x="2705100" y="136334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68</xdr:row>
      <xdr:rowOff>266700</xdr:rowOff>
    </xdr:from>
    <xdr:to>
      <xdr:col>2</xdr:col>
      <xdr:colOff>659598</xdr:colOff>
      <xdr:row>69</xdr:row>
      <xdr:rowOff>0</xdr:rowOff>
    </xdr:to>
    <xdr:sp macro="" textlink="">
      <xdr:nvSpPr>
        <xdr:cNvPr id="377858" name="Text Box 2" hidden="1">
          <a:extLst>
            <a:ext uri="{FF2B5EF4-FFF2-40B4-BE49-F238E27FC236}">
              <a16:creationId xmlns:a16="http://schemas.microsoft.com/office/drawing/2014/main" id="{B5A23781-FBD8-CF43-CD97-16D60463F32D}"/>
            </a:ext>
          </a:extLst>
        </xdr:cNvPr>
        <xdr:cNvSpPr txBox="1">
          <a:spLocks noChangeArrowheads="1"/>
        </xdr:cNvSpPr>
      </xdr:nvSpPr>
      <xdr:spPr bwMode="auto">
        <a:xfrm>
          <a:off x="2705100" y="13747750"/>
          <a:ext cx="132080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1856887</xdr:colOff>
      <xdr:row>69</xdr:row>
      <xdr:rowOff>0</xdr:rowOff>
    </xdr:from>
    <xdr:to>
      <xdr:col>2</xdr:col>
      <xdr:colOff>659598</xdr:colOff>
      <xdr:row>69</xdr:row>
      <xdr:rowOff>76200</xdr:rowOff>
    </xdr:to>
    <xdr:sp macro="" textlink="">
      <xdr:nvSpPr>
        <xdr:cNvPr id="377857" name="Text Box 1" hidden="1">
          <a:extLst>
            <a:ext uri="{FF2B5EF4-FFF2-40B4-BE49-F238E27FC236}">
              <a16:creationId xmlns:a16="http://schemas.microsoft.com/office/drawing/2014/main" id="{0AAF2612-B8CA-EFA0-3514-D7A7EA8827C8}"/>
            </a:ext>
          </a:extLst>
        </xdr:cNvPr>
        <xdr:cNvSpPr txBox="1">
          <a:spLocks noChangeArrowheads="1"/>
        </xdr:cNvSpPr>
      </xdr:nvSpPr>
      <xdr:spPr bwMode="auto">
        <a:xfrm>
          <a:off x="2705100" y="13811250"/>
          <a:ext cx="13208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1866900</xdr:colOff>
      <xdr:row>69</xdr:row>
      <xdr:rowOff>0</xdr:rowOff>
    </xdr:from>
    <xdr:to>
      <xdr:col>2</xdr:col>
      <xdr:colOff>781050</xdr:colOff>
      <xdr:row>69</xdr:row>
      <xdr:rowOff>0</xdr:rowOff>
    </xdr:to>
    <xdr:sp macro="" textlink="">
      <xdr:nvSpPr>
        <xdr:cNvPr id="377870" name="Text Box 14" hidden="1">
          <a:extLst>
            <a:ext uri="{FF2B5EF4-FFF2-40B4-BE49-F238E27FC236}">
              <a16:creationId xmlns:a16="http://schemas.microsoft.com/office/drawing/2014/main" id="{F30896FF-F291-0412-DAC6-89DA32F9BBAE}"/>
            </a:ext>
          </a:extLst>
        </xdr:cNvPr>
        <xdr:cNvSpPr txBox="1">
          <a:spLocks noChangeArrowheads="1"/>
        </xdr:cNvSpPr>
      </xdr:nvSpPr>
      <xdr:spPr bwMode="auto">
        <a:xfrm>
          <a:off x="2628900" y="13811250"/>
          <a:ext cx="14986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66</xdr:row>
      <xdr:rowOff>171450</xdr:rowOff>
    </xdr:from>
    <xdr:to>
      <xdr:col>2</xdr:col>
      <xdr:colOff>666750</xdr:colOff>
      <xdr:row>67</xdr:row>
      <xdr:rowOff>152400</xdr:rowOff>
    </xdr:to>
    <xdr:sp macro="" textlink="">
      <xdr:nvSpPr>
        <xdr:cNvPr id="377869" name="Text Box 13" hidden="1">
          <a:extLst>
            <a:ext uri="{FF2B5EF4-FFF2-40B4-BE49-F238E27FC236}">
              <a16:creationId xmlns:a16="http://schemas.microsoft.com/office/drawing/2014/main" id="{3A18388C-5032-DCF9-5FF7-E850FC18CBA0}"/>
            </a:ext>
          </a:extLst>
        </xdr:cNvPr>
        <xdr:cNvSpPr txBox="1">
          <a:spLocks noChangeArrowheads="1"/>
        </xdr:cNvSpPr>
      </xdr:nvSpPr>
      <xdr:spPr bwMode="auto">
        <a:xfrm>
          <a:off x="2609850" y="12992100"/>
          <a:ext cx="140335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133350</xdr:rowOff>
    </xdr:from>
    <xdr:to>
      <xdr:col>2</xdr:col>
      <xdr:colOff>666750</xdr:colOff>
      <xdr:row>67</xdr:row>
      <xdr:rowOff>304800</xdr:rowOff>
    </xdr:to>
    <xdr:sp macro="" textlink="">
      <xdr:nvSpPr>
        <xdr:cNvPr id="377868" name="Text Box 12" hidden="1">
          <a:extLst>
            <a:ext uri="{FF2B5EF4-FFF2-40B4-BE49-F238E27FC236}">
              <a16:creationId xmlns:a16="http://schemas.microsoft.com/office/drawing/2014/main" id="{ED522DCB-A347-241F-9396-D63837A63C4F}"/>
            </a:ext>
          </a:extLst>
        </xdr:cNvPr>
        <xdr:cNvSpPr txBox="1">
          <a:spLocks noChangeArrowheads="1"/>
        </xdr:cNvSpPr>
      </xdr:nvSpPr>
      <xdr:spPr bwMode="auto">
        <a:xfrm>
          <a:off x="2609850" y="13284200"/>
          <a:ext cx="140335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304800</xdr:rowOff>
    </xdr:from>
    <xdr:to>
      <xdr:col>2</xdr:col>
      <xdr:colOff>666750</xdr:colOff>
      <xdr:row>68</xdr:row>
      <xdr:rowOff>152400</xdr:rowOff>
    </xdr:to>
    <xdr:sp macro="" textlink="">
      <xdr:nvSpPr>
        <xdr:cNvPr id="377867" name="Text Box 11" hidden="1">
          <a:extLst>
            <a:ext uri="{FF2B5EF4-FFF2-40B4-BE49-F238E27FC236}">
              <a16:creationId xmlns:a16="http://schemas.microsoft.com/office/drawing/2014/main" id="{E854FBB5-12C1-1524-C268-C22930F0AFF7}"/>
            </a:ext>
          </a:extLst>
        </xdr:cNvPr>
        <xdr:cNvSpPr txBox="1">
          <a:spLocks noChangeArrowheads="1"/>
        </xdr:cNvSpPr>
      </xdr:nvSpPr>
      <xdr:spPr bwMode="auto">
        <a:xfrm>
          <a:off x="2609850" y="13455650"/>
          <a:ext cx="140335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152400</xdr:rowOff>
    </xdr:from>
    <xdr:to>
      <xdr:col>2</xdr:col>
      <xdr:colOff>666750</xdr:colOff>
      <xdr:row>68</xdr:row>
      <xdr:rowOff>266700</xdr:rowOff>
    </xdr:to>
    <xdr:sp macro="" textlink="">
      <xdr:nvSpPr>
        <xdr:cNvPr id="377866" name="Text Box 10" hidden="1">
          <a:extLst>
            <a:ext uri="{FF2B5EF4-FFF2-40B4-BE49-F238E27FC236}">
              <a16:creationId xmlns:a16="http://schemas.microsoft.com/office/drawing/2014/main" id="{2D13C46A-DDCB-9A36-369D-652A85896E8E}"/>
            </a:ext>
          </a:extLst>
        </xdr:cNvPr>
        <xdr:cNvSpPr txBox="1">
          <a:spLocks noChangeArrowheads="1"/>
        </xdr:cNvSpPr>
      </xdr:nvSpPr>
      <xdr:spPr bwMode="auto">
        <a:xfrm>
          <a:off x="2609850" y="13633450"/>
          <a:ext cx="140335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266700</xdr:rowOff>
    </xdr:from>
    <xdr:to>
      <xdr:col>2</xdr:col>
      <xdr:colOff>666750</xdr:colOff>
      <xdr:row>69</xdr:row>
      <xdr:rowOff>0</xdr:rowOff>
    </xdr:to>
    <xdr:sp macro="" textlink="">
      <xdr:nvSpPr>
        <xdr:cNvPr id="377865" name="Text Box 9" hidden="1">
          <a:extLst>
            <a:ext uri="{FF2B5EF4-FFF2-40B4-BE49-F238E27FC236}">
              <a16:creationId xmlns:a16="http://schemas.microsoft.com/office/drawing/2014/main" id="{67665116-3AFD-E42D-108B-2A211B45D05C}"/>
            </a:ext>
          </a:extLst>
        </xdr:cNvPr>
        <xdr:cNvSpPr txBox="1">
          <a:spLocks noChangeArrowheads="1"/>
        </xdr:cNvSpPr>
      </xdr:nvSpPr>
      <xdr:spPr bwMode="auto">
        <a:xfrm>
          <a:off x="2609850" y="13747750"/>
          <a:ext cx="140335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67</xdr:row>
      <xdr:rowOff>234950</xdr:rowOff>
    </xdr:from>
    <xdr:to>
      <xdr:col>3</xdr:col>
      <xdr:colOff>552450</xdr:colOff>
      <xdr:row>67</xdr:row>
      <xdr:rowOff>311150</xdr:rowOff>
    </xdr:to>
    <xdr:sp macro="" textlink="">
      <xdr:nvSpPr>
        <xdr:cNvPr id="377864" name="Text Box 8" hidden="1">
          <a:extLst>
            <a:ext uri="{FF2B5EF4-FFF2-40B4-BE49-F238E27FC236}">
              <a16:creationId xmlns:a16="http://schemas.microsoft.com/office/drawing/2014/main" id="{E8AA7E18-0905-3AF1-831D-6353F99AA0FA}"/>
            </a:ext>
          </a:extLst>
        </xdr:cNvPr>
        <xdr:cNvSpPr txBox="1">
          <a:spLocks noChangeArrowheads="1"/>
        </xdr:cNvSpPr>
      </xdr:nvSpPr>
      <xdr:spPr bwMode="auto">
        <a:xfrm>
          <a:off x="3486150" y="13385800"/>
          <a:ext cx="13335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0" name="Text Box 1036" hidden="1">
          <a:extLst>
            <a:ext uri="{FF2B5EF4-FFF2-40B4-BE49-F238E27FC236}">
              <a16:creationId xmlns:a16="http://schemas.microsoft.com/office/drawing/2014/main" id="{1C36C1B8-F3DF-169E-BA15-AD4C2B526D8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9" name="Text Box 1035" hidden="1">
          <a:extLst>
            <a:ext uri="{FF2B5EF4-FFF2-40B4-BE49-F238E27FC236}">
              <a16:creationId xmlns:a16="http://schemas.microsoft.com/office/drawing/2014/main" id="{766BA7DA-4D42-68EA-F587-4A7342F2B889}"/>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2" name="Text Box 1038" hidden="1">
          <a:extLst>
            <a:ext uri="{FF2B5EF4-FFF2-40B4-BE49-F238E27FC236}">
              <a16:creationId xmlns:a16="http://schemas.microsoft.com/office/drawing/2014/main" id="{B7CDD08B-CC77-B79F-7931-335715BD8E5D}"/>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1" name="Text Box 1037" hidden="1">
          <a:extLst>
            <a:ext uri="{FF2B5EF4-FFF2-40B4-BE49-F238E27FC236}">
              <a16:creationId xmlns:a16="http://schemas.microsoft.com/office/drawing/2014/main" id="{F0A6E6B7-0585-8C8E-01F7-58F3913BF4E2}"/>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4" name="Text Box 1040" hidden="1">
          <a:extLst>
            <a:ext uri="{FF2B5EF4-FFF2-40B4-BE49-F238E27FC236}">
              <a16:creationId xmlns:a16="http://schemas.microsoft.com/office/drawing/2014/main" id="{D3821C2D-E8DD-46B9-DF8C-D7198118A24A}"/>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3" name="Text Box 1039" hidden="1">
          <a:extLst>
            <a:ext uri="{FF2B5EF4-FFF2-40B4-BE49-F238E27FC236}">
              <a16:creationId xmlns:a16="http://schemas.microsoft.com/office/drawing/2014/main" id="{D9FA63BE-B6EE-5004-7A5D-45CD499B1EAE}"/>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6" name="Text Box 1042" hidden="1">
          <a:extLst>
            <a:ext uri="{FF2B5EF4-FFF2-40B4-BE49-F238E27FC236}">
              <a16:creationId xmlns:a16="http://schemas.microsoft.com/office/drawing/2014/main" id="{465D0989-67C3-4139-994B-D400ABF9200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5" name="Text Box 1041" hidden="1">
          <a:extLst>
            <a:ext uri="{FF2B5EF4-FFF2-40B4-BE49-F238E27FC236}">
              <a16:creationId xmlns:a16="http://schemas.microsoft.com/office/drawing/2014/main" id="{65278B84-78B6-3D71-B550-C472EB512DFF}"/>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8" name="Text Box 1044" hidden="1">
          <a:extLst>
            <a:ext uri="{FF2B5EF4-FFF2-40B4-BE49-F238E27FC236}">
              <a16:creationId xmlns:a16="http://schemas.microsoft.com/office/drawing/2014/main" id="{A24BB6F6-39E5-A521-2931-B22B9B6B68BC}"/>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7" name="Text Box 1043" hidden="1">
          <a:extLst>
            <a:ext uri="{FF2B5EF4-FFF2-40B4-BE49-F238E27FC236}">
              <a16:creationId xmlns:a16="http://schemas.microsoft.com/office/drawing/2014/main" id="{C53E6372-B1A6-6445-3FF2-69043B7E5166}"/>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9" name="Text Box 7" hidden="1">
          <a:extLst>
            <a:ext uri="{FF2B5EF4-FFF2-40B4-BE49-F238E27FC236}">
              <a16:creationId xmlns:a16="http://schemas.microsoft.com/office/drawing/2014/main" id="{499FF774-5AD6-E2A2-DB40-451A714D453C}"/>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0" name="Text Box 8" hidden="1">
          <a:extLst>
            <a:ext uri="{FF2B5EF4-FFF2-40B4-BE49-F238E27FC236}">
              <a16:creationId xmlns:a16="http://schemas.microsoft.com/office/drawing/2014/main" id="{EDD9F085-E023-1505-5386-B008BBDC00A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1" name="Text Box 9" hidden="1">
          <a:extLst>
            <a:ext uri="{FF2B5EF4-FFF2-40B4-BE49-F238E27FC236}">
              <a16:creationId xmlns:a16="http://schemas.microsoft.com/office/drawing/2014/main" id="{D2975039-EEF4-3238-EFE1-79EA89F6B9AA}"/>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2" name="Text Box 10" hidden="1">
          <a:extLst>
            <a:ext uri="{FF2B5EF4-FFF2-40B4-BE49-F238E27FC236}">
              <a16:creationId xmlns:a16="http://schemas.microsoft.com/office/drawing/2014/main" id="{C65F7316-C5A6-317C-70A4-0324540324D1}"/>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8" name="Text Box 12" hidden="1">
          <a:extLst>
            <a:ext uri="{FF2B5EF4-FFF2-40B4-BE49-F238E27FC236}">
              <a16:creationId xmlns:a16="http://schemas.microsoft.com/office/drawing/2014/main" id="{095A442C-BA11-AC6C-F46F-78F33930A46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7" name="Text Box 11" hidden="1">
          <a:extLst>
            <a:ext uri="{FF2B5EF4-FFF2-40B4-BE49-F238E27FC236}">
              <a16:creationId xmlns:a16="http://schemas.microsoft.com/office/drawing/2014/main" id="{4314E2A1-B48B-B637-E4F5-6F9205D35308}"/>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0" name="Text Box 14" hidden="1">
          <a:extLst>
            <a:ext uri="{FF2B5EF4-FFF2-40B4-BE49-F238E27FC236}">
              <a16:creationId xmlns:a16="http://schemas.microsoft.com/office/drawing/2014/main" id="{48CFB6BB-31FA-2F32-ED4E-18F4705376D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9" name="Text Box 13" hidden="1">
          <a:extLst>
            <a:ext uri="{FF2B5EF4-FFF2-40B4-BE49-F238E27FC236}">
              <a16:creationId xmlns:a16="http://schemas.microsoft.com/office/drawing/2014/main" id="{64CDE9C2-C09F-C3CB-D38B-B4043EA0950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2" name="Text Box 16" hidden="1">
          <a:extLst>
            <a:ext uri="{FF2B5EF4-FFF2-40B4-BE49-F238E27FC236}">
              <a16:creationId xmlns:a16="http://schemas.microsoft.com/office/drawing/2014/main" id="{67455551-0025-C321-5FFF-72D6F384350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1" name="Text Box 15" hidden="1">
          <a:extLst>
            <a:ext uri="{FF2B5EF4-FFF2-40B4-BE49-F238E27FC236}">
              <a16:creationId xmlns:a16="http://schemas.microsoft.com/office/drawing/2014/main" id="{B140FA9D-B96F-C6A9-120C-3BA90F3CA92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4" name="Text Box 18" hidden="1">
          <a:extLst>
            <a:ext uri="{FF2B5EF4-FFF2-40B4-BE49-F238E27FC236}">
              <a16:creationId xmlns:a16="http://schemas.microsoft.com/office/drawing/2014/main" id="{456729A0-ACE8-2F55-3075-0E7FF69E3B9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3" name="Text Box 17" hidden="1">
          <a:extLst>
            <a:ext uri="{FF2B5EF4-FFF2-40B4-BE49-F238E27FC236}">
              <a16:creationId xmlns:a16="http://schemas.microsoft.com/office/drawing/2014/main" id="{9FF179F9-3B01-D70C-F2BD-85CBD6B94DA2}"/>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6" name="Text Box 1036" hidden="1">
          <a:extLst>
            <a:ext uri="{FF2B5EF4-FFF2-40B4-BE49-F238E27FC236}">
              <a16:creationId xmlns:a16="http://schemas.microsoft.com/office/drawing/2014/main" id="{24294775-D474-CEE8-A57A-50E74D00ABDB}"/>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7" name="Text Box 1037" hidden="1">
          <a:extLst>
            <a:ext uri="{FF2B5EF4-FFF2-40B4-BE49-F238E27FC236}">
              <a16:creationId xmlns:a16="http://schemas.microsoft.com/office/drawing/2014/main" id="{0656B50A-EBC3-3E72-1BDC-6FAAB860E72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8" name="Text Box 1038" hidden="1">
          <a:extLst>
            <a:ext uri="{FF2B5EF4-FFF2-40B4-BE49-F238E27FC236}">
              <a16:creationId xmlns:a16="http://schemas.microsoft.com/office/drawing/2014/main" id="{188F2022-0CE8-E518-D776-3FB95A4B8CA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9" name="Text Box 3" hidden="1">
          <a:extLst>
            <a:ext uri="{FF2B5EF4-FFF2-40B4-BE49-F238E27FC236}">
              <a16:creationId xmlns:a16="http://schemas.microsoft.com/office/drawing/2014/main" id="{0A3C7845-E7BC-22C2-D747-C570D983E1C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49212</xdr:rowOff>
    </xdr:from>
    <xdr:to>
      <xdr:col>24</xdr:col>
      <xdr:colOff>647700</xdr:colOff>
      <xdr:row>42</xdr:row>
      <xdr:rowOff>107156</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49212</xdr:rowOff>
    </xdr:from>
    <xdr:to>
      <xdr:col>24</xdr:col>
      <xdr:colOff>647700</xdr:colOff>
      <xdr:row>42</xdr:row>
      <xdr:rowOff>107156</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1" name="Text Box 33" hidden="1">
          <a:extLst>
            <a:ext uri="{FF2B5EF4-FFF2-40B4-BE49-F238E27FC236}">
              <a16:creationId xmlns:a16="http://schemas.microsoft.com/office/drawing/2014/main" id="{88312548-429C-A981-9CA2-19713AB2DDBA}"/>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0" name="Text Box 32" hidden="1">
          <a:extLst>
            <a:ext uri="{FF2B5EF4-FFF2-40B4-BE49-F238E27FC236}">
              <a16:creationId xmlns:a16="http://schemas.microsoft.com/office/drawing/2014/main" id="{01263EB2-BA87-4A3B-0532-F581A5DF8896}"/>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9" name="Text Box 31" hidden="1">
          <a:extLst>
            <a:ext uri="{FF2B5EF4-FFF2-40B4-BE49-F238E27FC236}">
              <a16:creationId xmlns:a16="http://schemas.microsoft.com/office/drawing/2014/main" id="{6D11F9A7-3657-CE56-1CD3-B33A4F307EE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4" name="Text Box 36" hidden="1">
          <a:extLst>
            <a:ext uri="{FF2B5EF4-FFF2-40B4-BE49-F238E27FC236}">
              <a16:creationId xmlns:a16="http://schemas.microsoft.com/office/drawing/2014/main" id="{ED52A00F-218C-E805-D707-9A856AA2A55A}"/>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3" name="Text Box 35" hidden="1">
          <a:extLst>
            <a:ext uri="{FF2B5EF4-FFF2-40B4-BE49-F238E27FC236}">
              <a16:creationId xmlns:a16="http://schemas.microsoft.com/office/drawing/2014/main" id="{67046F62-50DC-0F77-7A03-2F3F2C78BFE6}"/>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602" name="Text Box 34" hidden="1">
          <a:extLst>
            <a:ext uri="{FF2B5EF4-FFF2-40B4-BE49-F238E27FC236}">
              <a16:creationId xmlns:a16="http://schemas.microsoft.com/office/drawing/2014/main" id="{60592406-9086-C0DF-68D9-DBDB274D3049}"/>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596" name="Text Box 4" hidden="1">
          <a:extLst>
            <a:ext uri="{FF2B5EF4-FFF2-40B4-BE49-F238E27FC236}">
              <a16:creationId xmlns:a16="http://schemas.microsoft.com/office/drawing/2014/main" id="{E7675201-16B7-63DD-F4CE-08CF996AD7C5}"/>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595" name="Text Box 3" hidden="1">
          <a:extLst>
            <a:ext uri="{FF2B5EF4-FFF2-40B4-BE49-F238E27FC236}">
              <a16:creationId xmlns:a16="http://schemas.microsoft.com/office/drawing/2014/main" id="{198C5B28-EF1A-B1D3-B99F-F6C2F4CECEDD}"/>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4" name="Text Box 2" hidden="1">
          <a:extLst>
            <a:ext uri="{FF2B5EF4-FFF2-40B4-BE49-F238E27FC236}">
              <a16:creationId xmlns:a16="http://schemas.microsoft.com/office/drawing/2014/main" id="{1D767B8B-EB61-43AA-78FA-4BE53DB1171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593" name="Text Box 1" hidden="1">
          <a:extLst>
            <a:ext uri="{FF2B5EF4-FFF2-40B4-BE49-F238E27FC236}">
              <a16:creationId xmlns:a16="http://schemas.microsoft.com/office/drawing/2014/main" id="{8DDB04C9-B491-5A70-49A5-E10380B0E439}"/>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600" name="Text Box 1032" hidden="1">
          <a:extLst>
            <a:ext uri="{FF2B5EF4-FFF2-40B4-BE49-F238E27FC236}">
              <a16:creationId xmlns:a16="http://schemas.microsoft.com/office/drawing/2014/main" id="{8275E840-0006-5A2F-82ED-5CA75CB4728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599" name="Text Box 1031" hidden="1">
          <a:extLst>
            <a:ext uri="{FF2B5EF4-FFF2-40B4-BE49-F238E27FC236}">
              <a16:creationId xmlns:a16="http://schemas.microsoft.com/office/drawing/2014/main" id="{A528208D-6284-5EFE-E308-CB88115F6EB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8" name="Text Box 1030" hidden="1">
          <a:extLst>
            <a:ext uri="{FF2B5EF4-FFF2-40B4-BE49-F238E27FC236}">
              <a16:creationId xmlns:a16="http://schemas.microsoft.com/office/drawing/2014/main" id="{2B434C1C-FDCD-ABD8-FF8A-A942C742795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597" name="Text Box 1029" hidden="1">
          <a:extLst>
            <a:ext uri="{FF2B5EF4-FFF2-40B4-BE49-F238E27FC236}">
              <a16:creationId xmlns:a16="http://schemas.microsoft.com/office/drawing/2014/main" id="{25B05381-C6DE-EF4B-6212-340C91EA9FB7}"/>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5" name="Text Box 33" hidden="1">
          <a:extLst>
            <a:ext uri="{FF2B5EF4-FFF2-40B4-BE49-F238E27FC236}">
              <a16:creationId xmlns:a16="http://schemas.microsoft.com/office/drawing/2014/main" id="{F9BE8887-F913-D64F-D87E-C7F29667F35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4" name="Text Box 32" hidden="1">
          <a:extLst>
            <a:ext uri="{FF2B5EF4-FFF2-40B4-BE49-F238E27FC236}">
              <a16:creationId xmlns:a16="http://schemas.microsoft.com/office/drawing/2014/main" id="{6CDC001F-D4B0-0754-3937-EA6157627ABE}"/>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3" name="Text Box 31" hidden="1">
          <a:extLst>
            <a:ext uri="{FF2B5EF4-FFF2-40B4-BE49-F238E27FC236}">
              <a16:creationId xmlns:a16="http://schemas.microsoft.com/office/drawing/2014/main" id="{BD933650-D5E0-851A-D04C-927BE8ADDF04}"/>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8" name="Text Box 36" hidden="1">
          <a:extLst>
            <a:ext uri="{FF2B5EF4-FFF2-40B4-BE49-F238E27FC236}">
              <a16:creationId xmlns:a16="http://schemas.microsoft.com/office/drawing/2014/main" id="{49F94550-3F84-A444-5C8D-17D251CD67B8}"/>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7" name="Text Box 35" hidden="1">
          <a:extLst>
            <a:ext uri="{FF2B5EF4-FFF2-40B4-BE49-F238E27FC236}">
              <a16:creationId xmlns:a16="http://schemas.microsoft.com/office/drawing/2014/main" id="{756766B7-A8AF-6998-E843-E6D9B4FD8B07}"/>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6" name="Text Box 34" hidden="1">
          <a:extLst>
            <a:ext uri="{FF2B5EF4-FFF2-40B4-BE49-F238E27FC236}">
              <a16:creationId xmlns:a16="http://schemas.microsoft.com/office/drawing/2014/main" id="{5E19E3C3-4BC1-6E12-4F16-623BEDE665A6}"/>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19" name="Text Box 3" hidden="1">
          <a:extLst>
            <a:ext uri="{FF2B5EF4-FFF2-40B4-BE49-F238E27FC236}">
              <a16:creationId xmlns:a16="http://schemas.microsoft.com/office/drawing/2014/main" id="{494D44C9-09D3-94DA-9D63-D1E6E7BC3F8C}"/>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18" name="Text Box 2" hidden="1">
          <a:extLst>
            <a:ext uri="{FF2B5EF4-FFF2-40B4-BE49-F238E27FC236}">
              <a16:creationId xmlns:a16="http://schemas.microsoft.com/office/drawing/2014/main" id="{EB50F576-DD5F-E050-92CA-59A38219AF19}"/>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17" name="Text Box 1" hidden="1">
          <a:extLst>
            <a:ext uri="{FF2B5EF4-FFF2-40B4-BE49-F238E27FC236}">
              <a16:creationId xmlns:a16="http://schemas.microsoft.com/office/drawing/2014/main" id="{678C5C1E-2FAC-65F7-8BA6-2519E8E17411}"/>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22" name="Text Box 6" hidden="1">
          <a:extLst>
            <a:ext uri="{FF2B5EF4-FFF2-40B4-BE49-F238E27FC236}">
              <a16:creationId xmlns:a16="http://schemas.microsoft.com/office/drawing/2014/main" id="{BF592FAB-0639-5E9F-67E4-87AAAC8C6830}"/>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21" name="Text Box 5" hidden="1">
          <a:extLst>
            <a:ext uri="{FF2B5EF4-FFF2-40B4-BE49-F238E27FC236}">
              <a16:creationId xmlns:a16="http://schemas.microsoft.com/office/drawing/2014/main" id="{15034452-50A3-59FA-6FEE-397A0F4BBAD5}"/>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20" name="Text Box 4" hidden="1">
          <a:extLst>
            <a:ext uri="{FF2B5EF4-FFF2-40B4-BE49-F238E27FC236}">
              <a16:creationId xmlns:a16="http://schemas.microsoft.com/office/drawing/2014/main" id="{51EF1B46-C1CD-8994-0449-A18F984A1368}"/>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20443</xdr:rowOff>
    </xdr:from>
    <xdr:to>
      <xdr:col>5</xdr:col>
      <xdr:colOff>0</xdr:colOff>
      <xdr:row>72</xdr:row>
      <xdr:rowOff>175387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44340</xdr:rowOff>
    </xdr:from>
    <xdr:to>
      <xdr:col>4</xdr:col>
      <xdr:colOff>800100</xdr:colOff>
      <xdr:row>67</xdr:row>
      <xdr:rowOff>114198</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20443</xdr:rowOff>
    </xdr:from>
    <xdr:to>
      <xdr:col>5</xdr:col>
      <xdr:colOff>0</xdr:colOff>
      <xdr:row>72</xdr:row>
      <xdr:rowOff>175387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182373</xdr:rowOff>
    </xdr:from>
    <xdr:to>
      <xdr:col>20</xdr:col>
      <xdr:colOff>381000</xdr:colOff>
      <xdr:row>106</xdr:row>
      <xdr:rowOff>15899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122142</xdr:rowOff>
    </xdr:from>
    <xdr:to>
      <xdr:col>20</xdr:col>
      <xdr:colOff>381000</xdr:colOff>
      <xdr:row>104</xdr:row>
      <xdr:rowOff>111116</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122142</xdr:rowOff>
    </xdr:from>
    <xdr:to>
      <xdr:col>20</xdr:col>
      <xdr:colOff>381000</xdr:colOff>
      <xdr:row>104</xdr:row>
      <xdr:rowOff>111116</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122142</xdr:rowOff>
    </xdr:from>
    <xdr:to>
      <xdr:col>20</xdr:col>
      <xdr:colOff>381000</xdr:colOff>
      <xdr:row>104</xdr:row>
      <xdr:rowOff>111116</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122142</xdr:rowOff>
    </xdr:from>
    <xdr:to>
      <xdr:col>20</xdr:col>
      <xdr:colOff>381000</xdr:colOff>
      <xdr:row>104</xdr:row>
      <xdr:rowOff>111116</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174690</xdr:rowOff>
    </xdr:from>
    <xdr:to>
      <xdr:col>5</xdr:col>
      <xdr:colOff>0</xdr:colOff>
      <xdr:row>59</xdr:row>
      <xdr:rowOff>16016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174690</xdr:rowOff>
    </xdr:from>
    <xdr:to>
      <xdr:col>5</xdr:col>
      <xdr:colOff>0</xdr:colOff>
      <xdr:row>59</xdr:row>
      <xdr:rowOff>16016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6964</xdr:rowOff>
    </xdr:from>
    <xdr:to>
      <xdr:col>20</xdr:col>
      <xdr:colOff>381000</xdr:colOff>
      <xdr:row>105</xdr:row>
      <xdr:rowOff>120674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40835</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115413</xdr:rowOff>
    </xdr:from>
    <xdr:to>
      <xdr:col>4</xdr:col>
      <xdr:colOff>800100</xdr:colOff>
      <xdr:row>75</xdr:row>
      <xdr:rowOff>137003</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40835</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114890</xdr:rowOff>
    </xdr:from>
    <xdr:to>
      <xdr:col>20</xdr:col>
      <xdr:colOff>381000</xdr:colOff>
      <xdr:row>138</xdr:row>
      <xdr:rowOff>93430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22420</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4</xdr:col>
      <xdr:colOff>800100</xdr:colOff>
      <xdr:row>75</xdr:row>
      <xdr:rowOff>100173</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22420</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115789</xdr:rowOff>
    </xdr:from>
    <xdr:to>
      <xdr:col>20</xdr:col>
      <xdr:colOff>381000</xdr:colOff>
      <xdr:row>138</xdr:row>
      <xdr:rowOff>68665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137648</xdr:rowOff>
    </xdr:from>
    <xdr:to>
      <xdr:col>21</xdr:col>
      <xdr:colOff>438150</xdr:colOff>
      <xdr:row>45</xdr:row>
      <xdr:rowOff>89256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57622</xdr:rowOff>
    </xdr:from>
    <xdr:to>
      <xdr:col>13</xdr:col>
      <xdr:colOff>19050</xdr:colOff>
      <xdr:row>103</xdr:row>
      <xdr:rowOff>31252</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78278</xdr:rowOff>
    </xdr:from>
    <xdr:to>
      <xdr:col>5</xdr:col>
      <xdr:colOff>0</xdr:colOff>
      <xdr:row>70</xdr:row>
      <xdr:rowOff>6236</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78278</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78278</xdr:rowOff>
    </xdr:from>
    <xdr:to>
      <xdr:col>5</xdr:col>
      <xdr:colOff>0</xdr:colOff>
      <xdr:row>70</xdr:row>
      <xdr:rowOff>6236</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338494</xdr:rowOff>
    </xdr:from>
    <xdr:to>
      <xdr:col>21</xdr:col>
      <xdr:colOff>438150</xdr:colOff>
      <xdr:row>33</xdr:row>
      <xdr:rowOff>168326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547661</xdr:rowOff>
    </xdr:from>
    <xdr:to>
      <xdr:col>13</xdr:col>
      <xdr:colOff>19050</xdr:colOff>
      <xdr:row>89</xdr:row>
      <xdr:rowOff>79625</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163460</xdr:rowOff>
    </xdr:from>
    <xdr:to>
      <xdr:col>21</xdr:col>
      <xdr:colOff>266700</xdr:colOff>
      <xdr:row>114</xdr:row>
      <xdr:rowOff>132664</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149276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149276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47849</xdr:rowOff>
    </xdr:from>
    <xdr:to>
      <xdr:col>13</xdr:col>
      <xdr:colOff>0</xdr:colOff>
      <xdr:row>85</xdr:row>
      <xdr:rowOff>13904</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154835</xdr:rowOff>
    </xdr:from>
    <xdr:to>
      <xdr:col>4</xdr:col>
      <xdr:colOff>114300</xdr:colOff>
      <xdr:row>85</xdr:row>
      <xdr:rowOff>409629</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91227</xdr:rowOff>
    </xdr:from>
    <xdr:to>
      <xdr:col>4</xdr:col>
      <xdr:colOff>114300</xdr:colOff>
      <xdr:row>101</xdr:row>
      <xdr:rowOff>143071</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57561</xdr:rowOff>
    </xdr:from>
    <xdr:to>
      <xdr:col>20</xdr:col>
      <xdr:colOff>381000</xdr:colOff>
      <xdr:row>127</xdr:row>
      <xdr:rowOff>59016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47849</xdr:rowOff>
    </xdr:from>
    <xdr:to>
      <xdr:col>13</xdr:col>
      <xdr:colOff>0</xdr:colOff>
      <xdr:row>85</xdr:row>
      <xdr:rowOff>13904</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57561</xdr:rowOff>
    </xdr:from>
    <xdr:to>
      <xdr:col>21</xdr:col>
      <xdr:colOff>266700</xdr:colOff>
      <xdr:row>123</xdr:row>
      <xdr:rowOff>86824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154835</xdr:rowOff>
    </xdr:from>
    <xdr:to>
      <xdr:col>4</xdr:col>
      <xdr:colOff>114300</xdr:colOff>
      <xdr:row>85</xdr:row>
      <xdr:rowOff>409629</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57561</xdr:rowOff>
    </xdr:from>
    <xdr:to>
      <xdr:col>4</xdr:col>
      <xdr:colOff>114300</xdr:colOff>
      <xdr:row>121</xdr:row>
      <xdr:rowOff>87234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4</xdr:col>
      <xdr:colOff>800100</xdr:colOff>
      <xdr:row>85</xdr:row>
      <xdr:rowOff>177800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153</xdr:row>
      <xdr:rowOff>164307</xdr:rowOff>
    </xdr:from>
    <xdr:to>
      <xdr:col>20</xdr:col>
      <xdr:colOff>381000</xdr:colOff>
      <xdr:row>166</xdr:row>
      <xdr:rowOff>8732</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36511</xdr:rowOff>
    </xdr:from>
    <xdr:to>
      <xdr:col>21</xdr:col>
      <xdr:colOff>419100</xdr:colOff>
      <xdr:row>55</xdr:row>
      <xdr:rowOff>165893</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120</xdr:row>
      <xdr:rowOff>174627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153</xdr:row>
      <xdr:rowOff>164307</xdr:rowOff>
    </xdr:from>
    <xdr:to>
      <xdr:col>21</xdr:col>
      <xdr:colOff>266700</xdr:colOff>
      <xdr:row>162</xdr:row>
      <xdr:rowOff>145257</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115888</xdr:rowOff>
    </xdr:from>
    <xdr:to>
      <xdr:col>4</xdr:col>
      <xdr:colOff>114300</xdr:colOff>
      <xdr:row>121</xdr:row>
      <xdr:rowOff>22227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153</xdr:row>
      <xdr:rowOff>164307</xdr:rowOff>
    </xdr:from>
    <xdr:to>
      <xdr:col>4</xdr:col>
      <xdr:colOff>114300</xdr:colOff>
      <xdr:row>160</xdr:row>
      <xdr:rowOff>11907</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77789</xdr:rowOff>
    </xdr:from>
    <xdr:to>
      <xdr:col>4</xdr:col>
      <xdr:colOff>266700</xdr:colOff>
      <xdr:row>135</xdr:row>
      <xdr:rowOff>61120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4</xdr:col>
      <xdr:colOff>800100</xdr:colOff>
      <xdr:row>85</xdr:row>
      <xdr:rowOff>177800</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153</xdr:row>
      <xdr:rowOff>164307</xdr:rowOff>
    </xdr:from>
    <xdr:to>
      <xdr:col>20</xdr:col>
      <xdr:colOff>381000</xdr:colOff>
      <xdr:row>166</xdr:row>
      <xdr:rowOff>8732</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36511</xdr:rowOff>
    </xdr:from>
    <xdr:to>
      <xdr:col>21</xdr:col>
      <xdr:colOff>419100</xdr:colOff>
      <xdr:row>55</xdr:row>
      <xdr:rowOff>165893</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120</xdr:row>
      <xdr:rowOff>174627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153</xdr:row>
      <xdr:rowOff>164307</xdr:rowOff>
    </xdr:from>
    <xdr:to>
      <xdr:col>21</xdr:col>
      <xdr:colOff>266700</xdr:colOff>
      <xdr:row>162</xdr:row>
      <xdr:rowOff>145257</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115888</xdr:rowOff>
    </xdr:from>
    <xdr:to>
      <xdr:col>4</xdr:col>
      <xdr:colOff>114300</xdr:colOff>
      <xdr:row>121</xdr:row>
      <xdr:rowOff>22227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153</xdr:row>
      <xdr:rowOff>164307</xdr:rowOff>
    </xdr:from>
    <xdr:to>
      <xdr:col>4</xdr:col>
      <xdr:colOff>114300</xdr:colOff>
      <xdr:row>160</xdr:row>
      <xdr:rowOff>11907</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77789</xdr:rowOff>
    </xdr:from>
    <xdr:to>
      <xdr:col>4</xdr:col>
      <xdr:colOff>266700</xdr:colOff>
      <xdr:row>135</xdr:row>
      <xdr:rowOff>61120</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34131</xdr:rowOff>
    </xdr:from>
    <xdr:to>
      <xdr:col>5</xdr:col>
      <xdr:colOff>0</xdr:colOff>
      <xdr:row>60</xdr:row>
      <xdr:rowOff>141287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34131</xdr:rowOff>
    </xdr:from>
    <xdr:to>
      <xdr:col>4</xdr:col>
      <xdr:colOff>800100</xdr:colOff>
      <xdr:row>52</xdr:row>
      <xdr:rowOff>75406</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34131</xdr:rowOff>
    </xdr:from>
    <xdr:to>
      <xdr:col>5</xdr:col>
      <xdr:colOff>0</xdr:colOff>
      <xdr:row>60</xdr:row>
      <xdr:rowOff>141287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11907</xdr:rowOff>
    </xdr:from>
    <xdr:to>
      <xdr:col>20</xdr:col>
      <xdr:colOff>381000</xdr:colOff>
      <xdr:row>120</xdr:row>
      <xdr:rowOff>70644</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116681</xdr:rowOff>
    </xdr:from>
    <xdr:to>
      <xdr:col>13</xdr:col>
      <xdr:colOff>0</xdr:colOff>
      <xdr:row>85</xdr:row>
      <xdr:rowOff>569119</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123825</xdr:colOff>
      <xdr:row>85</xdr:row>
      <xdr:rowOff>540544</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123825</xdr:colOff>
      <xdr:row>114</xdr:row>
      <xdr:rowOff>51594</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70644</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51594</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70644</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51594</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70644</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51594</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120650</xdr:colOff>
      <xdr:row>131</xdr:row>
      <xdr:rowOff>180975</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114300</xdr:colOff>
      <xdr:row>131</xdr:row>
      <xdr:rowOff>180975</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114300</xdr:colOff>
      <xdr:row>131</xdr:row>
      <xdr:rowOff>180975</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114300</xdr:colOff>
      <xdr:row>131</xdr:row>
      <xdr:rowOff>180975</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69" name="Text Box 153" hidden="1">
          <a:extLst>
            <a:ext uri="{FF2B5EF4-FFF2-40B4-BE49-F238E27FC236}">
              <a16:creationId xmlns:a16="http://schemas.microsoft.com/office/drawing/2014/main" id="{7518290A-428A-B862-1861-2EDB7716583E}"/>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68" name="Text Box 152" hidden="1">
          <a:extLst>
            <a:ext uri="{FF2B5EF4-FFF2-40B4-BE49-F238E27FC236}">
              <a16:creationId xmlns:a16="http://schemas.microsoft.com/office/drawing/2014/main" id="{27A82099-68E3-4F9D-24A3-1512D1402DE7}"/>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67" name="Text Box 151" hidden="1">
          <a:extLst>
            <a:ext uri="{FF2B5EF4-FFF2-40B4-BE49-F238E27FC236}">
              <a16:creationId xmlns:a16="http://schemas.microsoft.com/office/drawing/2014/main" id="{82B353D8-ABD8-7CEA-0520-93BA20E5978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66" name="Text Box 150" hidden="1">
          <a:extLst>
            <a:ext uri="{FF2B5EF4-FFF2-40B4-BE49-F238E27FC236}">
              <a16:creationId xmlns:a16="http://schemas.microsoft.com/office/drawing/2014/main" id="{F563850A-C065-9576-292B-66F6D7C1DBD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65" name="Text Box 149" hidden="1">
          <a:extLst>
            <a:ext uri="{FF2B5EF4-FFF2-40B4-BE49-F238E27FC236}">
              <a16:creationId xmlns:a16="http://schemas.microsoft.com/office/drawing/2014/main" id="{EEE5FC09-C273-40AE-5206-30D52F8DE6D6}"/>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64" name="Text Box 148" hidden="1">
          <a:extLst>
            <a:ext uri="{FF2B5EF4-FFF2-40B4-BE49-F238E27FC236}">
              <a16:creationId xmlns:a16="http://schemas.microsoft.com/office/drawing/2014/main" id="{96E92800-471B-9349-5F48-242AF630218F}"/>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63" name="Text Box 147" hidden="1">
          <a:extLst>
            <a:ext uri="{FF2B5EF4-FFF2-40B4-BE49-F238E27FC236}">
              <a16:creationId xmlns:a16="http://schemas.microsoft.com/office/drawing/2014/main" id="{7F6961C9-DD79-2FB0-828E-DC764B6C12CB}"/>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62" name="Text Box 146" hidden="1">
          <a:extLst>
            <a:ext uri="{FF2B5EF4-FFF2-40B4-BE49-F238E27FC236}">
              <a16:creationId xmlns:a16="http://schemas.microsoft.com/office/drawing/2014/main" id="{9E015E55-7905-2153-D134-F412469DDD96}"/>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61" name="Text Box 145" hidden="1">
          <a:extLst>
            <a:ext uri="{FF2B5EF4-FFF2-40B4-BE49-F238E27FC236}">
              <a16:creationId xmlns:a16="http://schemas.microsoft.com/office/drawing/2014/main" id="{3119575F-B057-6EEC-EFC9-EED4A16D5B20}"/>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60" name="Text Box 144" hidden="1">
          <a:extLst>
            <a:ext uri="{FF2B5EF4-FFF2-40B4-BE49-F238E27FC236}">
              <a16:creationId xmlns:a16="http://schemas.microsoft.com/office/drawing/2014/main" id="{A372555F-0BB0-1559-7A60-02CBC3846005}"/>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59" name="Text Box 143" hidden="1">
          <a:extLst>
            <a:ext uri="{FF2B5EF4-FFF2-40B4-BE49-F238E27FC236}">
              <a16:creationId xmlns:a16="http://schemas.microsoft.com/office/drawing/2014/main" id="{CDADDE96-8AC4-E6C3-F69C-0397D1F8E01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58" name="Text Box 142" hidden="1">
          <a:extLst>
            <a:ext uri="{FF2B5EF4-FFF2-40B4-BE49-F238E27FC236}">
              <a16:creationId xmlns:a16="http://schemas.microsoft.com/office/drawing/2014/main" id="{95ACBA79-5934-80CB-DD3B-23715F759DE2}"/>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57" name="Text Box 141" hidden="1">
          <a:extLst>
            <a:ext uri="{FF2B5EF4-FFF2-40B4-BE49-F238E27FC236}">
              <a16:creationId xmlns:a16="http://schemas.microsoft.com/office/drawing/2014/main" id="{230DB0AB-B3A3-CF70-7F50-C4FDB739D13B}"/>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56" name="Text Box 140" hidden="1">
          <a:extLst>
            <a:ext uri="{FF2B5EF4-FFF2-40B4-BE49-F238E27FC236}">
              <a16:creationId xmlns:a16="http://schemas.microsoft.com/office/drawing/2014/main" id="{923410E2-1C2E-1A5D-9A92-C98DE7B697C0}"/>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55" name="Text Box 139" hidden="1">
          <a:extLst>
            <a:ext uri="{FF2B5EF4-FFF2-40B4-BE49-F238E27FC236}">
              <a16:creationId xmlns:a16="http://schemas.microsoft.com/office/drawing/2014/main" id="{3498E4C4-A206-7A6D-80AB-8A2E0B430BCD}"/>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84" name="Text Box 168" hidden="1">
          <a:extLst>
            <a:ext uri="{FF2B5EF4-FFF2-40B4-BE49-F238E27FC236}">
              <a16:creationId xmlns:a16="http://schemas.microsoft.com/office/drawing/2014/main" id="{7A370B5C-43DF-F7AB-BAC6-17D3CD68B40B}"/>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83" name="Text Box 167" hidden="1">
          <a:extLst>
            <a:ext uri="{FF2B5EF4-FFF2-40B4-BE49-F238E27FC236}">
              <a16:creationId xmlns:a16="http://schemas.microsoft.com/office/drawing/2014/main" id="{34708B24-AD7E-F709-60CC-F61C8A23F597}"/>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82" name="Text Box 166" hidden="1">
          <a:extLst>
            <a:ext uri="{FF2B5EF4-FFF2-40B4-BE49-F238E27FC236}">
              <a16:creationId xmlns:a16="http://schemas.microsoft.com/office/drawing/2014/main" id="{20C3FB36-BC46-C565-F0D2-D13F35D5ED04}"/>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81" name="Text Box 165" hidden="1">
          <a:extLst>
            <a:ext uri="{FF2B5EF4-FFF2-40B4-BE49-F238E27FC236}">
              <a16:creationId xmlns:a16="http://schemas.microsoft.com/office/drawing/2014/main" id="{F9D48B00-2152-A6C6-1D77-6B85F467BFD6}"/>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80" name="Text Box 164" hidden="1">
          <a:extLst>
            <a:ext uri="{FF2B5EF4-FFF2-40B4-BE49-F238E27FC236}">
              <a16:creationId xmlns:a16="http://schemas.microsoft.com/office/drawing/2014/main" id="{5D38FE64-E917-F6BF-9E0F-FCBE86274336}"/>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79" name="Text Box 163" hidden="1">
          <a:extLst>
            <a:ext uri="{FF2B5EF4-FFF2-40B4-BE49-F238E27FC236}">
              <a16:creationId xmlns:a16="http://schemas.microsoft.com/office/drawing/2014/main" id="{2FAA91F5-ED59-4096-8D1D-73CC7DEAAE8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78" name="Text Box 162" hidden="1">
          <a:extLst>
            <a:ext uri="{FF2B5EF4-FFF2-40B4-BE49-F238E27FC236}">
              <a16:creationId xmlns:a16="http://schemas.microsoft.com/office/drawing/2014/main" id="{CCE5F00B-4B7A-F936-97C9-2833147D0D1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77" name="Text Box 161" hidden="1">
          <a:extLst>
            <a:ext uri="{FF2B5EF4-FFF2-40B4-BE49-F238E27FC236}">
              <a16:creationId xmlns:a16="http://schemas.microsoft.com/office/drawing/2014/main" id="{70FF53C4-B124-4AFE-2CB7-2384CBBA9F2F}"/>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76" name="Text Box 160" hidden="1">
          <a:extLst>
            <a:ext uri="{FF2B5EF4-FFF2-40B4-BE49-F238E27FC236}">
              <a16:creationId xmlns:a16="http://schemas.microsoft.com/office/drawing/2014/main" id="{35EDC5B9-3827-45C3-CE12-340BD374EA17}"/>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75" name="Text Box 159" hidden="1">
          <a:extLst>
            <a:ext uri="{FF2B5EF4-FFF2-40B4-BE49-F238E27FC236}">
              <a16:creationId xmlns:a16="http://schemas.microsoft.com/office/drawing/2014/main" id="{F27F2F71-A945-A3EA-7008-734498624E0E}"/>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74" name="Text Box 158" hidden="1">
          <a:extLst>
            <a:ext uri="{FF2B5EF4-FFF2-40B4-BE49-F238E27FC236}">
              <a16:creationId xmlns:a16="http://schemas.microsoft.com/office/drawing/2014/main" id="{CE9093E4-6D68-BA70-F6D5-432945133A1E}"/>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73" name="Text Box 157" hidden="1">
          <a:extLst>
            <a:ext uri="{FF2B5EF4-FFF2-40B4-BE49-F238E27FC236}">
              <a16:creationId xmlns:a16="http://schemas.microsoft.com/office/drawing/2014/main" id="{2EA99159-7ACC-66E1-3B26-6EB1B9A4C004}"/>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72" name="Text Box 156" hidden="1">
          <a:extLst>
            <a:ext uri="{FF2B5EF4-FFF2-40B4-BE49-F238E27FC236}">
              <a16:creationId xmlns:a16="http://schemas.microsoft.com/office/drawing/2014/main" id="{058CE598-B2D5-5C9E-5B21-BE485D16DDBB}"/>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71" name="Text Box 155" hidden="1">
          <a:extLst>
            <a:ext uri="{FF2B5EF4-FFF2-40B4-BE49-F238E27FC236}">
              <a16:creationId xmlns:a16="http://schemas.microsoft.com/office/drawing/2014/main" id="{9A14E063-DD4D-F081-023A-F17C1879D7F5}"/>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70" name="Text Box 154" hidden="1">
          <a:extLst>
            <a:ext uri="{FF2B5EF4-FFF2-40B4-BE49-F238E27FC236}">
              <a16:creationId xmlns:a16="http://schemas.microsoft.com/office/drawing/2014/main" id="{A2B9DF4D-DC3A-8B82-73C4-3E330A52CA9C}"/>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8653" name="Text Box 13" hidden="1">
          <a:extLst>
            <a:ext uri="{FF2B5EF4-FFF2-40B4-BE49-F238E27FC236}">
              <a16:creationId xmlns:a16="http://schemas.microsoft.com/office/drawing/2014/main" id="{9210C73A-719F-0ECB-54F9-638A3AF919B5}"/>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8652" name="Text Box 12" hidden="1">
          <a:extLst>
            <a:ext uri="{FF2B5EF4-FFF2-40B4-BE49-F238E27FC236}">
              <a16:creationId xmlns:a16="http://schemas.microsoft.com/office/drawing/2014/main" id="{A636CA8A-9358-8ABC-1C11-E02958860085}"/>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8651" name="Text Box 11" hidden="1">
          <a:extLst>
            <a:ext uri="{FF2B5EF4-FFF2-40B4-BE49-F238E27FC236}">
              <a16:creationId xmlns:a16="http://schemas.microsoft.com/office/drawing/2014/main" id="{A4D6EF07-0A8B-33F9-A7E4-4FAC96D2C11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8650" name="Text Box 10" hidden="1">
          <a:extLst>
            <a:ext uri="{FF2B5EF4-FFF2-40B4-BE49-F238E27FC236}">
              <a16:creationId xmlns:a16="http://schemas.microsoft.com/office/drawing/2014/main" id="{D29D7BE1-1C22-4E91-20EA-9A7F401CAE17}"/>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8649" name="Text Box 9" hidden="1">
          <a:extLst>
            <a:ext uri="{FF2B5EF4-FFF2-40B4-BE49-F238E27FC236}">
              <a16:creationId xmlns:a16="http://schemas.microsoft.com/office/drawing/2014/main" id="{CD05286D-918D-76CE-C011-AAB644CB65CB}"/>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8648" name="Text Box 8" hidden="1">
          <a:extLst>
            <a:ext uri="{FF2B5EF4-FFF2-40B4-BE49-F238E27FC236}">
              <a16:creationId xmlns:a16="http://schemas.microsoft.com/office/drawing/2014/main" id="{B79B4BD4-10D2-8636-C0C8-6D83019F772E}"/>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8647" name="Text Box 7" hidden="1">
          <a:extLst>
            <a:ext uri="{FF2B5EF4-FFF2-40B4-BE49-F238E27FC236}">
              <a16:creationId xmlns:a16="http://schemas.microsoft.com/office/drawing/2014/main" id="{3E7C12C4-40E4-C6CA-A46E-36C38E8C3191}"/>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46" name="Text Box 6" hidden="1">
          <a:extLst>
            <a:ext uri="{FF2B5EF4-FFF2-40B4-BE49-F238E27FC236}">
              <a16:creationId xmlns:a16="http://schemas.microsoft.com/office/drawing/2014/main" id="{87B66337-D5BE-1FF1-5C60-C8974367C308}"/>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8645" name="Text Box 5" hidden="1">
          <a:extLst>
            <a:ext uri="{FF2B5EF4-FFF2-40B4-BE49-F238E27FC236}">
              <a16:creationId xmlns:a16="http://schemas.microsoft.com/office/drawing/2014/main" id="{C96720AA-F8CB-E6C6-8141-EA24E3264F8B}"/>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8644" name="Text Box 4" hidden="1">
          <a:extLst>
            <a:ext uri="{FF2B5EF4-FFF2-40B4-BE49-F238E27FC236}">
              <a16:creationId xmlns:a16="http://schemas.microsoft.com/office/drawing/2014/main" id="{8891DB4C-7030-11DE-0DA0-EE8A100F927E}"/>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43" name="Text Box 3" hidden="1">
          <a:extLst>
            <a:ext uri="{FF2B5EF4-FFF2-40B4-BE49-F238E27FC236}">
              <a16:creationId xmlns:a16="http://schemas.microsoft.com/office/drawing/2014/main" id="{A6DFC123-670D-54D8-002C-BFF35B1B9ABD}"/>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8642" name="Text Box 2" hidden="1">
          <a:extLst>
            <a:ext uri="{FF2B5EF4-FFF2-40B4-BE49-F238E27FC236}">
              <a16:creationId xmlns:a16="http://schemas.microsoft.com/office/drawing/2014/main" id="{476936D4-B467-D8F0-A907-32FC21AA56DC}"/>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8641" name="Text Box 1" hidden="1">
          <a:extLst>
            <a:ext uri="{FF2B5EF4-FFF2-40B4-BE49-F238E27FC236}">
              <a16:creationId xmlns:a16="http://schemas.microsoft.com/office/drawing/2014/main" id="{B309A852-AD17-7B5A-22F2-470D13218EF2}"/>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63500</xdr:rowOff>
    </xdr:from>
    <xdr:to>
      <xdr:col>5</xdr:col>
      <xdr:colOff>0</xdr:colOff>
      <xdr:row>61</xdr:row>
      <xdr:rowOff>82550</xdr:rowOff>
    </xdr:to>
    <xdr:sp macro="" textlink="">
      <xdr:nvSpPr>
        <xdr:cNvPr id="368666" name="Text Box 26" hidden="1">
          <a:extLst>
            <a:ext uri="{FF2B5EF4-FFF2-40B4-BE49-F238E27FC236}">
              <a16:creationId xmlns:a16="http://schemas.microsoft.com/office/drawing/2014/main" id="{A429C64F-43A3-CF63-20B7-C769FD7E8326}"/>
            </a:ext>
          </a:extLst>
        </xdr:cNvPr>
        <xdr:cNvSpPr txBox="1">
          <a:spLocks noChangeArrowheads="1"/>
        </xdr:cNvSpPr>
      </xdr:nvSpPr>
      <xdr:spPr bwMode="auto">
        <a:xfrm>
          <a:off x="4222750" y="1276985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63500</xdr:rowOff>
    </xdr:from>
    <xdr:to>
      <xdr:col>4</xdr:col>
      <xdr:colOff>800100</xdr:colOff>
      <xdr:row>53</xdr:row>
      <xdr:rowOff>120650</xdr:rowOff>
    </xdr:to>
    <xdr:sp macro="" textlink="">
      <xdr:nvSpPr>
        <xdr:cNvPr id="368665" name="Text Box 25" hidden="1">
          <a:extLst>
            <a:ext uri="{FF2B5EF4-FFF2-40B4-BE49-F238E27FC236}">
              <a16:creationId xmlns:a16="http://schemas.microsoft.com/office/drawing/2014/main" id="{A7BECBA2-ED20-B870-AE60-FB9E36269B4A}"/>
            </a:ext>
          </a:extLst>
        </xdr:cNvPr>
        <xdr:cNvSpPr txBox="1">
          <a:spLocks noChangeArrowheads="1"/>
        </xdr:cNvSpPr>
      </xdr:nvSpPr>
      <xdr:spPr bwMode="auto">
        <a:xfrm>
          <a:off x="4222750" y="127698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63500</xdr:rowOff>
    </xdr:from>
    <xdr:to>
      <xdr:col>5</xdr:col>
      <xdr:colOff>0</xdr:colOff>
      <xdr:row>61</xdr:row>
      <xdr:rowOff>82550</xdr:rowOff>
    </xdr:to>
    <xdr:sp macro="" textlink="">
      <xdr:nvSpPr>
        <xdr:cNvPr id="368664" name="Text Box 24" hidden="1">
          <a:extLst>
            <a:ext uri="{FF2B5EF4-FFF2-40B4-BE49-F238E27FC236}">
              <a16:creationId xmlns:a16="http://schemas.microsoft.com/office/drawing/2014/main" id="{ECA4AF8E-C47F-20DD-D35E-58471E5A28E8}"/>
            </a:ext>
          </a:extLst>
        </xdr:cNvPr>
        <xdr:cNvSpPr txBox="1">
          <a:spLocks noChangeArrowheads="1"/>
        </xdr:cNvSpPr>
      </xdr:nvSpPr>
      <xdr:spPr bwMode="auto">
        <a:xfrm>
          <a:off x="4222750" y="1276985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120650</xdr:rowOff>
    </xdr:from>
    <xdr:to>
      <xdr:col>20</xdr:col>
      <xdr:colOff>381000</xdr:colOff>
      <xdr:row>128</xdr:row>
      <xdr:rowOff>38100</xdr:rowOff>
    </xdr:to>
    <xdr:sp macro="" textlink="">
      <xdr:nvSpPr>
        <xdr:cNvPr id="368663" name="Text Box 23" hidden="1">
          <a:extLst>
            <a:ext uri="{FF2B5EF4-FFF2-40B4-BE49-F238E27FC236}">
              <a16:creationId xmlns:a16="http://schemas.microsoft.com/office/drawing/2014/main" id="{9F811880-A18E-8EE6-648A-93CEE6D602F1}"/>
            </a:ext>
          </a:extLst>
        </xdr:cNvPr>
        <xdr:cNvSpPr txBox="1">
          <a:spLocks noChangeArrowheads="1"/>
        </xdr:cNvSpPr>
      </xdr:nvSpPr>
      <xdr:spPr bwMode="auto">
        <a:xfrm>
          <a:off x="13157200" y="24701500"/>
          <a:ext cx="1454150" cy="341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13</xdr:row>
      <xdr:rowOff>292100</xdr:rowOff>
    </xdr:from>
    <xdr:to>
      <xdr:col>21</xdr:col>
      <xdr:colOff>419100</xdr:colOff>
      <xdr:row>19</xdr:row>
      <xdr:rowOff>76200</xdr:rowOff>
    </xdr:to>
    <xdr:sp macro="" textlink="">
      <xdr:nvSpPr>
        <xdr:cNvPr id="368662" name="Text Box 22" hidden="1">
          <a:extLst>
            <a:ext uri="{FF2B5EF4-FFF2-40B4-BE49-F238E27FC236}">
              <a16:creationId xmlns:a16="http://schemas.microsoft.com/office/drawing/2014/main" id="{9B107893-CFC1-617C-8DC5-F970242E4071}"/>
            </a:ext>
          </a:extLst>
        </xdr:cNvPr>
        <xdr:cNvSpPr txBox="1">
          <a:spLocks noChangeArrowheads="1"/>
        </xdr:cNvSpPr>
      </xdr:nvSpPr>
      <xdr:spPr bwMode="auto">
        <a:xfrm>
          <a:off x="13773150" y="3352800"/>
          <a:ext cx="1447800" cy="173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73</xdr:row>
      <xdr:rowOff>133350</xdr:rowOff>
    </xdr:from>
    <xdr:to>
      <xdr:col>13</xdr:col>
      <xdr:colOff>0</xdr:colOff>
      <xdr:row>84</xdr:row>
      <xdr:rowOff>273050</xdr:rowOff>
    </xdr:to>
    <xdr:sp macro="" textlink="">
      <xdr:nvSpPr>
        <xdr:cNvPr id="368661" name="Text Box 21" hidden="1">
          <a:extLst>
            <a:ext uri="{FF2B5EF4-FFF2-40B4-BE49-F238E27FC236}">
              <a16:creationId xmlns:a16="http://schemas.microsoft.com/office/drawing/2014/main" id="{27874BD8-4867-3F6F-AD38-FCCC098B38A2}"/>
            </a:ext>
          </a:extLst>
        </xdr:cNvPr>
        <xdr:cNvSpPr txBox="1">
          <a:spLocks noChangeArrowheads="1"/>
        </xdr:cNvSpPr>
      </xdr:nvSpPr>
      <xdr:spPr bwMode="auto">
        <a:xfrm>
          <a:off x="8737600" y="1699260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120650</xdr:rowOff>
    </xdr:from>
    <xdr:to>
      <xdr:col>21</xdr:col>
      <xdr:colOff>266700</xdr:colOff>
      <xdr:row>124</xdr:row>
      <xdr:rowOff>82550</xdr:rowOff>
    </xdr:to>
    <xdr:sp macro="" textlink="">
      <xdr:nvSpPr>
        <xdr:cNvPr id="368660" name="Text Box 20" hidden="1">
          <a:extLst>
            <a:ext uri="{FF2B5EF4-FFF2-40B4-BE49-F238E27FC236}">
              <a16:creationId xmlns:a16="http://schemas.microsoft.com/office/drawing/2014/main" id="{D93145DC-3B96-1734-1593-DEAE6F758EC5}"/>
            </a:ext>
          </a:extLst>
        </xdr:cNvPr>
        <xdr:cNvSpPr txBox="1">
          <a:spLocks noChangeArrowheads="1"/>
        </xdr:cNvSpPr>
      </xdr:nvSpPr>
      <xdr:spPr bwMode="auto">
        <a:xfrm>
          <a:off x="13735050" y="247015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59" name="Text Box 19" hidden="1">
          <a:extLst>
            <a:ext uri="{FF2B5EF4-FFF2-40B4-BE49-F238E27FC236}">
              <a16:creationId xmlns:a16="http://schemas.microsoft.com/office/drawing/2014/main" id="{93A6B5A2-1B3E-B229-5DDD-28F4AB85EFE2}"/>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38100</xdr:rowOff>
    </xdr:from>
    <xdr:to>
      <xdr:col>4</xdr:col>
      <xdr:colOff>120650</xdr:colOff>
      <xdr:row>85</xdr:row>
      <xdr:rowOff>25400</xdr:rowOff>
    </xdr:to>
    <xdr:sp macro="" textlink="">
      <xdr:nvSpPr>
        <xdr:cNvPr id="368658" name="Text Box 18" hidden="1">
          <a:extLst>
            <a:ext uri="{FF2B5EF4-FFF2-40B4-BE49-F238E27FC236}">
              <a16:creationId xmlns:a16="http://schemas.microsoft.com/office/drawing/2014/main" id="{EDF4785D-B984-1386-334A-8A4577EFB1BD}"/>
            </a:ext>
          </a:extLst>
        </xdr:cNvPr>
        <xdr:cNvSpPr txBox="1">
          <a:spLocks noChangeArrowheads="1"/>
        </xdr:cNvSpPr>
      </xdr:nvSpPr>
      <xdr:spPr bwMode="auto">
        <a:xfrm>
          <a:off x="3492500" y="18243550"/>
          <a:ext cx="1327150" cy="127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120650</xdr:rowOff>
    </xdr:from>
    <xdr:to>
      <xdr:col>4</xdr:col>
      <xdr:colOff>120650</xdr:colOff>
      <xdr:row>121</xdr:row>
      <xdr:rowOff>139700</xdr:rowOff>
    </xdr:to>
    <xdr:sp macro="" textlink="">
      <xdr:nvSpPr>
        <xdr:cNvPr id="368657" name="Text Box 17" hidden="1">
          <a:extLst>
            <a:ext uri="{FF2B5EF4-FFF2-40B4-BE49-F238E27FC236}">
              <a16:creationId xmlns:a16="http://schemas.microsoft.com/office/drawing/2014/main" id="{A0365691-CD98-DDB3-771B-CB99BB4CEB25}"/>
            </a:ext>
          </a:extLst>
        </xdr:cNvPr>
        <xdr:cNvSpPr txBox="1">
          <a:spLocks noChangeArrowheads="1"/>
        </xdr:cNvSpPr>
      </xdr:nvSpPr>
      <xdr:spPr bwMode="auto">
        <a:xfrm>
          <a:off x="3492500" y="24701500"/>
          <a:ext cx="132715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56" name="Text Box 16" hidden="1">
          <a:extLst>
            <a:ext uri="{FF2B5EF4-FFF2-40B4-BE49-F238E27FC236}">
              <a16:creationId xmlns:a16="http://schemas.microsoft.com/office/drawing/2014/main" id="{CA524A2F-2CB2-D044-8DC3-BD57D218D8CA}"/>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85</xdr:row>
      <xdr:rowOff>158750</xdr:rowOff>
    </xdr:from>
    <xdr:to>
      <xdr:col>33</xdr:col>
      <xdr:colOff>1409700</xdr:colOff>
      <xdr:row>85</xdr:row>
      <xdr:rowOff>171450</xdr:rowOff>
    </xdr:to>
    <xdr:sp macro="" textlink="">
      <xdr:nvSpPr>
        <xdr:cNvPr id="368655" name="Text Box 15" hidden="1">
          <a:extLst>
            <a:ext uri="{FF2B5EF4-FFF2-40B4-BE49-F238E27FC236}">
              <a16:creationId xmlns:a16="http://schemas.microsoft.com/office/drawing/2014/main" id="{87302598-7E11-27E0-90FE-06A2270F4A87}"/>
            </a:ext>
          </a:extLst>
        </xdr:cNvPr>
        <xdr:cNvSpPr txBox="1">
          <a:spLocks noChangeArrowheads="1"/>
        </xdr:cNvSpPr>
      </xdr:nvSpPr>
      <xdr:spPr bwMode="auto">
        <a:xfrm>
          <a:off x="21755100" y="19646900"/>
          <a:ext cx="1314450" cy="12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84</xdr:row>
      <xdr:rowOff>158750</xdr:rowOff>
    </xdr:from>
    <xdr:to>
      <xdr:col>33</xdr:col>
      <xdr:colOff>1409700</xdr:colOff>
      <xdr:row>85</xdr:row>
      <xdr:rowOff>0</xdr:rowOff>
    </xdr:to>
    <xdr:sp macro="" textlink="">
      <xdr:nvSpPr>
        <xdr:cNvPr id="368654" name="Text Box 14" hidden="1">
          <a:extLst>
            <a:ext uri="{FF2B5EF4-FFF2-40B4-BE49-F238E27FC236}">
              <a16:creationId xmlns:a16="http://schemas.microsoft.com/office/drawing/2014/main" id="{0639E59D-9913-AC8B-1DA1-CA0D878E8479}"/>
            </a:ext>
          </a:extLst>
        </xdr:cNvPr>
        <xdr:cNvSpPr txBox="1">
          <a:spLocks noChangeArrowheads="1"/>
        </xdr:cNvSpPr>
      </xdr:nvSpPr>
      <xdr:spPr bwMode="auto">
        <a:xfrm>
          <a:off x="21755100" y="19284950"/>
          <a:ext cx="1314450" cy="203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66573</xdr:rowOff>
    </xdr:from>
    <xdr:to>
      <xdr:col>38</xdr:col>
      <xdr:colOff>418991</xdr:colOff>
      <xdr:row>61</xdr:row>
      <xdr:rowOff>66573</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66573</xdr:rowOff>
    </xdr:from>
    <xdr:to>
      <xdr:col>38</xdr:col>
      <xdr:colOff>304691</xdr:colOff>
      <xdr:row>63</xdr:row>
      <xdr:rowOff>140014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29464</xdr:rowOff>
    </xdr:from>
    <xdr:to>
      <xdr:col>38</xdr:col>
      <xdr:colOff>304691</xdr:colOff>
      <xdr:row>74</xdr:row>
      <xdr:rowOff>29464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29464</xdr:rowOff>
    </xdr:from>
    <xdr:to>
      <xdr:col>38</xdr:col>
      <xdr:colOff>380891</xdr:colOff>
      <xdr:row>74</xdr:row>
      <xdr:rowOff>29464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66573</xdr:rowOff>
    </xdr:from>
    <xdr:to>
      <xdr:col>38</xdr:col>
      <xdr:colOff>380891</xdr:colOff>
      <xdr:row>61</xdr:row>
      <xdr:rowOff>66573</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418991</xdr:colOff>
      <xdr:row>46</xdr:row>
      <xdr:rowOff>140449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140449</xdr:rowOff>
    </xdr:from>
    <xdr:to>
      <xdr:col>38</xdr:col>
      <xdr:colOff>304691</xdr:colOff>
      <xdr:row>52</xdr:row>
      <xdr:rowOff>25493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219998</xdr:rowOff>
    </xdr:from>
    <xdr:to>
      <xdr:col>38</xdr:col>
      <xdr:colOff>304691</xdr:colOff>
      <xdr:row>53</xdr:row>
      <xdr:rowOff>219998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53</xdr:row>
      <xdr:rowOff>219998</xdr:rowOff>
    </xdr:from>
    <xdr:to>
      <xdr:col>38</xdr:col>
      <xdr:colOff>380891</xdr:colOff>
      <xdr:row>53</xdr:row>
      <xdr:rowOff>219998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380891</xdr:colOff>
      <xdr:row>46</xdr:row>
      <xdr:rowOff>140449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392723</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49</xdr:row>
      <xdr:rowOff>102849</xdr:rowOff>
    </xdr:from>
    <xdr:to>
      <xdr:col>38</xdr:col>
      <xdr:colOff>352718</xdr:colOff>
      <xdr:row>50</xdr:row>
      <xdr:rowOff>12406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352718</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12634</xdr:rowOff>
    </xdr:from>
    <xdr:to>
      <xdr:col>42</xdr:col>
      <xdr:colOff>74454</xdr:colOff>
      <xdr:row>62</xdr:row>
      <xdr:rowOff>125131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64429</xdr:rowOff>
    </xdr:from>
    <xdr:to>
      <xdr:col>41</xdr:col>
      <xdr:colOff>677069</xdr:colOff>
      <xdr:row>85</xdr:row>
      <xdr:rowOff>85768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236918</xdr:rowOff>
    </xdr:from>
    <xdr:to>
      <xdr:col>38</xdr:col>
      <xdr:colOff>234950</xdr:colOff>
      <xdr:row>58</xdr:row>
      <xdr:rowOff>196957</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236918</xdr:rowOff>
    </xdr:from>
    <xdr:to>
      <xdr:col>38</xdr:col>
      <xdr:colOff>311150</xdr:colOff>
      <xdr:row>58</xdr:row>
      <xdr:rowOff>196957</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140150</xdr:rowOff>
    </xdr:from>
    <xdr:to>
      <xdr:col>41</xdr:col>
      <xdr:colOff>677069</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48040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145691</xdr:rowOff>
    </xdr:from>
    <xdr:to>
      <xdr:col>42</xdr:col>
      <xdr:colOff>67469</xdr:colOff>
      <xdr:row>82</xdr:row>
      <xdr:rowOff>103341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114</xdr:row>
      <xdr:rowOff>28217</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76</xdr:row>
      <xdr:rowOff>141459</xdr:rowOff>
    </xdr:from>
    <xdr:to>
      <xdr:col>38</xdr:col>
      <xdr:colOff>227965</xdr:colOff>
      <xdr:row>78</xdr:row>
      <xdr:rowOff>64074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76</xdr:row>
      <xdr:rowOff>141459</xdr:rowOff>
    </xdr:from>
    <xdr:to>
      <xdr:col>38</xdr:col>
      <xdr:colOff>311150</xdr:colOff>
      <xdr:row>78</xdr:row>
      <xdr:rowOff>64074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91</xdr:row>
      <xdr:rowOff>49367</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123793</xdr:rowOff>
    </xdr:from>
    <xdr:to>
      <xdr:col>20</xdr:col>
      <xdr:colOff>145415</xdr:colOff>
      <xdr:row>59</xdr:row>
      <xdr:rowOff>63905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54876</xdr:rowOff>
    </xdr:from>
    <xdr:to>
      <xdr:col>3</xdr:col>
      <xdr:colOff>304800</xdr:colOff>
      <xdr:row>46</xdr:row>
      <xdr:rowOff>30363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182452</xdr:rowOff>
    </xdr:from>
    <xdr:to>
      <xdr:col>20</xdr:col>
      <xdr:colOff>335915</xdr:colOff>
      <xdr:row>48</xdr:row>
      <xdr:rowOff>28979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155310</xdr:rowOff>
    </xdr:from>
    <xdr:to>
      <xdr:col>42</xdr:col>
      <xdr:colOff>67469</xdr:colOff>
      <xdr:row>83</xdr:row>
      <xdr:rowOff>87420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77</xdr:row>
      <xdr:rowOff>123604</xdr:rowOff>
    </xdr:from>
    <xdr:to>
      <xdr:col>38</xdr:col>
      <xdr:colOff>215900</xdr:colOff>
      <xdr:row>79</xdr:row>
      <xdr:rowOff>9166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77</xdr:row>
      <xdr:rowOff>123604</xdr:rowOff>
    </xdr:from>
    <xdr:to>
      <xdr:col>38</xdr:col>
      <xdr:colOff>320675</xdr:colOff>
      <xdr:row>79</xdr:row>
      <xdr:rowOff>9166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92</xdr:row>
      <xdr:rowOff>66082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48105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26067</xdr:rowOff>
    </xdr:from>
    <xdr:to>
      <xdr:col>3</xdr:col>
      <xdr:colOff>314325</xdr:colOff>
      <xdr:row>45</xdr:row>
      <xdr:rowOff>29940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105303</xdr:rowOff>
    </xdr:from>
    <xdr:to>
      <xdr:col>20</xdr:col>
      <xdr:colOff>333375</xdr:colOff>
      <xdr:row>49</xdr:row>
      <xdr:rowOff>83637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143776</xdr:rowOff>
    </xdr:from>
    <xdr:to>
      <xdr:col>42</xdr:col>
      <xdr:colOff>67469</xdr:colOff>
      <xdr:row>72</xdr:row>
      <xdr:rowOff>64214</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100</xdr:row>
      <xdr:rowOff>161238</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66</xdr:row>
      <xdr:rowOff>30505</xdr:rowOff>
    </xdr:from>
    <xdr:to>
      <xdr:col>38</xdr:col>
      <xdr:colOff>215900</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66</xdr:row>
      <xdr:rowOff>30505</xdr:rowOff>
    </xdr:from>
    <xdr:to>
      <xdr:col>38</xdr:col>
      <xdr:colOff>311150</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78</xdr:row>
      <xdr:rowOff>45958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50159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7619</xdr:rowOff>
    </xdr:from>
    <xdr:to>
      <xdr:col>42</xdr:col>
      <xdr:colOff>67469</xdr:colOff>
      <xdr:row>58</xdr:row>
      <xdr:rowOff>141909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79</xdr:row>
      <xdr:rowOff>84115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58</xdr:row>
      <xdr:rowOff>49293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66227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179645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331821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48821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181501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5" name="Text Box 65" hidden="1">
          <a:extLst>
            <a:ext uri="{FF2B5EF4-FFF2-40B4-BE49-F238E27FC236}">
              <a16:creationId xmlns:a16="http://schemas.microsoft.com/office/drawing/2014/main" id="{BCFF4B25-E5B9-AA5D-5229-68C68656CE8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4" name="Text Box 64" hidden="1">
          <a:extLst>
            <a:ext uri="{FF2B5EF4-FFF2-40B4-BE49-F238E27FC236}">
              <a16:creationId xmlns:a16="http://schemas.microsoft.com/office/drawing/2014/main" id="{F6DF3629-36EC-B614-EFDF-5ADCBC180F59}"/>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3" name="Text Box 63" hidden="1">
          <a:extLst>
            <a:ext uri="{FF2B5EF4-FFF2-40B4-BE49-F238E27FC236}">
              <a16:creationId xmlns:a16="http://schemas.microsoft.com/office/drawing/2014/main" id="{0CD58E68-BB3F-D49F-2387-D288C2A83DBB}"/>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2" name="Text Box 62" hidden="1">
          <a:extLst>
            <a:ext uri="{FF2B5EF4-FFF2-40B4-BE49-F238E27FC236}">
              <a16:creationId xmlns:a16="http://schemas.microsoft.com/office/drawing/2014/main" id="{FA89114C-2202-074B-7EE1-F85ED577DAC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1" name="Text Box 61" hidden="1">
          <a:extLst>
            <a:ext uri="{FF2B5EF4-FFF2-40B4-BE49-F238E27FC236}">
              <a16:creationId xmlns:a16="http://schemas.microsoft.com/office/drawing/2014/main" id="{54E42347-F8C2-6406-C389-6C02F904E4FD}"/>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10" name="Text Box 70" hidden="1">
          <a:extLst>
            <a:ext uri="{FF2B5EF4-FFF2-40B4-BE49-F238E27FC236}">
              <a16:creationId xmlns:a16="http://schemas.microsoft.com/office/drawing/2014/main" id="{620D19D9-8941-59E1-21EB-D469DA596E55}"/>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9" name="Text Box 69" hidden="1">
          <a:extLst>
            <a:ext uri="{FF2B5EF4-FFF2-40B4-BE49-F238E27FC236}">
              <a16:creationId xmlns:a16="http://schemas.microsoft.com/office/drawing/2014/main" id="{E4F97E73-D075-DC68-01AC-D8C07C6B105E}"/>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8" name="Text Box 68" hidden="1">
          <a:extLst>
            <a:ext uri="{FF2B5EF4-FFF2-40B4-BE49-F238E27FC236}">
              <a16:creationId xmlns:a16="http://schemas.microsoft.com/office/drawing/2014/main" id="{6DD5055D-B86F-5DA6-59A7-11BE0FB6E3C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7" name="Text Box 67" hidden="1">
          <a:extLst>
            <a:ext uri="{FF2B5EF4-FFF2-40B4-BE49-F238E27FC236}">
              <a16:creationId xmlns:a16="http://schemas.microsoft.com/office/drawing/2014/main" id="{7B55DFC5-B27A-07CB-E0C3-31745AF1A2D6}"/>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6" name="Text Box 66" hidden="1">
          <a:extLst>
            <a:ext uri="{FF2B5EF4-FFF2-40B4-BE49-F238E27FC236}">
              <a16:creationId xmlns:a16="http://schemas.microsoft.com/office/drawing/2014/main" id="{EE1D9171-9370-117A-5484-661AD4B4CE1E}"/>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69" name="Text Box 5" hidden="1">
          <a:extLst>
            <a:ext uri="{FF2B5EF4-FFF2-40B4-BE49-F238E27FC236}">
              <a16:creationId xmlns:a16="http://schemas.microsoft.com/office/drawing/2014/main" id="{DF34A5F2-FB6C-C7FE-24EF-249D0420052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68" name="Text Box 4" hidden="1">
          <a:extLst>
            <a:ext uri="{FF2B5EF4-FFF2-40B4-BE49-F238E27FC236}">
              <a16:creationId xmlns:a16="http://schemas.microsoft.com/office/drawing/2014/main" id="{C4430639-9E3F-0874-38A2-AC70237CCAA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67" name="Text Box 3" hidden="1">
          <a:extLst>
            <a:ext uri="{FF2B5EF4-FFF2-40B4-BE49-F238E27FC236}">
              <a16:creationId xmlns:a16="http://schemas.microsoft.com/office/drawing/2014/main" id="{FCBAA3EA-1CBE-0631-2898-4BB3BCA8707C}"/>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66" name="Text Box 2" hidden="1">
          <a:extLst>
            <a:ext uri="{FF2B5EF4-FFF2-40B4-BE49-F238E27FC236}">
              <a16:creationId xmlns:a16="http://schemas.microsoft.com/office/drawing/2014/main" id="{9B0B4A0F-2135-AE80-5492-5FA4D2E0BAF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65" name="Text Box 1" hidden="1">
          <a:extLst>
            <a:ext uri="{FF2B5EF4-FFF2-40B4-BE49-F238E27FC236}">
              <a16:creationId xmlns:a16="http://schemas.microsoft.com/office/drawing/2014/main" id="{F57C7DB4-C658-7B53-C185-CAEC2C20ADCF}"/>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74" name="Text Box 10" hidden="1">
          <a:extLst>
            <a:ext uri="{FF2B5EF4-FFF2-40B4-BE49-F238E27FC236}">
              <a16:creationId xmlns:a16="http://schemas.microsoft.com/office/drawing/2014/main" id="{88709EC6-37A5-344A-C262-443DFB6285D1}"/>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73" name="Text Box 9" hidden="1">
          <a:extLst>
            <a:ext uri="{FF2B5EF4-FFF2-40B4-BE49-F238E27FC236}">
              <a16:creationId xmlns:a16="http://schemas.microsoft.com/office/drawing/2014/main" id="{80DC9ADC-D829-E594-92CF-45EF0EA7BC0B}"/>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72" name="Text Box 8" hidden="1">
          <a:extLst>
            <a:ext uri="{FF2B5EF4-FFF2-40B4-BE49-F238E27FC236}">
              <a16:creationId xmlns:a16="http://schemas.microsoft.com/office/drawing/2014/main" id="{B0B3E361-0521-5083-4A3E-876B49598DC1}"/>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71" name="Text Box 7" hidden="1">
          <a:extLst>
            <a:ext uri="{FF2B5EF4-FFF2-40B4-BE49-F238E27FC236}">
              <a16:creationId xmlns:a16="http://schemas.microsoft.com/office/drawing/2014/main" id="{6B03BEDE-9F96-F085-4960-B602E304CADF}"/>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70" name="Text Box 6" hidden="1">
          <a:extLst>
            <a:ext uri="{FF2B5EF4-FFF2-40B4-BE49-F238E27FC236}">
              <a16:creationId xmlns:a16="http://schemas.microsoft.com/office/drawing/2014/main" id="{342BDA0F-5AA2-33A5-D1F5-B80F5A3379C3}"/>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23</xdr:row>
      <xdr:rowOff>273050</xdr:rowOff>
    </xdr:from>
    <xdr:to>
      <xdr:col>3</xdr:col>
      <xdr:colOff>311150</xdr:colOff>
      <xdr:row>26</xdr:row>
      <xdr:rowOff>19050</xdr:rowOff>
    </xdr:to>
    <xdr:sp macro="" textlink="">
      <xdr:nvSpPr>
        <xdr:cNvPr id="369675" name="Text Box 11" hidden="1">
          <a:extLst>
            <a:ext uri="{FF2B5EF4-FFF2-40B4-BE49-F238E27FC236}">
              <a16:creationId xmlns:a16="http://schemas.microsoft.com/office/drawing/2014/main" id="{8078609D-5610-567E-6E52-638FF383D43F}"/>
            </a:ext>
          </a:extLst>
        </xdr:cNvPr>
        <xdr:cNvSpPr txBox="1">
          <a:spLocks noChangeArrowheads="1"/>
        </xdr:cNvSpPr>
      </xdr:nvSpPr>
      <xdr:spPr bwMode="auto">
        <a:xfrm>
          <a:off x="4870450" y="4864100"/>
          <a:ext cx="14287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52" name="Text Box 88" hidden="1">
          <a:extLst>
            <a:ext uri="{FF2B5EF4-FFF2-40B4-BE49-F238E27FC236}">
              <a16:creationId xmlns:a16="http://schemas.microsoft.com/office/drawing/2014/main" id="{B0A9B6C3-AE5B-88AF-B112-5928A353F62F}"/>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1" name="Text Box 87" hidden="1">
          <a:extLst>
            <a:ext uri="{FF2B5EF4-FFF2-40B4-BE49-F238E27FC236}">
              <a16:creationId xmlns:a16="http://schemas.microsoft.com/office/drawing/2014/main" id="{B70FC761-7850-759C-BA8C-73D06BC02CCB}"/>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0" name="Text Box 86" hidden="1">
          <a:extLst>
            <a:ext uri="{FF2B5EF4-FFF2-40B4-BE49-F238E27FC236}">
              <a16:creationId xmlns:a16="http://schemas.microsoft.com/office/drawing/2014/main" id="{758C1C7E-E3BF-0EC8-CBE2-6652325D736E}"/>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9" name="Text Box 85" hidden="1">
          <a:extLst>
            <a:ext uri="{FF2B5EF4-FFF2-40B4-BE49-F238E27FC236}">
              <a16:creationId xmlns:a16="http://schemas.microsoft.com/office/drawing/2014/main" id="{F2A8D452-74BA-364C-64A3-87FDCBCB4789}"/>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8" name="Text Box 84" hidden="1">
          <a:extLst>
            <a:ext uri="{FF2B5EF4-FFF2-40B4-BE49-F238E27FC236}">
              <a16:creationId xmlns:a16="http://schemas.microsoft.com/office/drawing/2014/main" id="{6085404B-CD15-3BA4-CBDB-3343F4FEFDE2}"/>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47" name="Text Box 83" hidden="1">
          <a:extLst>
            <a:ext uri="{FF2B5EF4-FFF2-40B4-BE49-F238E27FC236}">
              <a16:creationId xmlns:a16="http://schemas.microsoft.com/office/drawing/2014/main" id="{95DE8D85-2C81-99CB-09AD-063464DC30C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46" name="Text Box 82" hidden="1">
          <a:extLst>
            <a:ext uri="{FF2B5EF4-FFF2-40B4-BE49-F238E27FC236}">
              <a16:creationId xmlns:a16="http://schemas.microsoft.com/office/drawing/2014/main" id="{6027B397-892C-1F5E-42D6-0241A9EAD06C}"/>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45" name="Text Box 81" hidden="1">
          <a:extLst>
            <a:ext uri="{FF2B5EF4-FFF2-40B4-BE49-F238E27FC236}">
              <a16:creationId xmlns:a16="http://schemas.microsoft.com/office/drawing/2014/main" id="{50A4379F-54DB-66BE-4247-E7916D8C8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60" name="Text Box 96" hidden="1">
          <a:extLst>
            <a:ext uri="{FF2B5EF4-FFF2-40B4-BE49-F238E27FC236}">
              <a16:creationId xmlns:a16="http://schemas.microsoft.com/office/drawing/2014/main" id="{F27B7836-5667-B159-826F-B665F8BEA9CD}"/>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9" name="Text Box 95" hidden="1">
          <a:extLst>
            <a:ext uri="{FF2B5EF4-FFF2-40B4-BE49-F238E27FC236}">
              <a16:creationId xmlns:a16="http://schemas.microsoft.com/office/drawing/2014/main" id="{8D8A77F2-18C2-69EC-4BAD-A680EC1843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8" name="Text Box 94" hidden="1">
          <a:extLst>
            <a:ext uri="{FF2B5EF4-FFF2-40B4-BE49-F238E27FC236}">
              <a16:creationId xmlns:a16="http://schemas.microsoft.com/office/drawing/2014/main" id="{E15E7883-B081-2CB4-B6A0-CDEAB683FF80}"/>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57" name="Text Box 93" hidden="1">
          <a:extLst>
            <a:ext uri="{FF2B5EF4-FFF2-40B4-BE49-F238E27FC236}">
              <a16:creationId xmlns:a16="http://schemas.microsoft.com/office/drawing/2014/main" id="{DC098EFD-A2EA-9BB1-BA85-529EF516EEE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56" name="Text Box 92" hidden="1">
          <a:extLst>
            <a:ext uri="{FF2B5EF4-FFF2-40B4-BE49-F238E27FC236}">
              <a16:creationId xmlns:a16="http://schemas.microsoft.com/office/drawing/2014/main" id="{1DED77ED-B752-8AB9-3B26-9DE35FC1AA6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55" name="Text Box 91" hidden="1">
          <a:extLst>
            <a:ext uri="{FF2B5EF4-FFF2-40B4-BE49-F238E27FC236}">
              <a16:creationId xmlns:a16="http://schemas.microsoft.com/office/drawing/2014/main" id="{D6384912-D69F-692C-AD11-176E5D6CCAE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54" name="Text Box 90" hidden="1">
          <a:extLst>
            <a:ext uri="{FF2B5EF4-FFF2-40B4-BE49-F238E27FC236}">
              <a16:creationId xmlns:a16="http://schemas.microsoft.com/office/drawing/2014/main" id="{BF67050F-90AF-6B13-7007-166A9B05DE6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53" name="Text Box 89" hidden="1">
          <a:extLst>
            <a:ext uri="{FF2B5EF4-FFF2-40B4-BE49-F238E27FC236}">
              <a16:creationId xmlns:a16="http://schemas.microsoft.com/office/drawing/2014/main" id="{6B97E2DE-FD5C-F68F-09AB-1244D4136D5F}"/>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697" name="Text Box 9" hidden="1">
          <a:extLst>
            <a:ext uri="{FF2B5EF4-FFF2-40B4-BE49-F238E27FC236}">
              <a16:creationId xmlns:a16="http://schemas.microsoft.com/office/drawing/2014/main" id="{48FD212B-7865-CFCA-89E7-1969A4FC2E6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696" name="Text Box 8" hidden="1">
          <a:extLst>
            <a:ext uri="{FF2B5EF4-FFF2-40B4-BE49-F238E27FC236}">
              <a16:creationId xmlns:a16="http://schemas.microsoft.com/office/drawing/2014/main" id="{D9FE2A2E-0396-0B31-B649-F1BB1C0FEF3C}"/>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695" name="Text Box 7" hidden="1">
          <a:extLst>
            <a:ext uri="{FF2B5EF4-FFF2-40B4-BE49-F238E27FC236}">
              <a16:creationId xmlns:a16="http://schemas.microsoft.com/office/drawing/2014/main" id="{CD59EE58-A16F-4FF1-6112-63636E1A7D0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694" name="Text Box 6" hidden="1">
          <a:extLst>
            <a:ext uri="{FF2B5EF4-FFF2-40B4-BE49-F238E27FC236}">
              <a16:creationId xmlns:a16="http://schemas.microsoft.com/office/drawing/2014/main" id="{B3F670BA-5154-2389-F20A-E2BB8391850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693" name="Text Box 5" hidden="1">
          <a:extLst>
            <a:ext uri="{FF2B5EF4-FFF2-40B4-BE49-F238E27FC236}">
              <a16:creationId xmlns:a16="http://schemas.microsoft.com/office/drawing/2014/main" id="{9789D907-4E8A-E577-4C25-1DF9A6D3DEFA}"/>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692" name="Text Box 4" hidden="1">
          <a:extLst>
            <a:ext uri="{FF2B5EF4-FFF2-40B4-BE49-F238E27FC236}">
              <a16:creationId xmlns:a16="http://schemas.microsoft.com/office/drawing/2014/main" id="{9BA0AFF1-4F4D-1C72-6FF0-35899AF7382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691" name="Text Box 3" hidden="1">
          <a:extLst>
            <a:ext uri="{FF2B5EF4-FFF2-40B4-BE49-F238E27FC236}">
              <a16:creationId xmlns:a16="http://schemas.microsoft.com/office/drawing/2014/main" id="{6543FD30-8E83-73FA-B4B0-24ED81AD9D75}"/>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0" name="Text Box 2" hidden="1">
          <a:extLst>
            <a:ext uri="{FF2B5EF4-FFF2-40B4-BE49-F238E27FC236}">
              <a16:creationId xmlns:a16="http://schemas.microsoft.com/office/drawing/2014/main" id="{FBADFB1A-3E9F-9C6C-C1E8-F4C357DFB7C3}"/>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89" name="Text Box 1" hidden="1">
          <a:extLst>
            <a:ext uri="{FF2B5EF4-FFF2-40B4-BE49-F238E27FC236}">
              <a16:creationId xmlns:a16="http://schemas.microsoft.com/office/drawing/2014/main" id="{063B4B66-C8CC-06E3-F6DF-48C0B64F9C27}"/>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706" name="Text Box 18" hidden="1">
          <a:extLst>
            <a:ext uri="{FF2B5EF4-FFF2-40B4-BE49-F238E27FC236}">
              <a16:creationId xmlns:a16="http://schemas.microsoft.com/office/drawing/2014/main" id="{D84B72CD-C9D1-5D5E-983B-4C82D342488A}"/>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705" name="Text Box 17" hidden="1">
          <a:extLst>
            <a:ext uri="{FF2B5EF4-FFF2-40B4-BE49-F238E27FC236}">
              <a16:creationId xmlns:a16="http://schemas.microsoft.com/office/drawing/2014/main" id="{ABE3996D-8B34-A51F-1ED0-F73690CCFF68}"/>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704" name="Text Box 16" hidden="1">
          <a:extLst>
            <a:ext uri="{FF2B5EF4-FFF2-40B4-BE49-F238E27FC236}">
              <a16:creationId xmlns:a16="http://schemas.microsoft.com/office/drawing/2014/main" id="{B25EB003-94BC-B976-C22B-90C794D185B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703" name="Text Box 15" hidden="1">
          <a:extLst>
            <a:ext uri="{FF2B5EF4-FFF2-40B4-BE49-F238E27FC236}">
              <a16:creationId xmlns:a16="http://schemas.microsoft.com/office/drawing/2014/main" id="{A76DB991-B741-46B0-7F7F-437A76A829CB}"/>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702" name="Text Box 14" hidden="1">
          <a:extLst>
            <a:ext uri="{FF2B5EF4-FFF2-40B4-BE49-F238E27FC236}">
              <a16:creationId xmlns:a16="http://schemas.microsoft.com/office/drawing/2014/main" id="{7097E62F-7EC4-3F96-2101-9C10E1A7276B}"/>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701" name="Text Box 13" hidden="1">
          <a:extLst>
            <a:ext uri="{FF2B5EF4-FFF2-40B4-BE49-F238E27FC236}">
              <a16:creationId xmlns:a16="http://schemas.microsoft.com/office/drawing/2014/main" id="{9E9260A0-C4EE-EF70-E649-7CBCE8EA677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700" name="Text Box 12" hidden="1">
          <a:extLst>
            <a:ext uri="{FF2B5EF4-FFF2-40B4-BE49-F238E27FC236}">
              <a16:creationId xmlns:a16="http://schemas.microsoft.com/office/drawing/2014/main" id="{657EE45F-D2A9-206C-43FC-8208A6B8FE4B}"/>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9" name="Text Box 11" hidden="1">
          <a:extLst>
            <a:ext uri="{FF2B5EF4-FFF2-40B4-BE49-F238E27FC236}">
              <a16:creationId xmlns:a16="http://schemas.microsoft.com/office/drawing/2014/main" id="{1D3F628C-A68A-DDB8-854E-6368C9ABD89B}"/>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98" name="Text Box 10" hidden="1">
          <a:extLst>
            <a:ext uri="{FF2B5EF4-FFF2-40B4-BE49-F238E27FC236}">
              <a16:creationId xmlns:a16="http://schemas.microsoft.com/office/drawing/2014/main" id="{5AB2309C-13D7-2BAF-FA96-0F56641BED46}"/>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28222</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28222</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64559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45509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27517</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295275</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64558</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49742</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179917</xdr:rowOff>
    </xdr:from>
    <xdr:to>
      <xdr:col>24</xdr:col>
      <xdr:colOff>285750</xdr:colOff>
      <xdr:row>36</xdr:row>
      <xdr:rowOff>63500</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67734</xdr:rowOff>
    </xdr:from>
    <xdr:to>
      <xdr:col>25</xdr:col>
      <xdr:colOff>152400</xdr:colOff>
      <xdr:row>36</xdr:row>
      <xdr:rowOff>120650</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177800</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141817</xdr:rowOff>
    </xdr:from>
    <xdr:to>
      <xdr:col>9</xdr:col>
      <xdr:colOff>361950</xdr:colOff>
      <xdr:row>31</xdr:row>
      <xdr:rowOff>198967</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141817</xdr:rowOff>
    </xdr:from>
    <xdr:to>
      <xdr:col>10</xdr:col>
      <xdr:colOff>361950</xdr:colOff>
      <xdr:row>31</xdr:row>
      <xdr:rowOff>198967</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68" name="Text Box 80" hidden="1">
          <a:extLst>
            <a:ext uri="{FF2B5EF4-FFF2-40B4-BE49-F238E27FC236}">
              <a16:creationId xmlns:a16="http://schemas.microsoft.com/office/drawing/2014/main" id="{0E2AA959-35E3-45F0-C8B3-A8D70BCFA7C9}"/>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67" name="Text Box 79" hidden="1">
          <a:extLst>
            <a:ext uri="{FF2B5EF4-FFF2-40B4-BE49-F238E27FC236}">
              <a16:creationId xmlns:a16="http://schemas.microsoft.com/office/drawing/2014/main" id="{77E72EC2-BE05-6AAB-38C7-A012170F618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66" name="Text Box 78" hidden="1">
          <a:extLst>
            <a:ext uri="{FF2B5EF4-FFF2-40B4-BE49-F238E27FC236}">
              <a16:creationId xmlns:a16="http://schemas.microsoft.com/office/drawing/2014/main" id="{2A67A1DE-B87F-DDC6-7672-6DD3BBCEAE70}"/>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65" name="Text Box 77" hidden="1">
          <a:extLst>
            <a:ext uri="{FF2B5EF4-FFF2-40B4-BE49-F238E27FC236}">
              <a16:creationId xmlns:a16="http://schemas.microsoft.com/office/drawing/2014/main" id="{D6C35F4A-BBEA-D025-3F15-0A195BE215E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64" name="Text Box 76" hidden="1">
          <a:extLst>
            <a:ext uri="{FF2B5EF4-FFF2-40B4-BE49-F238E27FC236}">
              <a16:creationId xmlns:a16="http://schemas.microsoft.com/office/drawing/2014/main" id="{7E98C0D6-8867-A81A-97AD-3F4A9100DC1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63" name="Text Box 75" hidden="1">
          <a:extLst>
            <a:ext uri="{FF2B5EF4-FFF2-40B4-BE49-F238E27FC236}">
              <a16:creationId xmlns:a16="http://schemas.microsoft.com/office/drawing/2014/main" id="{643228E3-13CD-6D3B-EA86-8FC2E1F70609}"/>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2" name="Text Box 74" hidden="1">
          <a:extLst>
            <a:ext uri="{FF2B5EF4-FFF2-40B4-BE49-F238E27FC236}">
              <a16:creationId xmlns:a16="http://schemas.microsoft.com/office/drawing/2014/main" id="{A6E28C89-7F69-8B51-BA81-BD0271E4F69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75" name="Text Box 87" hidden="1">
          <a:extLst>
            <a:ext uri="{FF2B5EF4-FFF2-40B4-BE49-F238E27FC236}">
              <a16:creationId xmlns:a16="http://schemas.microsoft.com/office/drawing/2014/main" id="{25C50424-C7FC-F8F4-C040-A67510E7A82A}"/>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74" name="Text Box 86" hidden="1">
          <a:extLst>
            <a:ext uri="{FF2B5EF4-FFF2-40B4-BE49-F238E27FC236}">
              <a16:creationId xmlns:a16="http://schemas.microsoft.com/office/drawing/2014/main" id="{4ECBBCBF-B94D-E971-7EC2-C73A39470768}"/>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73" name="Text Box 85" hidden="1">
          <a:extLst>
            <a:ext uri="{FF2B5EF4-FFF2-40B4-BE49-F238E27FC236}">
              <a16:creationId xmlns:a16="http://schemas.microsoft.com/office/drawing/2014/main" id="{8FD45D86-2C91-5A63-D54E-2B50B51F3307}"/>
            </a:ext>
          </a:extLst>
        </xdr:cNvPr>
        <xdr:cNvSpPr txBox="1">
          <a:spLocks noChangeArrowheads="1"/>
        </xdr:cNvSpPr>
      </xdr:nvSpPr>
      <xdr:spPr bwMode="auto">
        <a:xfrm>
          <a:off x="15970250" y="7639050"/>
          <a:ext cx="14160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72" name="Text Box 84" hidden="1">
          <a:extLst>
            <a:ext uri="{FF2B5EF4-FFF2-40B4-BE49-F238E27FC236}">
              <a16:creationId xmlns:a16="http://schemas.microsoft.com/office/drawing/2014/main" id="{A53641C6-1EEA-0447-7EB7-0BDAB09597C3}"/>
            </a:ext>
          </a:extLst>
        </xdr:cNvPr>
        <xdr:cNvSpPr txBox="1">
          <a:spLocks noChangeArrowheads="1"/>
        </xdr:cNvSpPr>
      </xdr:nvSpPr>
      <xdr:spPr bwMode="auto">
        <a:xfrm>
          <a:off x="16554450" y="7340600"/>
          <a:ext cx="133985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71" name="Text Box 83" hidden="1">
          <a:extLst>
            <a:ext uri="{FF2B5EF4-FFF2-40B4-BE49-F238E27FC236}">
              <a16:creationId xmlns:a16="http://schemas.microsoft.com/office/drawing/2014/main" id="{A66BA7FB-BF4F-99F6-096A-93ECF86C7F75}"/>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70" name="Text Box 82" hidden="1">
          <a:extLst>
            <a:ext uri="{FF2B5EF4-FFF2-40B4-BE49-F238E27FC236}">
              <a16:creationId xmlns:a16="http://schemas.microsoft.com/office/drawing/2014/main" id="{2DE268AB-99C7-F123-EA93-74C64F02D76B}"/>
            </a:ext>
          </a:extLst>
        </xdr:cNvPr>
        <xdr:cNvSpPr txBox="1">
          <a:spLocks noChangeArrowheads="1"/>
        </xdr:cNvSpPr>
      </xdr:nvSpPr>
      <xdr:spPr bwMode="auto">
        <a:xfrm>
          <a:off x="72263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9" name="Text Box 81" hidden="1">
          <a:extLst>
            <a:ext uri="{FF2B5EF4-FFF2-40B4-BE49-F238E27FC236}">
              <a16:creationId xmlns:a16="http://schemas.microsoft.com/office/drawing/2014/main" id="{4002C366-E9AE-A965-0EAE-FB9C293D6142}"/>
            </a:ext>
          </a:extLst>
        </xdr:cNvPr>
        <xdr:cNvSpPr txBox="1">
          <a:spLocks noChangeArrowheads="1"/>
        </xdr:cNvSpPr>
      </xdr:nvSpPr>
      <xdr:spPr bwMode="auto">
        <a:xfrm>
          <a:off x="67056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19" name="Text Box 7" hidden="1">
          <a:extLst>
            <a:ext uri="{FF2B5EF4-FFF2-40B4-BE49-F238E27FC236}">
              <a16:creationId xmlns:a16="http://schemas.microsoft.com/office/drawing/2014/main" id="{48EE7FA5-0D9B-D598-9E41-DD96D2A0B66E}"/>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18" name="Text Box 6" hidden="1">
          <a:extLst>
            <a:ext uri="{FF2B5EF4-FFF2-40B4-BE49-F238E27FC236}">
              <a16:creationId xmlns:a16="http://schemas.microsoft.com/office/drawing/2014/main" id="{611583D3-0BB2-F942-A6B8-DAAA5F5580D7}"/>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17" name="Text Box 5" hidden="1">
          <a:extLst>
            <a:ext uri="{FF2B5EF4-FFF2-40B4-BE49-F238E27FC236}">
              <a16:creationId xmlns:a16="http://schemas.microsoft.com/office/drawing/2014/main" id="{E489195E-F419-B5FC-9A26-FDA7679F4BDE}"/>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16" name="Text Box 4" hidden="1">
          <a:extLst>
            <a:ext uri="{FF2B5EF4-FFF2-40B4-BE49-F238E27FC236}">
              <a16:creationId xmlns:a16="http://schemas.microsoft.com/office/drawing/2014/main" id="{C200C11A-435D-36A6-7EC7-8ABD9D45DE9F}"/>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15" name="Text Box 3" hidden="1">
          <a:extLst>
            <a:ext uri="{FF2B5EF4-FFF2-40B4-BE49-F238E27FC236}">
              <a16:creationId xmlns:a16="http://schemas.microsoft.com/office/drawing/2014/main" id="{21A2A100-2E86-9996-A3B4-167A2D099320}"/>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14" name="Text Box 2" hidden="1">
          <a:extLst>
            <a:ext uri="{FF2B5EF4-FFF2-40B4-BE49-F238E27FC236}">
              <a16:creationId xmlns:a16="http://schemas.microsoft.com/office/drawing/2014/main" id="{186D1B53-0413-6A8F-41F8-94B7D41CFB9B}"/>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13" name="Text Box 1" hidden="1">
          <a:extLst>
            <a:ext uri="{FF2B5EF4-FFF2-40B4-BE49-F238E27FC236}">
              <a16:creationId xmlns:a16="http://schemas.microsoft.com/office/drawing/2014/main" id="{BE8AF546-9BA3-9AFD-4E6A-81D380742B5C}"/>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26" name="Text Box 14" hidden="1">
          <a:extLst>
            <a:ext uri="{FF2B5EF4-FFF2-40B4-BE49-F238E27FC236}">
              <a16:creationId xmlns:a16="http://schemas.microsoft.com/office/drawing/2014/main" id="{26DCC8A2-D04E-A495-272E-AC4AC377D520}"/>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25" name="Text Box 13" hidden="1">
          <a:extLst>
            <a:ext uri="{FF2B5EF4-FFF2-40B4-BE49-F238E27FC236}">
              <a16:creationId xmlns:a16="http://schemas.microsoft.com/office/drawing/2014/main" id="{85FF23E3-290F-1BFE-7D12-F84AF869358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24" name="Text Box 12" hidden="1">
          <a:extLst>
            <a:ext uri="{FF2B5EF4-FFF2-40B4-BE49-F238E27FC236}">
              <a16:creationId xmlns:a16="http://schemas.microsoft.com/office/drawing/2014/main" id="{5F871FE6-7313-3AB0-994E-B118F391E527}"/>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23" name="Text Box 11" hidden="1">
          <a:extLst>
            <a:ext uri="{FF2B5EF4-FFF2-40B4-BE49-F238E27FC236}">
              <a16:creationId xmlns:a16="http://schemas.microsoft.com/office/drawing/2014/main" id="{DDC32EBF-CE2B-265B-7CC7-BB2A6C3DD988}"/>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22" name="Text Box 10" hidden="1">
          <a:extLst>
            <a:ext uri="{FF2B5EF4-FFF2-40B4-BE49-F238E27FC236}">
              <a16:creationId xmlns:a16="http://schemas.microsoft.com/office/drawing/2014/main" id="{3A0C280B-6012-8AAC-E8B2-9E9D450F703C}"/>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21" name="Text Box 9" hidden="1">
          <a:extLst>
            <a:ext uri="{FF2B5EF4-FFF2-40B4-BE49-F238E27FC236}">
              <a16:creationId xmlns:a16="http://schemas.microsoft.com/office/drawing/2014/main" id="{4A3B6C97-2C6F-DE03-5F1E-CDFC092B22E0}"/>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20" name="Text Box 8" hidden="1">
          <a:extLst>
            <a:ext uri="{FF2B5EF4-FFF2-40B4-BE49-F238E27FC236}">
              <a16:creationId xmlns:a16="http://schemas.microsoft.com/office/drawing/2014/main" id="{50AEA468-C7CB-B741-9657-4764E93D78F4}"/>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3" name="Text Box 21" hidden="1">
          <a:extLst>
            <a:ext uri="{FF2B5EF4-FFF2-40B4-BE49-F238E27FC236}">
              <a16:creationId xmlns:a16="http://schemas.microsoft.com/office/drawing/2014/main" id="{A047B2E2-A35A-8726-65FB-FD36B9DB5E5A}"/>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2" name="Text Box 20" hidden="1">
          <a:extLst>
            <a:ext uri="{FF2B5EF4-FFF2-40B4-BE49-F238E27FC236}">
              <a16:creationId xmlns:a16="http://schemas.microsoft.com/office/drawing/2014/main" id="{AD42D4AA-8E89-B4FE-163B-FA721358CD6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1" name="Text Box 19" hidden="1">
          <a:extLst>
            <a:ext uri="{FF2B5EF4-FFF2-40B4-BE49-F238E27FC236}">
              <a16:creationId xmlns:a16="http://schemas.microsoft.com/office/drawing/2014/main" id="{7A6F45D2-A663-1AB2-53D4-C83950094EFE}"/>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6" name="Text Box 24" hidden="1">
          <a:extLst>
            <a:ext uri="{FF2B5EF4-FFF2-40B4-BE49-F238E27FC236}">
              <a16:creationId xmlns:a16="http://schemas.microsoft.com/office/drawing/2014/main" id="{2F7ACA5B-4082-3502-AC41-ADDD45025A03}"/>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5" name="Text Box 23" hidden="1">
          <a:extLst>
            <a:ext uri="{FF2B5EF4-FFF2-40B4-BE49-F238E27FC236}">
              <a16:creationId xmlns:a16="http://schemas.microsoft.com/office/drawing/2014/main" id="{CB95E849-9166-CB5D-A8DD-AFC7E469867E}"/>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4" name="Text Box 22" hidden="1">
          <a:extLst>
            <a:ext uri="{FF2B5EF4-FFF2-40B4-BE49-F238E27FC236}">
              <a16:creationId xmlns:a16="http://schemas.microsoft.com/office/drawing/2014/main" id="{DC59DE2C-8CBF-6887-E800-A35F7133C8F3}"/>
            </a:ext>
          </a:extLst>
        </xdr:cNvPr>
        <xdr:cNvSpPr txBox="1">
          <a:spLocks noChangeArrowheads="1"/>
        </xdr:cNvSpPr>
      </xdr:nvSpPr>
      <xdr:spPr bwMode="auto">
        <a:xfrm>
          <a:off x="3848100" y="5803900"/>
          <a:ext cx="13081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2739" name="Text Box 3" hidden="1">
          <a:extLst>
            <a:ext uri="{FF2B5EF4-FFF2-40B4-BE49-F238E27FC236}">
              <a16:creationId xmlns:a16="http://schemas.microsoft.com/office/drawing/2014/main" id="{CB0A40A6-7DB8-9A97-19EC-942270936995}"/>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2738" name="Text Box 2" hidden="1">
          <a:extLst>
            <a:ext uri="{FF2B5EF4-FFF2-40B4-BE49-F238E27FC236}">
              <a16:creationId xmlns:a16="http://schemas.microsoft.com/office/drawing/2014/main" id="{91ADF157-2435-9104-D128-990161B2DC25}"/>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2737" name="Text Box 1" hidden="1">
          <a:extLst>
            <a:ext uri="{FF2B5EF4-FFF2-40B4-BE49-F238E27FC236}">
              <a16:creationId xmlns:a16="http://schemas.microsoft.com/office/drawing/2014/main" id="{7C2E0D97-A28B-8CB2-39B2-9115A2FD06B8}"/>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2742" name="Text Box 6" hidden="1">
          <a:extLst>
            <a:ext uri="{FF2B5EF4-FFF2-40B4-BE49-F238E27FC236}">
              <a16:creationId xmlns:a16="http://schemas.microsoft.com/office/drawing/2014/main" id="{D5893008-A7BA-1115-8281-4C6B2E3F3314}"/>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2741" name="Text Box 5" hidden="1">
          <a:extLst>
            <a:ext uri="{FF2B5EF4-FFF2-40B4-BE49-F238E27FC236}">
              <a16:creationId xmlns:a16="http://schemas.microsoft.com/office/drawing/2014/main" id="{CB734583-5005-293F-3926-F3CE0475A20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AG24" dT="2024-04-26T17:18:21.29" personId="{2C68A5A1-706F-4A3E-93A3-741BBABEC4EA}" id="{C3543641-BD77-4654-B0BF-74DF8DC9E44D}">
    <text>We set this equal to 0 because ARP Quarterly ran out of data and it's small anyway</text>
  </threadedComment>
  <threadedComment ref="AG25" dT="2024-04-26T17:19:21.98" personId="{2C68A5A1-706F-4A3E-93A3-741BBABEC4EA}" id="{A51AA54C-AAFD-4FFD-BD46-B7B54115E232}">
    <text>We set this equal to 0 because ARP Quarterly ran out of data and it's small anyway</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W50" dT="2023-07-28T17:56:37.74" personId="{2C68A5A1-706F-4A3E-93A3-741BBABEC4EA}" id="{E1EEB2AC-C029-4C98-981E-E7577AACBA1F}">
    <text>We're assuming it will stay at 37.7 because of the new TFP</text>
  </threadedComment>
  <threadedComment ref="J66" dT="2021-11-02T13:23:36.94" personId="{58CF8BEC-4104-46F7-BE4F-2C9403635492}" id="{8624CBF8-0C25-4544-B55E-7210BBE07E41}">
    <text>Formula changes to grow by counterfactual pre-covid growth rate</text>
  </threadedComment>
  <threadedComment ref="M66" dT="2021-11-02T13:26:53.83" personId="{58CF8BEC-4104-46F7-BE4F-2C9403635492}" id="{B38BAE8E-DF30-49E2-9F96-90A1041E4DF0}">
    <text>Accounting for step up in social security</text>
  </threadedComment>
  <threadedComment ref="M66" dT="2022-07-28T10:16:22.56" personId="{104078EE-2393-4C21-9029-18A325FBDB70}" id="{E0C007BA-F33F-4062-A357-370316E1FFF4}" parentId="{B38BAE8E-DF30-49E2-9F96-90A1041E4DF0}">
    <text>every Q1</text>
  </threadedComment>
  <threadedComment ref="U66" dT="2022-10-28T13:56:35.19" personId="{609654FB-393E-4954-B3A3-EDB231775774}" id="{96427D88-0329-491C-A939-11D66B55F1C3}" done="1">
    <text>COLA adjustment questions.</text>
  </threadedComment>
  <threadedComment ref="Y66" dT="2022-10-28T13:56:35.19" personId="{609654FB-393E-4954-B3A3-EDB231775774}" id="{8AABB420-F73D-4E8A-8DF7-F245078D4E11}">
    <text>COLA adjustment questions.</text>
  </threadedComment>
  <threadedComment ref="AC66" dT="2022-10-28T13:56:35.19" personId="{609654FB-393E-4954-B3A3-EDB231775774}" id="{41707468-7438-4BC6-B704-F002DDD23F47}">
    <text>COLA adjustment questions.</text>
  </threadedComment>
  <threadedComment ref="AE72" dT="2024-04-26T20:27:17.35" personId="{09FAC3F1-DFDB-4CF8-9903-358701529E2B}" id="{BB43241A-632E-43CC-BA8F-93EFF045E9AE}">
    <text>We need to base this off of CBO.</text>
  </threadedComment>
  <threadedComment ref="U79" dT="2022-10-28T13:56:35.19" personId="{609654FB-393E-4954-B3A3-EDB231775774}" id="{768266C3-5F6F-4B4B-A0F2-5FE77F7C9D9D}" done="1">
    <text>COLA adjustment questions.</text>
  </threadedComment>
  <threadedComment ref="Y79" dT="2022-10-28T13:56:35.19" personId="{609654FB-393E-4954-B3A3-EDB231775774}" id="{CEF813AA-D4CC-411F-B865-86A64AC5EEB6}">
    <text>COLA adjustment questions.</text>
  </threadedComment>
  <threadedComment ref="AC79" dT="2022-10-28T13:56:35.19" personId="{609654FB-393E-4954-B3A3-EDB231775774}" id="{DDFF41A6-D6EC-4A60-A3F9-0AF92DDF8C11}">
    <text>COLA adjustment questions.</text>
  </threadedComment>
  <threadedComment ref="B91" dT="2023-02-24T16:39:02.09" personId="{104078EE-2393-4C21-9029-18A325FBDB70}" id="{6AF7CFB2-704D-4104-831C-CFDBBA2AEEEB}">
    <text>CBO Feb 2023 budget projections table 1-4, social security subtotal</text>
  </threadedComment>
  <threadedComment ref="B91" dT="2023-06-29T15:43:04.78" personId="{2C68A5A1-706F-4A3E-93A3-741BBABEC4EA}" id="{7DD95AD6-CB37-4E4C-85DB-D839D0D68392}" parentId="{6AF7CFB2-704D-4104-831C-CFDBBA2AEEEB}">
    <text>CBO May 2023 budget projections supplemental table 2, social security subtotal</text>
  </threadedComment>
  <threadedComment ref="B91"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 ref="B91" dT="2024-06-26T19:56:49.87" personId="{2C68A5A1-706F-4A3E-93A3-741BBABEC4EA}" id="{FDBFDF4C-1754-4260-AF98-D7434EC4EA69}" parentId="{6AF7CFB2-704D-4104-831C-CFDBBA2AEEEB}">
    <text>This is now June 2024 CBO budget projections Table 1-4 Adjusted for the Effects of Timing Shifts, row 12 social security subtotal from 2023 onward</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AC21" dT="2024-04-26T16:37:16.34" personId="{09FAC3F1-DFDB-4CF8-9903-358701529E2B}" id="{D06702F8-F5F4-41FB-BA11-B2023B5B68A7}">
    <text>For all state taxes, (lines 21,23,24), Change Y to AC when data come in</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Z25" dT="2024-04-26T16:40:10.25" personId="{09FAC3F1-DFDB-4CF8-9903-358701529E2B}" id="{498AD0F5-D245-4256-A7C8-7D62910F1A6D}">
    <text>Change to Y in May</text>
  </threadedComment>
  <threadedComment ref="K35" dT="2023-09-29T18:40:36.76" personId="{2C68A5A1-706F-4A3E-93A3-741BBABEC4EA}" id="{1065F4CB-52AB-4B92-B793-654578199E67}">
    <text>We adjusted these growth rates upward because CBO expected taxes to fall gradually but instead they fell quickly.</text>
  </threadedComment>
  <threadedComment ref="K39" dT="2024-02-29T21:02:38.53" personId="{4C0C5F85-AD1E-4C57-B372-003AF5B78A9F}" id="{6EA59173-A6A4-4520-BC55-CD373EBDD6E4}">
    <text>We reduced the CBO growth rate from 36% to 10% because it seemed anomolously high</text>
  </threadedComment>
  <threadedComment ref="L39" dT="2024-02-29T21:03:05.03" personId="{4C0C5F85-AD1E-4C57-B372-003AF5B78A9F}" id="{B7BB92B9-56AF-428A-90BE-8769E0F9A367}">
    <text>We increased the CBO growth rate to account for our large adjustment in the previous year</text>
  </threadedComment>
  <threadedComment ref="M39" dT="2024-05-30T19:58:14.22" personId="{2C68A5A1-706F-4A3E-93A3-741BBABEC4EA}" id="{F12C7BC9-1DAF-45BE-BFCA-781CDA4BC7CD}">
    <text>Another additional add factor, similar to comment to the left</text>
  </threadedComment>
  <threadedComment ref="D55" dT="2023-02-15T20:39:04.10" personId="{609654FB-393E-4954-B3A3-EDB231775774}" id="{54F6D9F3-8868-417E-999A-B95E2C1FC589}">
    <text>May 2023 CBO Budget Projections Table 1 Row 12</text>
  </threadedComment>
  <threadedComment ref="D55" dT="2024-02-22T14:31:10.89" personId="{09FAC3F1-DFDB-4CF8-9903-358701529E2B}" id="{5AD6BF73-9438-4F75-A02E-C3EAB6B7E7E0}" parentId="{54F6D9F3-8868-417E-999A-B95E2C1FC589}">
    <text>Feb 2024 CBO Budget Projections Table 1-1 Row 10</text>
  </threadedComment>
  <threadedComment ref="D55" dT="2024-06-27T14:27:47.87" personId="{2C68A5A1-706F-4A3E-93A3-741BBABEC4EA}" id="{B8639833-1036-486E-B271-B2B70A5F4327}" parentId="{54F6D9F3-8868-417E-999A-B95E2C1FC589}">
    <text>June 2024 CBO Budget Projections Table 1-1 Row 10</text>
  </threadedComment>
  <threadedComment ref="M55" dT="2024-05-30T19:30:52.33" personId="{2C68A5A1-706F-4A3E-93A3-741BBABEC4EA}" id="{8DA4ABCB-3EED-4DB4-A96F-296CD1D3D3EE}">
    <text>Added CBO estimate to counterfactual from TCJA NOT expiring in https://www.cbo.gov/publication/60271
We also subtracted an addition 30, which is roughly half of the 48+11 from investment.</text>
    <extLst>
      <x:ext xmlns:xltc2="http://schemas.microsoft.com/office/spreadsheetml/2020/threadedcomments2" uri="{F7C98A9C-CBB3-438F-8F68-D28B6AF4A901}">
        <xltc2:checksum>3732159924</xltc2:checksum>
        <xltc2:hyperlink startIndex="63" length="37" url="https://www.cbo.gov/publication/60271"/>
      </x:ext>
    </extLs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6" dT="2024-02-22T14:36:16.32" personId="{09FAC3F1-DFDB-4CF8-9903-358701529E2B}" id="{9F895A21-C5E6-4F14-982E-DE530E6FCE79}" parentId="{1FB99C5A-E921-4C2B-94A6-469F8368DE8C}">
    <text>February 2024 CBO Budget Projections Table 1-1 Row 11</text>
  </threadedComment>
  <threadedComment ref="D56" dT="2024-06-27T14:28:28.14" personId="{2C68A5A1-706F-4A3E-93A3-741BBABEC4EA}" id="{AAC1A7F3-5101-4D77-A002-FBE231A1A27C}" parentId="{1FB99C5A-E921-4C2B-94A6-469F8368DE8C}">
    <text>June 2024 CBO Budget Projections Table 1-1 Row 11</text>
  </threadedComment>
  <threadedComment ref="D57" dT="2024-06-27T14:31:36.26" personId="{2C68A5A1-706F-4A3E-93A3-741BBABEC4EA}" id="{71B63C0C-A14A-4CAA-AD37-D99BE7060ACF}">
    <text>Not updated June 2024. I could not find in the budget projections.</text>
  </threadedComment>
  <threadedComment ref="D58" dT="2023-02-15T20:49:24.23" personId="{609654FB-393E-4954-B3A3-EDB231775774}" id="{CE0F5DCB-3CCE-4E3D-A6E4-2AC8A4A5F19D}">
    <text>February 2023 CBO Budget Projections Table 1-6 Row 14</text>
  </threadedComment>
  <threadedComment ref="D58" dT="2024-02-22T14:44:59.03" personId="{09FAC3F1-DFDB-4CF8-9903-358701529E2B}" id="{570B49A8-6692-4986-87A6-4A3AB8B43DB9}" parentId="{CE0F5DCB-3CCE-4E3D-A6E4-2AC8A4A5F19D}">
    <text>February 2024 CBO Budget Projections Table 1-7 Row 14</text>
  </threadedComment>
  <threadedComment ref="D59" dT="2023-02-15T20:50:01.14" personId="{609654FB-393E-4954-B3A3-EDB231775774}" id="{B0E96582-484F-445D-8FF5-3592B5A172FA}">
    <text>February 2023 CBO Budget Projections Table 1-6 Row 16</text>
  </threadedComment>
  <threadedComment ref="D59" dT="2024-02-22T14:45:22.24" personId="{09FAC3F1-DFDB-4CF8-9903-358701529E2B}" id="{4F586962-5804-4FED-852B-7ABCF3DF98B2}" parentId="{B0E96582-484F-445D-8FF5-3592B5A172FA}">
    <text>February 2024 CBO Budget Projections Table 1-7, row 16</text>
  </threadedComment>
  <threadedComment ref="D60" dT="2023-02-15T20:51:09.94" personId="{609654FB-393E-4954-B3A3-EDB231775774}" id="{E6B5A35A-07FA-4F2B-9A9E-866D21A47917}">
    <text>May 2023 CBO Budget Projections Table 1 Row 14</text>
  </threadedComment>
  <threadedComment ref="D60" dT="2024-02-22T14:47:44.47" personId="{09FAC3F1-DFDB-4CF8-9903-358701529E2B}" id="{E777AE82-BE55-4B42-9F51-8E1C71456A8B}" parentId="{E6B5A35A-07FA-4F2B-9A9E-866D21A47917}">
    <text>February 2023 CBO Budget Projections Table 1-1, row 12</text>
  </threadedComment>
  <threadedComment ref="D60" dT="2024-06-27T14:32:38.18" personId="{2C68A5A1-706F-4A3E-93A3-741BBABEC4EA}" id="{0FB34D58-0EA7-45D9-9687-C1C4AAD9A17B}" parentId="{E6B5A35A-07FA-4F2B-9A9E-866D21A47917}">
    <text>June 2024 CBO Budget projections table 1-1 row 12</text>
  </threadedComment>
  <threadedComment ref="M60" dT="2024-05-30T19:35:19.75" personId="{2C68A5A1-706F-4A3E-93A3-741BBABEC4EA}" id="{4A8F6F92-75ED-4D7D-9EAC-6799BA8D11ED}">
    <text xml:space="preserve">See comment in M56 on using CBO estimate of TCJA not expiring
</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8" dT="2024-02-22T15:10:21.02" personId="{09FAC3F1-DFDB-4CF8-9903-358701529E2B}" id="{9188F4B5-7FFF-4AD3-B884-A6BD992DF509}" parentId="{BAC4C9C5-057D-4522-9D5B-345501733B13}">
    <text>This is now February 2024 CBO Economic Projections Fiscal Year Sheet, row 94</text>
  </threadedComment>
  <threadedComment ref="D78" dT="2024-06-27T14:34:45.71" personId="{2C68A5A1-706F-4A3E-93A3-741BBABEC4EA}" id="{87A09169-659E-458F-A9F3-D0AB63E74083}" parentId="{BAC4C9C5-057D-4522-9D5B-345501733B13}">
    <text>June 2024 Econ projections Fiscal Year sheet row 94. Pasted for 2021 onward</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79" dT="2024-02-22T15:12:46.20" personId="{09FAC3F1-DFDB-4CF8-9903-358701529E2B}" id="{5EB79390-D49F-4610-A389-9A566FE7B07F}" parentId="{903D683D-E956-41A0-87A0-4A0ACF2A3EC0}">
    <text>This is now February 2024 CBO Economic Projections Fiscal Year Table row, row 98</text>
  </threadedComment>
  <threadedComment ref="D79" dT="2024-06-27T14:35:02.92" personId="{2C68A5A1-706F-4A3E-93A3-741BBABEC4EA}" id="{7727E27A-5B75-4F93-BBAF-2B2028A6DBD6}" parentId="{903D683D-E956-41A0-87A0-4A0ACF2A3EC0}">
    <text>June 2024 Econ projections Fiscal Year sheet row 98. Pasted for 2021 onward</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0" dT="2024-02-22T15:13:36.88" personId="{09FAC3F1-DFDB-4CF8-9903-358701529E2B}" id="{5B0E85F2-3E88-4DE5-B75D-A1DFDE5E2251}" parentId="{3EBCE0D2-6A48-4CE9-BC8C-5855F5261D1F}">
    <text>February 2024 CBO Economic Projections, Fiscal Year Table, row 118</text>
  </threadedComment>
  <threadedComment ref="D80" dT="2024-06-27T14:36:46.17" personId="{2C68A5A1-706F-4A3E-93A3-741BBABEC4EA}" id="{742D0AD1-132D-49B8-ACB8-D7A00789C5CC}" parentId="{3EBCE0D2-6A48-4CE9-BC8C-5855F5261D1F}">
    <text>June 2024 CBO Economic Projections, Fiscal Year Table, row 118 pasted from 2021 onward</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81" dT="2024-02-22T15:15:43.17" personId="{09FAC3F1-DFDB-4CF8-9903-358701529E2B}" id="{7286570C-B0B2-4C53-B491-EBC2A429EFF9}" parentId="{48184811-5BD0-438A-8E38-4FDE0C8DFA8F}">
    <text>This is now February 2024 CBO Economic Projections Fiscal Year Table, row 112</text>
  </threadedComment>
  <threadedComment ref="D81" dT="2024-06-27T14:37:42.80" personId="{2C68A5A1-706F-4A3E-93A3-741BBABEC4EA}" id="{BDF2F21B-F60E-4F9C-A5EF-0E83248D90F2}" parentId="{48184811-5BD0-438A-8E38-4FDE0C8DFA8F}">
    <text>June 2024 CBO Economic Projections Fiscal Year Table, row 112 from 2021 onward</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2" dT="2024-02-22T15:28:26.88" personId="{09FAC3F1-DFDB-4CF8-9903-358701529E2B}" id="{3C76C544-F68F-455F-86CF-8627D74B7C59}" parentId="{D2748782-D0E6-49AC-8A19-1F2FBF9255CC}">
    <text>February 2024 CBO Economic Projections Quarterly Table, row 98</text>
  </threadedComment>
  <threadedComment ref="D102" dT="2024-06-27T14:40:11.35" personId="{2C68A5A1-706F-4A3E-93A3-741BBABEC4EA}" id="{A345901C-E565-4819-91C3-A4DED1F11875}" parentId="{D2748782-D0E6-49AC-8A19-1F2FBF9255CC}">
    <text>Ju 2024 economic projections quarterly table row 98 pasted from 2021 Q1 onward</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3" dT="2024-02-22T15:30:49.62" personId="{09FAC3F1-DFDB-4CF8-9903-358701529E2B}" id="{8B50D8B1-7987-47E1-B1DC-D2F70DCC216E}" parentId="{A46F7C4F-6912-4219-A6BF-9B291D29572E}">
    <text>February 2024 CBO Economic Projections quarterly tables, row 100</text>
  </threadedComment>
  <threadedComment ref="D103" dT="2024-06-27T14:41:16.43" personId="{2C68A5A1-706F-4A3E-93A3-741BBABEC4EA}" id="{6425957B-D42C-489A-A538-4AA95EC109FD}" parentId="{A46F7C4F-6912-4219-A6BF-9B291D29572E}">
    <text>June 2024 CBO Economic Projections Quarterly table row 100 from 2021 Q1 onward</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4" dT="2024-02-22T15:37:14.65" personId="{09FAC3F1-DFDB-4CF8-9903-358701529E2B}" id="{385DCECF-44A3-4344-9011-2A6CE78C506F}" parentId="{76E953CB-BD49-43CF-8F2D-8BFB47D725D7}">
    <text>This is now February 2024 CBO Economic Projections Quarterly Table, row 118</text>
  </threadedComment>
  <threadedComment ref="D104" dT="2024-06-27T14:41:57.04" personId="{2C68A5A1-706F-4A3E-93A3-741BBABEC4EA}" id="{A7C417EA-C785-474D-B0D2-8C33C43492C2}" parentId="{76E953CB-BD49-43CF-8F2D-8BFB47D725D7}">
    <text xml:space="preserve">June 2024 CBO Economic Projections Quarterly Table, row 118 from 2021 Q1 onward
</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D105" dT="2024-02-22T15:42:56.34" personId="{09FAC3F1-DFDB-4CF8-9903-358701529E2B}" id="{19BF4626-D0E8-42B5-BD70-3452F9A463CA}" parentId="{8FB584A5-2B54-4AD8-94A1-F46A717E4FE5}">
    <text>February 2024 CBO Economic Projections quarterly table row 114 corporate profits domestic</text>
  </threadedComment>
  <threadedComment ref="D105" dT="2024-06-27T14:43:33.75" personId="{2C68A5A1-706F-4A3E-93A3-741BBABEC4EA}" id="{BA2256D4-F0D9-4901-B7FD-C47AE6B4FB99}" parentId="{8FB584A5-2B54-4AD8-94A1-F46A717E4FE5}">
    <text xml:space="preserve">June 2024 CBO Economic Projections quarterly table row 114 corporate profits domestic with IVA and CCAdj, from 2021 Q1 onward
</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X131" dT="2024-01-24T19:09:22.97" personId="{09FAC3F1-DFDB-4CF8-9903-358701529E2B}" id="{1EFE3D94-A914-4335-ADA0-94B1C8F72E64}">
    <text>Drag forward in February because we get Q4 Data 1 month late.</text>
  </threadedComment>
</ThreadedComments>
</file>

<file path=xl/threadedComments/threadedComment13.xml><?xml version="1.0" encoding="utf-8"?>
<ThreadedComments xmlns="http://schemas.microsoft.com/office/spreadsheetml/2018/threadedcomments" xmlns:x="http://schemas.openxmlformats.org/spreadsheetml/2006/main">
  <threadedComment ref="B6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4" dT="2023-07-27T18:54:18.72" personId="{609654FB-393E-4954-B3A3-EDB231775774}" id="{0DF18CD1-DDA4-4936-9B9E-36F885A8A9DF}">
    <text>July 2023 10-year economic projections Quarterly Table line 116</text>
  </threadedComment>
  <threadedComment ref="B64" dT="2024-02-22T16:14:54.16" personId="{09FAC3F1-DFDB-4CF8-9903-358701529E2B}" id="{5E636256-C425-4746-8026-732FFB49DCA6}" parentId="{0DF18CD1-DDA4-4936-9B9E-36F885A8A9DF}">
    <text>February 2024 CBO Economic Projections, Quarterly Table, Line 118</text>
  </threadedComment>
  <threadedComment ref="B64" dT="2024-06-27T14:46:21.05" personId="{2C68A5A1-706F-4A3E-93A3-741BBABEC4EA}" id="{D50CF423-E0D1-4B94-95BB-8C460DAA2108}" parentId="{0DF18CD1-DDA4-4936-9B9E-36F885A8A9DF}">
    <text>June 2024 CBO Economic Projections, Quarterly Table, Line 118 pasted from 2021 Q1 onward</text>
  </threadedComment>
  <threadedComment ref="B65" dT="2023-07-27T18:58:29.78" personId="{609654FB-393E-4954-B3A3-EDB231775774}" id="{9DDFDF05-CB8A-4154-92B5-FB4AFBAE30F8}">
    <text>July 2023 10-year economic projections quarterly table line 127</text>
  </threadedComment>
  <threadedComment ref="B65" dT="2024-02-22T16:17:18.71" personId="{09FAC3F1-DFDB-4CF8-9903-358701529E2B}" id="{415918D2-8F3E-4EB4-8C8E-353F5D499194}" parentId="{9DDFDF05-CB8A-4154-92B5-FB4AFBAE30F8}">
    <text>July 2023 CBO Economic Projections, Quarterly Table Line 129</text>
  </threadedComment>
  <threadedComment ref="B65" dT="2024-06-27T14:46:52.06" personId="{2C68A5A1-706F-4A3E-93A3-741BBABEC4EA}" id="{50296040-D0CA-4737-BBB1-FF0CC10742F9}" parentId="{9DDFDF05-CB8A-4154-92B5-FB4AFBAE30F8}">
    <text>June 2024 CBO Economic Projections, Quarterly Table Line 129 from 2021 Q1 onward</text>
  </threadedComment>
  <threadedComment ref="B66" dT="2023-07-27T18:58:47.03" personId="{609654FB-393E-4954-B3A3-EDB231775774}" id="{C72DB8C1-80AB-49EE-8306-B3882C563DE7}">
    <text>July 2023 economic projections quarterly table line 129</text>
  </threadedComment>
  <threadedComment ref="B66" dT="2024-02-22T16:18:11.19" personId="{09FAC3F1-DFDB-4CF8-9903-358701529E2B}" id="{D3B155C7-B049-48E7-A2B4-C43A9DB0EA80}" parentId="{C72DB8C1-80AB-49EE-8306-B3882C563DE7}">
    <text>February 2024 Economic Projections, Quarterly Table line 131</text>
  </threadedComment>
  <threadedComment ref="B66" dT="2024-06-27T14:47:56.28" personId="{2C68A5A1-706F-4A3E-93A3-741BBABEC4EA}" id="{75F43EB2-3F3C-4D75-9509-C56EEAB4DD69}" parentId="{C72DB8C1-80AB-49EE-8306-B3882C563DE7}">
    <text xml:space="preserve">June  2024 Economic Projections, Quarterly Table line 131 from 2021 Q1 onward
</text>
  </threadedComment>
  <threadedComment ref="B67" dT="2023-07-27T18:59:18.12" personId="{609654FB-393E-4954-B3A3-EDB231775774}" id="{65400755-1E7E-45CD-B1D4-DAC1E9F13C96}">
    <text>July 2023 economic projections quarterly table line 139</text>
  </threadedComment>
  <threadedComment ref="B67" dT="2024-02-22T16:22:22.44" personId="{09FAC3F1-DFDB-4CF8-9903-358701529E2B}" id="{B6540356-436A-4581-AA68-7BEB752C9369}" parentId="{65400755-1E7E-45CD-B1D4-DAC1E9F13C96}">
    <text>February 2024 CBO Economic Projections, Quarterly Table, row 141</text>
  </threadedComment>
  <threadedComment ref="B67" dT="2024-06-27T14:50:57.19" personId="{2C68A5A1-706F-4A3E-93A3-741BBABEC4EA}" id="{D9A57EA5-FB02-4C18-A6DA-50261F26F942}" parentId="{65400755-1E7E-45CD-B1D4-DAC1E9F13C96}">
    <text>June 2024 CBO Economic Projections, Quarterly Table, row 141 from 2021 Q1 onward</text>
  </threadedComment>
  <threadedComment ref="B68" dT="2023-07-27T18:59:50.42" personId="{609654FB-393E-4954-B3A3-EDB231775774}" id="{2342851E-1027-489D-A9C9-2E8A800F814B}">
    <text>July 2023 economic projections quarterly table line 150</text>
  </threadedComment>
  <threadedComment ref="B68" dT="2024-02-22T16:24:23.29" personId="{09FAC3F1-DFDB-4CF8-9903-358701529E2B}" id="{1C910F0A-56B8-478F-AC70-88B4D842C6E9}" parentId="{2342851E-1027-489D-A9C9-2E8A800F814B}">
    <text>February 2024 CBO Economic Projections, Quarterly Table, Line 152</text>
  </threadedComment>
  <threadedComment ref="B68" dT="2024-06-27T14:51:10.46" personId="{2C68A5A1-706F-4A3E-93A3-741BBABEC4EA}" id="{E134738C-B99D-4F51-A452-DDB0BD4715FF}" parentId="{2342851E-1027-489D-A9C9-2E8A800F814B}">
    <text>June 2024 CBO Economic Projections, Quarterly Table, Line 152 from 2021 Q1 onward</text>
  </threadedComment>
  <threadedComment ref="B69" dT="2023-07-27T19:00:00.27" personId="{609654FB-393E-4954-B3A3-EDB231775774}" id="{7C559531-A861-49AD-8365-07F57C6BE5A0}">
    <text>July 2023 economic projections quarterly table line 152</text>
  </threadedComment>
  <threadedComment ref="B69"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4.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B22" dT="2024-06-26T18:30:01.65" personId="{2C68A5A1-706F-4A3E-93A3-741BBABEC4EA}" id="{4C1BD790-6CA2-4A0A-903D-48C016B60253}" parentId="{D9A1C32B-382A-44CE-B60A-7CEFD093B9EC}">
    <text>This is now June 2024 CBO Economic Projections, Quarterly table row 68 from 2021 Q1 onward</text>
  </threadedComment>
  <threadedComment ref="AG22" dT="2024-04-26T17:16:27.79" personId="{2C68A5A1-706F-4A3E-93A3-741BBABEC4EA}" id="{9A78D78B-9B91-4B19-B3C5-F387312A4076}">
    <text>We decided to set this equal to the previous quarter estimate as a temporary measure.</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 our temporary fix is to make this equal to the preceding quarter.</text>
  </threadedComment>
  <threadedComment ref="AG85" dT="2023-08-18T20:31:55.12" personId="{2C68A5A1-706F-4A3E-93A3-741BBABEC4EA}" id="{ECD0E9C9-87A4-46F8-8BE1-5E2BEC9520B3}">
    <text>Our "ARP Quarterly" sheet does not go farther than Q4 2025.
Our temporary fix is to make this equal to the preceding quarter.</text>
  </threadedComment>
  <threadedComment ref="R96" dT="2022-07-28T17:27:50.97" personId="{104078EE-2393-4C21-9029-18A325FBDB70}" id="{E702D61C-4760-4164-BD3F-5AB302CA98ED}">
    <text>Using previous forecast because of reallocation by the BEA</text>
  </threadedComment>
  <threadedComment ref="S96" dT="2022-10-27T14:12:06.27" personId="{609654FB-393E-4954-B3A3-EDB231775774}" id="{776019CE-8128-450F-A25E-EF6C5707CFC6}">
    <text>Don't pull again</text>
  </threadedComment>
  <threadedComment ref="B97"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9" dT="2024-06-26T18:41:21.94" personId="{2C68A5A1-706F-4A3E-93A3-741BBABEC4EA}" id="{74EA8410-AE4F-463D-AA1C-7B843C4FD6DA}" parentId="{976B723C-4211-4969-882A-4B89C4902055}">
    <text>This is now June 2024 CBO Economic Projections Quarterly table row 129 from 2021 Q1 onward</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B10" dT="2024-06-26T18:42:24.26" personId="{2C68A5A1-706F-4A3E-93A3-741BBABEC4EA}" id="{206732D9-B230-42BD-890A-AC6D4948168E}" parentId="{02F35ABE-CA0E-4752-B4BE-50C4C795E703}">
    <text>This is now June 2024 CBO Economic Projections Quarterly table row 130 from 2021 Q1 onward.</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24" dT="2024-06-26T18:44:20.97" personId="{2C68A5A1-706F-4A3E-93A3-741BBABEC4EA}" id="{9A13A553-A958-4882-A266-2E3589681540}" parentId="{3D5BBFAC-4E76-4F2A-B34F-264D54111B07}">
    <text>This is now June 2024 CBO Economic Projections Quarterly table row 131 from 2021 Q1 onward.</text>
  </threadedComment>
  <threadedComment ref="B25" dT="2024-06-26T18:46:33.64" personId="{2C68A5A1-706F-4A3E-93A3-741BBABEC4EA}" id="{E7D459C7-D63C-4E4A-AE4E-B08D7B79CF4D}">
    <text>These data are from June 2024 CBO Economic Projections Quarterly table, row 132 from 2021 Q1 onward.</text>
  </threadedComment>
  <threadedComment ref="B32" dT="2023-11-30T15:39:21.04" personId="{2C68A5A1-706F-4A3E-93A3-741BBABEC4EA}" id="{C146291D-B06B-4D46-A30C-B289BA81D51C}">
    <text>Start updating this chart again</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AG45" dT="2024-04-26T17:14:06.26" personId="{2C68A5A1-706F-4A3E-93A3-741BBABEC4EA}" id="{D984E10B-B7DF-4552-BF09-3EB2FF9587F0}">
    <text>Hard coded to 0 because ARP Quarterly runs out of data and this is small anyway.</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B17" dT="2024-06-26T18:57:37.91" personId="{2C68A5A1-706F-4A3E-93A3-741BBABEC4EA}" id="{3266CE3F-B88B-41A5-AAF3-D02B9F4B66DF}" parentId="{C3958D6E-5D0B-4757-8548-DC4AB51469BE}">
    <text>This is now June 2024 CBO Budget Projections table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G20" dT="2024-03-29T18:17:33.54" personId="{2C68A5A1-706F-4A3E-93A3-741BBABEC4EA}" id="{8FC373EC-A8CE-4303-A69B-58FE96E30B67}" parentId="{8A2A0363-6E26-43DA-8F9C-0DA70A3F65A0}">
    <text>We added 2 pp to the growth rate because of CBO's very low &amp; declining forecast</text>
  </threadedComment>
  <threadedComment ref="H20" dT="2023-09-29T20:02:43.20" personId="{2C68A5A1-706F-4A3E-93A3-741BBABEC4EA}" id="{48FEC13E-DD87-4779-A443-42BF4F49FF37}">
    <text>Louise changed to 0.02</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B21" dT="2024-06-26T19:01:04.90" personId="{2C68A5A1-706F-4A3E-93A3-741BBABEC4EA}" id="{9265B547-6102-4D79-A653-063CF3ABE805}" parentId="{FBCF6AFF-3308-4DB2-931F-AB1BC267CB41}">
    <text>This is now June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threadedComments/threadedComment9.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6.xml"/><Relationship Id="rId4" Type="http://schemas.microsoft.com/office/2017/10/relationships/threadedComment" Target="../threadedComments/threadedComment14.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7.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8.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mailto:lasgova@usecon"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D43" sqref="D43"/>
    </sheetView>
  </sheetViews>
  <sheetFormatPr defaultColWidth="10.90625" defaultRowHeight="14.5" x14ac:dyDescent="0.35"/>
  <cols>
    <col min="2" max="2" width="34.1796875" customWidth="1"/>
    <col min="17" max="17" width="38.453125" customWidth="1"/>
  </cols>
  <sheetData>
    <row r="10" spans="2:17" x14ac:dyDescent="0.35">
      <c r="B10" s="1229" t="s">
        <v>0</v>
      </c>
      <c r="C10" s="1230"/>
      <c r="D10" s="1230"/>
      <c r="E10" s="1230"/>
      <c r="F10" s="1230"/>
      <c r="G10" s="1230"/>
      <c r="H10" s="1230"/>
      <c r="I10" s="1230"/>
      <c r="J10" s="1230"/>
      <c r="K10" s="1230"/>
      <c r="L10" s="1230"/>
      <c r="M10" s="1230"/>
      <c r="N10" s="1230"/>
      <c r="O10" s="1230"/>
      <c r="P10" s="1230"/>
      <c r="Q10" s="1231"/>
    </row>
    <row r="11" spans="2:17" x14ac:dyDescent="0.35">
      <c r="B11" s="1232"/>
      <c r="C11" s="1233"/>
      <c r="D11" s="1233"/>
      <c r="E11" s="1233"/>
      <c r="F11" s="1233"/>
      <c r="G11" s="1233"/>
      <c r="H11" s="1233"/>
      <c r="I11" s="1233"/>
      <c r="J11" s="1233"/>
      <c r="K11" s="1233"/>
      <c r="L11" s="1233"/>
      <c r="M11" s="1233"/>
      <c r="N11" s="1233"/>
      <c r="O11" s="1233"/>
      <c r="P11" s="1233"/>
      <c r="Q11" s="1234"/>
    </row>
    <row r="12" spans="2:17" x14ac:dyDescent="0.35">
      <c r="B12" s="2" t="s">
        <v>1</v>
      </c>
      <c r="C12" s="11"/>
      <c r="D12" s="11"/>
      <c r="E12" s="11"/>
      <c r="F12" s="11"/>
      <c r="G12" s="11"/>
      <c r="H12" s="11"/>
      <c r="I12" s="11"/>
      <c r="J12" s="11"/>
      <c r="K12" s="11"/>
      <c r="L12" s="11"/>
      <c r="M12" s="11"/>
      <c r="N12" s="11"/>
      <c r="O12" s="11"/>
      <c r="P12" s="11"/>
      <c r="Q12" s="9"/>
    </row>
    <row r="13" spans="2:17" x14ac:dyDescent="0.35">
      <c r="B13" s="13" t="s">
        <v>2</v>
      </c>
      <c r="C13" s="1235" t="s">
        <v>3</v>
      </c>
      <c r="D13" s="1235"/>
      <c r="E13" s="1235"/>
      <c r="F13" s="1235"/>
      <c r="G13" s="1235"/>
      <c r="H13" s="1235"/>
      <c r="I13" s="1235"/>
      <c r="J13" s="1235"/>
      <c r="K13" s="1235"/>
      <c r="L13" s="1235"/>
      <c r="M13" s="1235"/>
      <c r="N13" s="1235"/>
      <c r="O13" s="1235"/>
      <c r="P13" s="1235"/>
      <c r="Q13" s="1236"/>
    </row>
    <row r="14" spans="2:17" x14ac:dyDescent="0.35">
      <c r="B14" s="13" t="s">
        <v>4</v>
      </c>
      <c r="C14" s="10" t="s">
        <v>5</v>
      </c>
      <c r="D14" s="10"/>
      <c r="E14" s="10"/>
      <c r="F14" s="10"/>
      <c r="G14" s="10"/>
      <c r="H14" s="10"/>
      <c r="I14" s="10"/>
      <c r="J14" s="10"/>
      <c r="K14" s="10"/>
      <c r="L14" s="10"/>
      <c r="M14" s="10"/>
      <c r="N14" s="10"/>
      <c r="O14" s="10"/>
      <c r="P14" s="10"/>
      <c r="Q14" s="5"/>
    </row>
    <row r="15" spans="2:17" x14ac:dyDescent="0.35">
      <c r="B15" s="13" t="s">
        <v>6</v>
      </c>
      <c r="C15" s="10" t="s">
        <v>7</v>
      </c>
      <c r="D15" s="10"/>
      <c r="E15" s="10"/>
      <c r="F15" s="10"/>
      <c r="G15" s="10"/>
      <c r="H15" s="10"/>
      <c r="I15" s="10"/>
      <c r="J15" s="10"/>
      <c r="K15" s="10"/>
      <c r="L15" s="10"/>
      <c r="M15" s="10"/>
      <c r="N15" s="10"/>
      <c r="O15" s="10"/>
      <c r="P15" s="10"/>
      <c r="Q15" s="5"/>
    </row>
    <row r="16" spans="2:17" x14ac:dyDescent="0.35">
      <c r="B16" s="13" t="s">
        <v>8</v>
      </c>
      <c r="C16" s="10" t="s">
        <v>831</v>
      </c>
      <c r="D16" s="10"/>
      <c r="E16" s="10"/>
      <c r="F16" s="10"/>
      <c r="G16" s="10"/>
      <c r="H16" s="10"/>
      <c r="I16" s="10"/>
      <c r="J16" s="10"/>
      <c r="K16" s="10"/>
      <c r="L16" s="10"/>
      <c r="M16" s="10"/>
      <c r="N16" s="10"/>
      <c r="O16" s="10"/>
      <c r="P16" s="10"/>
      <c r="Q16" s="5"/>
    </row>
    <row r="17" spans="2:17" x14ac:dyDescent="0.35">
      <c r="B17" s="13" t="s">
        <v>9</v>
      </c>
      <c r="C17" s="10" t="s">
        <v>10</v>
      </c>
      <c r="D17" s="10"/>
      <c r="E17" s="10"/>
      <c r="F17" s="10"/>
      <c r="G17" s="10"/>
      <c r="H17" s="10"/>
      <c r="I17" s="10"/>
      <c r="J17" s="10"/>
      <c r="K17" s="10"/>
      <c r="L17" s="10"/>
      <c r="M17" s="10"/>
      <c r="N17" s="10"/>
      <c r="O17" s="10"/>
      <c r="P17" s="10"/>
      <c r="Q17" s="5"/>
    </row>
    <row r="18" spans="2:17" x14ac:dyDescent="0.35">
      <c r="B18" s="13" t="s">
        <v>832</v>
      </c>
      <c r="C18" s="10" t="s">
        <v>11</v>
      </c>
      <c r="D18" s="10"/>
      <c r="E18" s="10"/>
      <c r="F18" s="10"/>
      <c r="G18" s="10"/>
      <c r="H18" s="10"/>
      <c r="I18" s="10"/>
      <c r="J18" s="10"/>
      <c r="K18" s="10"/>
      <c r="L18" s="10"/>
      <c r="M18" s="10"/>
      <c r="N18" s="10"/>
      <c r="O18" s="10"/>
      <c r="P18" s="10"/>
      <c r="Q18" s="5"/>
    </row>
    <row r="19" spans="2:17" x14ac:dyDescent="0.35">
      <c r="B19" s="13" t="s">
        <v>12</v>
      </c>
      <c r="C19" s="10" t="s">
        <v>833</v>
      </c>
      <c r="D19" s="10"/>
      <c r="E19" s="10"/>
      <c r="F19" s="10"/>
      <c r="G19" s="10"/>
      <c r="H19" s="10"/>
      <c r="I19" s="10"/>
      <c r="J19" s="10"/>
      <c r="K19" s="10"/>
      <c r="L19" s="10"/>
      <c r="M19" s="10"/>
      <c r="N19" s="10"/>
      <c r="O19" s="10"/>
      <c r="P19" s="10"/>
      <c r="Q19" s="5"/>
    </row>
    <row r="20" spans="2:17" ht="30.75" customHeight="1" x14ac:dyDescent="0.35">
      <c r="B20" s="13" t="s">
        <v>13</v>
      </c>
      <c r="C20" s="1227" t="s">
        <v>14</v>
      </c>
      <c r="D20" s="1227"/>
      <c r="E20" s="1227"/>
      <c r="F20" s="1227"/>
      <c r="G20" s="1227"/>
      <c r="H20" s="1227"/>
      <c r="I20" s="1227"/>
      <c r="J20" s="1227"/>
      <c r="K20" s="1227"/>
      <c r="L20" s="1227"/>
      <c r="M20" s="1227"/>
      <c r="N20" s="1227"/>
      <c r="O20" s="1227"/>
      <c r="P20" s="1227"/>
      <c r="Q20" s="1228"/>
    </row>
    <row r="21" spans="2:17" x14ac:dyDescent="0.35">
      <c r="B21" s="13" t="s">
        <v>15</v>
      </c>
      <c r="C21" s="10" t="s">
        <v>16</v>
      </c>
      <c r="D21" s="10"/>
      <c r="E21" s="10"/>
      <c r="F21" s="10"/>
      <c r="G21" s="10"/>
      <c r="H21" s="10"/>
      <c r="I21" s="10"/>
      <c r="J21" s="10"/>
      <c r="K21" s="10"/>
      <c r="L21" s="10"/>
      <c r="M21" s="10"/>
      <c r="N21" s="10"/>
      <c r="O21" s="10"/>
      <c r="P21" s="10"/>
      <c r="Q21" s="5"/>
    </row>
    <row r="22" spans="2:17" ht="32.25" customHeight="1" x14ac:dyDescent="0.35">
      <c r="B22" s="1" t="s">
        <v>835</v>
      </c>
      <c r="C22" s="1227" t="s">
        <v>834</v>
      </c>
      <c r="D22" s="1227"/>
      <c r="E22" s="1227"/>
      <c r="F22" s="1227"/>
      <c r="G22" s="1227"/>
      <c r="H22" s="1227"/>
      <c r="I22" s="1227"/>
      <c r="J22" s="1227"/>
      <c r="K22" s="1227"/>
      <c r="L22" s="1227"/>
      <c r="M22" s="1227"/>
      <c r="N22" s="1227"/>
      <c r="O22" s="1227"/>
      <c r="P22" s="1227"/>
      <c r="Q22" s="1228"/>
    </row>
    <row r="23" spans="2:17" ht="31.4" customHeight="1" x14ac:dyDescent="0.35">
      <c r="B23" s="13" t="s">
        <v>17</v>
      </c>
      <c r="C23" s="1227" t="s">
        <v>836</v>
      </c>
      <c r="D23" s="1227"/>
      <c r="E23" s="1227"/>
      <c r="F23" s="1227"/>
      <c r="G23" s="1227"/>
      <c r="H23" s="1227"/>
      <c r="I23" s="1227"/>
      <c r="J23" s="1227"/>
      <c r="K23" s="1227"/>
      <c r="L23" s="1227"/>
      <c r="M23" s="1227"/>
      <c r="N23" s="1227"/>
      <c r="O23" s="1227"/>
      <c r="P23" s="1227"/>
      <c r="Q23" s="1228"/>
    </row>
    <row r="24" spans="2:17" x14ac:dyDescent="0.35">
      <c r="B24" s="13" t="s">
        <v>18</v>
      </c>
      <c r="C24" s="10" t="s">
        <v>19</v>
      </c>
      <c r="D24" s="10"/>
      <c r="E24" s="10"/>
      <c r="F24" s="10"/>
      <c r="G24" s="10"/>
      <c r="H24" s="10"/>
      <c r="I24" s="10"/>
      <c r="J24" s="10"/>
      <c r="K24" s="10"/>
      <c r="L24" s="10"/>
      <c r="M24" s="10"/>
      <c r="N24" s="10"/>
      <c r="O24" s="10"/>
      <c r="P24" s="10"/>
      <c r="Q24" s="5"/>
    </row>
    <row r="25" spans="2:17" x14ac:dyDescent="0.35">
      <c r="B25" s="13" t="s">
        <v>20</v>
      </c>
      <c r="C25" s="10" t="s">
        <v>21</v>
      </c>
      <c r="D25" s="10"/>
      <c r="E25" s="10"/>
      <c r="F25" s="10"/>
      <c r="G25" s="10"/>
      <c r="H25" s="10"/>
      <c r="I25" s="10"/>
      <c r="J25" s="10"/>
      <c r="K25" s="10"/>
      <c r="L25" s="10"/>
      <c r="M25" s="10"/>
      <c r="N25" s="10"/>
      <c r="O25" s="10"/>
      <c r="P25" s="10"/>
      <c r="Q25" s="5"/>
    </row>
    <row r="26" spans="2:17" x14ac:dyDescent="0.35">
      <c r="B26" s="13" t="s">
        <v>22</v>
      </c>
      <c r="C26" s="10" t="s">
        <v>23</v>
      </c>
      <c r="D26" s="10"/>
      <c r="E26" s="10"/>
      <c r="F26" s="10"/>
      <c r="G26" s="10"/>
      <c r="H26" s="10"/>
      <c r="I26" s="10"/>
      <c r="J26" s="10"/>
      <c r="K26" s="10"/>
      <c r="L26" s="10"/>
      <c r="M26" s="10"/>
      <c r="N26" s="10"/>
      <c r="O26" s="10"/>
      <c r="P26" s="10"/>
      <c r="Q26" s="5"/>
    </row>
    <row r="27" spans="2:17" x14ac:dyDescent="0.35">
      <c r="B27" s="13" t="s">
        <v>24</v>
      </c>
      <c r="C27" s="10" t="s">
        <v>837</v>
      </c>
      <c r="D27" s="10"/>
      <c r="E27" s="10"/>
      <c r="F27" s="10"/>
      <c r="G27" s="10"/>
      <c r="H27" s="10"/>
      <c r="I27" s="10"/>
      <c r="J27" s="10"/>
      <c r="K27" s="10"/>
      <c r="L27" s="10"/>
      <c r="M27" s="10"/>
      <c r="N27" s="10"/>
      <c r="O27" s="10"/>
      <c r="P27" s="10"/>
      <c r="Q27" s="5"/>
    </row>
    <row r="28" spans="2:17" x14ac:dyDescent="0.35">
      <c r="B28" s="13" t="s">
        <v>25</v>
      </c>
      <c r="C28" s="10" t="s">
        <v>838</v>
      </c>
      <c r="D28" s="10"/>
      <c r="E28" s="10"/>
      <c r="F28" s="10"/>
      <c r="G28" s="10"/>
      <c r="H28" s="10"/>
      <c r="I28" s="10"/>
      <c r="J28" s="10"/>
      <c r="K28" s="10"/>
      <c r="L28" s="10"/>
      <c r="M28" s="10"/>
      <c r="N28" s="10"/>
      <c r="O28" s="10"/>
      <c r="P28" s="10"/>
      <c r="Q28" s="5"/>
    </row>
    <row r="29" spans="2:17" x14ac:dyDescent="0.35">
      <c r="B29" s="13" t="s">
        <v>26</v>
      </c>
      <c r="C29" s="10" t="s">
        <v>27</v>
      </c>
      <c r="D29" s="10"/>
      <c r="E29" s="10"/>
      <c r="F29" s="10"/>
      <c r="G29" s="10"/>
      <c r="H29" s="10"/>
      <c r="I29" s="10"/>
      <c r="J29" s="10"/>
      <c r="K29" s="10"/>
      <c r="L29" s="10"/>
      <c r="M29" s="10"/>
      <c r="N29" s="10"/>
      <c r="O29" s="10"/>
      <c r="P29" s="10"/>
      <c r="Q29" s="5"/>
    </row>
    <row r="30" spans="2:17" x14ac:dyDescent="0.35">
      <c r="B30" s="13"/>
      <c r="C30" s="10"/>
      <c r="D30" s="10"/>
      <c r="E30" s="10"/>
      <c r="F30" s="10"/>
      <c r="G30" s="10"/>
      <c r="H30" s="10"/>
      <c r="I30" s="10"/>
      <c r="J30" s="10"/>
      <c r="K30" s="10"/>
      <c r="L30" s="10"/>
      <c r="M30" s="10"/>
      <c r="N30" s="10"/>
      <c r="O30" s="10"/>
      <c r="P30" s="10"/>
      <c r="Q30" s="5"/>
    </row>
    <row r="31" spans="2:17" x14ac:dyDescent="0.35">
      <c r="B31" s="3" t="s">
        <v>28</v>
      </c>
      <c r="C31" s="10"/>
      <c r="D31" s="10"/>
      <c r="E31" s="10"/>
      <c r="F31" s="10"/>
      <c r="G31" s="10"/>
      <c r="H31" s="10"/>
      <c r="I31" s="10"/>
      <c r="J31" s="10"/>
      <c r="K31" s="10"/>
      <c r="L31" s="10"/>
      <c r="M31" s="10"/>
      <c r="N31" s="10"/>
      <c r="O31" s="10"/>
      <c r="P31" s="10"/>
      <c r="Q31" s="5"/>
    </row>
    <row r="32" spans="2:17" x14ac:dyDescent="0.35">
      <c r="B32" s="13" t="s">
        <v>29</v>
      </c>
      <c r="C32" s="10"/>
      <c r="D32" s="10"/>
      <c r="E32" s="10"/>
      <c r="F32" s="10"/>
      <c r="G32" s="10"/>
      <c r="H32" s="10"/>
      <c r="I32" s="10"/>
      <c r="J32" s="10"/>
      <c r="K32" s="10"/>
      <c r="L32" s="10"/>
      <c r="M32" s="10"/>
      <c r="N32" s="10"/>
      <c r="O32" s="10"/>
      <c r="P32" s="10"/>
      <c r="Q32" s="5"/>
    </row>
    <row r="33" spans="2:17" ht="30.75" customHeight="1" x14ac:dyDescent="0.35">
      <c r="B33" s="1226" t="s">
        <v>839</v>
      </c>
      <c r="C33" s="1227"/>
      <c r="D33" s="1227"/>
      <c r="E33" s="1227"/>
      <c r="F33" s="1227"/>
      <c r="G33" s="1227"/>
      <c r="H33" s="1227"/>
      <c r="I33" s="1227"/>
      <c r="J33" s="1227"/>
      <c r="K33" s="1227"/>
      <c r="L33" s="1227"/>
      <c r="M33" s="1227"/>
      <c r="N33" s="1227"/>
      <c r="O33" s="1227"/>
      <c r="P33" s="1227"/>
      <c r="Q33" s="1228"/>
    </row>
    <row r="34" spans="2:17" x14ac:dyDescent="0.35">
      <c r="B34" s="7" t="s">
        <v>30</v>
      </c>
      <c r="C34" s="10"/>
      <c r="D34" s="10"/>
      <c r="E34" s="10"/>
      <c r="F34" s="10"/>
      <c r="G34" s="10"/>
      <c r="H34" s="10"/>
      <c r="I34" s="10"/>
      <c r="J34" s="10"/>
      <c r="K34" s="10"/>
      <c r="L34" s="10"/>
      <c r="M34" s="10"/>
      <c r="N34" s="10"/>
      <c r="O34" s="10"/>
      <c r="P34" s="10"/>
      <c r="Q34" s="5"/>
    </row>
    <row r="35" spans="2:17" x14ac:dyDescent="0.35">
      <c r="B35" s="13" t="s">
        <v>31</v>
      </c>
      <c r="C35" s="10"/>
      <c r="D35" s="10"/>
      <c r="E35" s="10"/>
      <c r="F35" s="10"/>
      <c r="G35" s="10"/>
      <c r="H35" s="10"/>
      <c r="I35" s="10"/>
      <c r="J35" s="10"/>
      <c r="K35" s="10"/>
      <c r="L35" s="10"/>
      <c r="M35" s="10"/>
      <c r="N35" s="10"/>
      <c r="O35" s="10"/>
      <c r="P35" s="10"/>
      <c r="Q35" s="5"/>
    </row>
    <row r="36" spans="2:17" x14ac:dyDescent="0.35">
      <c r="B36" s="12" t="s">
        <v>32</v>
      </c>
      <c r="C36" s="4"/>
      <c r="D36" s="4"/>
      <c r="E36" s="4"/>
      <c r="F36" s="4"/>
      <c r="G36" s="4"/>
      <c r="H36" s="4"/>
      <c r="I36" s="4"/>
      <c r="J36" s="4"/>
      <c r="K36" s="4"/>
      <c r="L36" s="4"/>
      <c r="M36" s="4"/>
      <c r="N36" s="4"/>
      <c r="O36" s="4"/>
      <c r="P36" s="4"/>
      <c r="Q36" s="6"/>
    </row>
    <row r="39" spans="2:17" x14ac:dyDescent="0.35">
      <c r="B39" s="8"/>
      <c r="C39" s="8"/>
      <c r="D39" s="8"/>
      <c r="E39" s="8"/>
      <c r="F39" s="8"/>
      <c r="G39" s="8"/>
      <c r="H39" s="8"/>
      <c r="I39" s="8"/>
      <c r="J39" s="8"/>
      <c r="K39" s="8"/>
      <c r="L39" s="8"/>
      <c r="M39" s="8"/>
      <c r="N39" s="8"/>
      <c r="O39" s="8"/>
      <c r="P39" s="8"/>
      <c r="Q39" s="8"/>
    </row>
    <row r="40" spans="2:17" x14ac:dyDescent="0.35">
      <c r="B40" s="8"/>
      <c r="C40" s="8"/>
      <c r="D40" s="8"/>
      <c r="E40" s="8"/>
      <c r="F40" s="8"/>
      <c r="G40" s="8"/>
      <c r="H40" s="8"/>
      <c r="I40" s="8"/>
      <c r="J40" s="8"/>
      <c r="K40" s="8"/>
      <c r="L40" s="8"/>
      <c r="M40" s="8"/>
      <c r="N40" s="8"/>
      <c r="O40" s="8"/>
      <c r="P40" s="8"/>
      <c r="Q40" s="8"/>
    </row>
    <row r="41" spans="2:17" x14ac:dyDescent="0.35">
      <c r="B41" s="8"/>
      <c r="C41" s="8"/>
      <c r="D41" s="8"/>
      <c r="E41" s="8"/>
      <c r="F41" s="8"/>
      <c r="G41" s="8"/>
      <c r="H41" s="8"/>
      <c r="I41" s="8"/>
      <c r="J41" s="8"/>
      <c r="K41" s="8"/>
      <c r="L41" s="8"/>
      <c r="M41" s="8"/>
      <c r="N41" s="8"/>
      <c r="O41" s="8"/>
      <c r="P41" s="8"/>
      <c r="Q41" s="8"/>
    </row>
    <row r="42" spans="2:17" x14ac:dyDescent="0.35">
      <c r="B42" s="8"/>
      <c r="C42" s="8"/>
      <c r="D42" s="8"/>
      <c r="E42" s="8"/>
      <c r="F42" s="8"/>
      <c r="G42" s="8"/>
      <c r="H42" s="8"/>
      <c r="I42" s="8"/>
      <c r="J42" s="8"/>
      <c r="K42" s="8"/>
      <c r="L42" s="8"/>
      <c r="M42" s="8"/>
      <c r="N42" s="8"/>
      <c r="O42" s="8"/>
      <c r="P42" s="8"/>
      <c r="Q42" s="8"/>
    </row>
    <row r="43" spans="2:17" x14ac:dyDescent="0.35">
      <c r="B43" s="8"/>
      <c r="C43" s="8"/>
      <c r="D43" s="8"/>
      <c r="E43" s="8"/>
      <c r="F43" s="8"/>
      <c r="G43" s="8"/>
      <c r="H43" s="8"/>
      <c r="I43" s="8"/>
      <c r="J43" s="8"/>
      <c r="K43" s="8"/>
      <c r="L43" s="8"/>
      <c r="M43" s="8"/>
      <c r="N43" s="8"/>
      <c r="O43" s="8"/>
      <c r="P43" s="8"/>
      <c r="Q43" s="8"/>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I30" sqref="I30"/>
    </sheetView>
  </sheetViews>
  <sheetFormatPr defaultColWidth="10.90625" defaultRowHeight="14.5" x14ac:dyDescent="0.35"/>
  <cols>
    <col min="1" max="1" width="33" customWidth="1"/>
    <col min="2" max="2" width="27.1796875" customWidth="1"/>
  </cols>
  <sheetData>
    <row r="1" spans="1:22" x14ac:dyDescent="0.35">
      <c r="A1" s="75" t="s">
        <v>178</v>
      </c>
      <c r="B1" s="75" t="s">
        <v>179</v>
      </c>
      <c r="C1" s="200" t="s">
        <v>247</v>
      </c>
      <c r="D1" s="200" t="s">
        <v>248</v>
      </c>
      <c r="E1" s="200" t="s">
        <v>249</v>
      </c>
      <c r="F1" s="200" t="s">
        <v>250</v>
      </c>
      <c r="G1" s="75" t="s">
        <v>251</v>
      </c>
      <c r="H1" s="75" t="s">
        <v>180</v>
      </c>
      <c r="I1" s="75" t="s">
        <v>181</v>
      </c>
      <c r="J1" s="75" t="s">
        <v>182</v>
      </c>
      <c r="K1" s="75" t="s">
        <v>183</v>
      </c>
      <c r="L1" s="80" t="s">
        <v>184</v>
      </c>
      <c r="M1" s="80" t="s">
        <v>185</v>
      </c>
      <c r="N1" s="80" t="s">
        <v>186</v>
      </c>
      <c r="O1" s="80" t="s">
        <v>187</v>
      </c>
      <c r="P1" s="80" t="s">
        <v>188</v>
      </c>
      <c r="Q1" s="80" t="s">
        <v>189</v>
      </c>
      <c r="R1" s="80" t="s">
        <v>1935</v>
      </c>
      <c r="S1" s="80"/>
      <c r="T1" s="80"/>
      <c r="U1" s="80"/>
      <c r="V1" s="80"/>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56">
        <f>Grants!P75</f>
        <v>396.106852</v>
      </c>
      <c r="J2" s="56">
        <f>Grants!Q75</f>
        <v>433.66327480000001</v>
      </c>
      <c r="K2" s="56">
        <f>Grants!R75</f>
        <v>500.88603199999994</v>
      </c>
      <c r="L2" s="56">
        <f>Grants!S75</f>
        <v>486.87586800000008</v>
      </c>
      <c r="M2" s="56">
        <f>Grants!T75</f>
        <v>445.45392800000008</v>
      </c>
      <c r="N2" s="56">
        <f>Grants!U75</f>
        <v>439.61154320000009</v>
      </c>
      <c r="O2" s="56">
        <f>Grants!V75</f>
        <v>429.15772000000004</v>
      </c>
      <c r="P2" s="197">
        <f>Grants!W75</f>
        <v>415.61894400000006</v>
      </c>
      <c r="Q2" s="197">
        <f>Grants!X75</f>
        <v>427.53694400000006</v>
      </c>
      <c r="R2" s="197">
        <f>Grants!Y75</f>
        <v>427.26494400000001</v>
      </c>
    </row>
    <row r="3" spans="1:22" ht="29.15" customHeight="1" x14ac:dyDescent="0.35">
      <c r="A3" s="14" t="s">
        <v>792</v>
      </c>
      <c r="B3" t="s">
        <v>789</v>
      </c>
      <c r="C3">
        <f>'Social Benefits'!J33</f>
        <v>1650.6000000000004</v>
      </c>
      <c r="D3">
        <f>'Social Benefits'!K33</f>
        <v>1808.6</v>
      </c>
      <c r="E3">
        <f>'Social Benefits'!L33</f>
        <v>1697.9</v>
      </c>
      <c r="F3">
        <f>'Social Benefits'!M33</f>
        <v>1739.3999999999999</v>
      </c>
      <c r="G3">
        <f>'Social Benefits'!N33</f>
        <v>1749.07816</v>
      </c>
      <c r="H3">
        <f>'Social Benefits'!O33</f>
        <v>1919.92984</v>
      </c>
      <c r="I3" s="56">
        <f>'Social Benefits'!P33</f>
        <v>1894.6239999999998</v>
      </c>
      <c r="J3" s="56">
        <f>'Social Benefits'!Q33</f>
        <v>1859.424</v>
      </c>
      <c r="K3" s="56">
        <f>'Social Benefits'!R33</f>
        <v>1856.6239999999998</v>
      </c>
      <c r="L3" s="56">
        <f>'Social Benefits'!S33</f>
        <v>1840.0239999999999</v>
      </c>
      <c r="M3" s="56">
        <f>'Social Benefits'!T33</f>
        <v>1904.0839999999996</v>
      </c>
      <c r="N3" s="56">
        <f>'Social Benefits'!U33</f>
        <v>1972.2840000000003</v>
      </c>
      <c r="O3" s="56">
        <f>'Social Benefits'!V33</f>
        <v>1951.7554285714286</v>
      </c>
      <c r="P3" s="197">
        <f>'Social Benefits'!W33</f>
        <v>1947.7554285714286</v>
      </c>
      <c r="Q3" s="197">
        <f>'Social Benefits'!X33</f>
        <v>1954.2990000000002</v>
      </c>
      <c r="R3" s="197">
        <f>'Social Benefits'!Y33</f>
        <v>2046.499</v>
      </c>
    </row>
    <row r="4" spans="1:22" ht="29.15" customHeight="1" x14ac:dyDescent="0.35">
      <c r="A4" s="14" t="s">
        <v>794</v>
      </c>
      <c r="B4" t="s">
        <v>790</v>
      </c>
      <c r="C4">
        <f>'Social Benefits'!J24</f>
        <v>0</v>
      </c>
      <c r="D4">
        <f>'Social Benefits'!K24</f>
        <v>0</v>
      </c>
      <c r="E4">
        <f>'Social Benefits'!L24</f>
        <v>0</v>
      </c>
      <c r="F4">
        <f>'Social Benefits'!M24</f>
        <v>0</v>
      </c>
      <c r="G4">
        <f>'Social Benefits'!N24</f>
        <v>33.921840000000024</v>
      </c>
      <c r="H4">
        <f>'Social Benefits'!O24</f>
        <v>44.966160000000031</v>
      </c>
      <c r="I4" s="56">
        <f>'Social Benefits'!P24</f>
        <v>52.756999999999998</v>
      </c>
      <c r="J4" s="56">
        <f>'Social Benefits'!Q24</f>
        <v>52.756999999999998</v>
      </c>
      <c r="K4" s="56">
        <f>'Social Benefits'!R24</f>
        <v>52.756999999999998</v>
      </c>
      <c r="L4" s="56">
        <f>'Social Benefits'!S24</f>
        <v>52.756999999999998</v>
      </c>
      <c r="M4" s="56">
        <f>'Social Benefits'!T24</f>
        <v>30</v>
      </c>
      <c r="N4" s="56">
        <f>'Social Benefits'!U24</f>
        <v>12</v>
      </c>
      <c r="O4" s="56">
        <f>'Social Benefits'!V24</f>
        <v>12</v>
      </c>
      <c r="P4" s="197">
        <f>'Social Benefits'!W24</f>
        <v>12</v>
      </c>
      <c r="Q4" s="197">
        <f>'Social Benefits'!X24</f>
        <v>4.2219999999999995</v>
      </c>
      <c r="R4" s="197">
        <f>'Social Benefits'!Y24</f>
        <v>4.2219999999999995</v>
      </c>
    </row>
    <row r="5" spans="1:22" x14ac:dyDescent="0.35">
      <c r="A5" s="14" t="s">
        <v>793</v>
      </c>
      <c r="B5" t="s">
        <v>791</v>
      </c>
      <c r="C5">
        <f>'Social Benefits'!J30</f>
        <v>160.9</v>
      </c>
      <c r="D5">
        <f>'Social Benefits'!K30</f>
        <v>58.4</v>
      </c>
      <c r="E5">
        <f>'Social Benefits'!L30</f>
        <v>34.5</v>
      </c>
      <c r="F5">
        <f>'Social Benefits'!M30</f>
        <v>21.4</v>
      </c>
      <c r="G5">
        <f>'Social Benefits'!N30</f>
        <v>13.3</v>
      </c>
      <c r="H5">
        <f>'Social Benefits'!O30</f>
        <v>21.804000000000041</v>
      </c>
      <c r="I5" s="56">
        <f>'Social Benefits'!P30</f>
        <v>51.919000000000011</v>
      </c>
      <c r="J5" s="56">
        <f>'Social Benefits'!Q30</f>
        <v>46.619</v>
      </c>
      <c r="K5" s="56">
        <f>'Social Benefits'!R30</f>
        <v>39.719000000000008</v>
      </c>
      <c r="L5" s="56">
        <f>'Social Benefits'!S30</f>
        <v>27.819000000000003</v>
      </c>
      <c r="M5" s="56">
        <f>'Social Benefits'!T30</f>
        <v>6.3160000000000007</v>
      </c>
      <c r="N5" s="56">
        <f>'Social Benefits'!U30</f>
        <v>1.4159999999999999</v>
      </c>
      <c r="O5" s="56">
        <f>'Social Benefits'!V30</f>
        <v>1.4159999999999999</v>
      </c>
      <c r="P5" s="197">
        <f>'Social Benefits'!W30</f>
        <v>1.4159999999999999</v>
      </c>
      <c r="Q5" s="197">
        <f>'Social Benefits'!X30</f>
        <v>1.4790000000000001</v>
      </c>
      <c r="R5" s="197">
        <f>'Social Benefits'!Y30</f>
        <v>1.4790000000000001</v>
      </c>
    </row>
    <row r="6" spans="1:22" x14ac:dyDescent="0.35">
      <c r="A6" s="56" t="s">
        <v>201</v>
      </c>
      <c r="B6" s="56" t="s">
        <v>828</v>
      </c>
      <c r="C6" s="201">
        <f>Subsidies!J45</f>
        <v>0</v>
      </c>
      <c r="D6" s="201">
        <f>Subsidies!K45</f>
        <v>0</v>
      </c>
      <c r="E6" s="201">
        <f>Subsidies!L45</f>
        <v>0</v>
      </c>
      <c r="F6" s="201">
        <f>Subsidies!M45</f>
        <v>0</v>
      </c>
      <c r="G6" s="201">
        <f>Subsidies!N45</f>
        <v>58.782959999999989</v>
      </c>
      <c r="H6" s="201">
        <f>Subsidies!O45</f>
        <v>267.78904</v>
      </c>
      <c r="I6" s="201">
        <f>Subsidies!P45</f>
        <v>110.24799999999999</v>
      </c>
      <c r="J6" s="201">
        <f>Subsidies!Q45</f>
        <v>110.24799999999999</v>
      </c>
      <c r="K6" s="201">
        <f>Subsidies!R45</f>
        <v>110.24799999999999</v>
      </c>
      <c r="L6" s="201">
        <f>Subsidies!S45</f>
        <v>110.24799999999999</v>
      </c>
      <c r="M6" s="201">
        <f>Subsidies!T45</f>
        <v>12.726000000000001</v>
      </c>
      <c r="N6" s="201">
        <f>Subsidies!U45</f>
        <v>12.726000000000001</v>
      </c>
      <c r="O6" s="201">
        <f>Subsidies!V45</f>
        <v>12.726000000000001</v>
      </c>
      <c r="P6" s="198">
        <f>Subsidies!W45</f>
        <v>12.726000000000001</v>
      </c>
      <c r="Q6" s="198">
        <f>Subsidies!X45</f>
        <v>1.365</v>
      </c>
      <c r="R6" s="198">
        <f>Subsidies!Y45</f>
        <v>1.365</v>
      </c>
    </row>
    <row r="7" spans="1:22" ht="29.15" customHeight="1" x14ac:dyDescent="0.35">
      <c r="A7" s="14" t="s">
        <v>867</v>
      </c>
      <c r="B7" t="s">
        <v>865</v>
      </c>
      <c r="C7" s="56" t="e">
        <f>Taxes!#REF!</f>
        <v>#REF!</v>
      </c>
      <c r="D7" s="56" t="e">
        <f>Taxes!#REF!</f>
        <v>#REF!</v>
      </c>
      <c r="E7" s="56" t="e">
        <f>Taxes!#REF!</f>
        <v>#REF!</v>
      </c>
      <c r="F7" s="56" t="e">
        <f>Taxes!#REF!</f>
        <v>#REF!</v>
      </c>
      <c r="G7" s="56" t="e">
        <f>Taxes!#REF!</f>
        <v>#REF!</v>
      </c>
      <c r="H7" s="56" t="e">
        <f>Taxes!#REF!</f>
        <v>#REF!</v>
      </c>
      <c r="I7" s="56" t="e">
        <f>Taxes!#REF!</f>
        <v>#REF!</v>
      </c>
      <c r="J7" s="56" t="e">
        <f>Taxes!#REF!</f>
        <v>#REF!</v>
      </c>
      <c r="K7" s="56" t="e">
        <f>Taxes!#REF!</f>
        <v>#REF!</v>
      </c>
      <c r="L7" s="56" t="e">
        <f>Taxes!#REF!</f>
        <v>#REF!</v>
      </c>
      <c r="M7" s="56" t="e">
        <f>Taxes!#REF!</f>
        <v>#REF!</v>
      </c>
      <c r="N7" s="56" t="e">
        <f>Taxes!#REF!</f>
        <v>#REF!</v>
      </c>
      <c r="O7" s="56" t="e">
        <f>Taxes!#REF!</f>
        <v>#REF!</v>
      </c>
      <c r="P7" s="197" t="e">
        <f>Taxes!#REF!</f>
        <v>#REF!</v>
      </c>
      <c r="Q7" s="197" t="e">
        <f>Taxes!#REF!</f>
        <v>#REF!</v>
      </c>
      <c r="R7" s="197" t="e">
        <f>Taxes!#REF!</f>
        <v>#REF!</v>
      </c>
    </row>
    <row r="8" spans="1:22" x14ac:dyDescent="0.35">
      <c r="A8" t="s">
        <v>868</v>
      </c>
      <c r="B8" t="s">
        <v>866</v>
      </c>
      <c r="C8" s="56"/>
      <c r="D8" s="56"/>
      <c r="E8" s="56"/>
      <c r="F8" s="56"/>
      <c r="G8" s="56"/>
      <c r="H8" s="56"/>
      <c r="J8" s="73"/>
      <c r="K8" s="73"/>
      <c r="L8" s="73"/>
      <c r="M8" s="73"/>
      <c r="N8" s="73" t="e">
        <f>forecast!#REF!</f>
        <v>#REF!</v>
      </c>
      <c r="O8" s="73" t="e">
        <f>forecast!#REF!</f>
        <v>#REF!</v>
      </c>
      <c r="P8" s="199" t="e">
        <f>forecast!#REF!</f>
        <v>#REF!</v>
      </c>
      <c r="Q8" s="199" t="e">
        <f>forecast!#REF!</f>
        <v>#REF!</v>
      </c>
      <c r="R8" s="199" t="e">
        <f>forecast!#REF!</f>
        <v>#REF!</v>
      </c>
    </row>
    <row r="9" spans="1:22" x14ac:dyDescent="0.35">
      <c r="A9" s="14" t="s">
        <v>923</v>
      </c>
      <c r="B9" t="s">
        <v>924</v>
      </c>
      <c r="C9">
        <f>Grants!J96</f>
        <v>75.986000000000004</v>
      </c>
      <c r="D9">
        <f>Grants!K96</f>
        <v>79.650999999999996</v>
      </c>
      <c r="E9">
        <f>Grants!L96</f>
        <v>75.400999999999996</v>
      </c>
      <c r="F9">
        <f>Grants!M96</f>
        <v>73.034999999999997</v>
      </c>
      <c r="G9">
        <f>Grants!N96</f>
        <v>75.13</v>
      </c>
      <c r="H9">
        <f>Grants!O96</f>
        <v>70.191999999999993</v>
      </c>
      <c r="I9">
        <f>Grants!P96</f>
        <v>72.266999999999996</v>
      </c>
      <c r="J9">
        <f>Grants!Q96</f>
        <v>74.974000000000004</v>
      </c>
      <c r="K9">
        <f>Grants!R96</f>
        <v>75.229285714285723</v>
      </c>
      <c r="L9">
        <f>Grants!S96</f>
        <v>75.229285714285723</v>
      </c>
      <c r="M9" s="56">
        <f>Grants!T96</f>
        <v>76.048285714285726</v>
      </c>
      <c r="N9" s="56">
        <f>Grants!U96</f>
        <v>76.048285714285726</v>
      </c>
      <c r="O9" s="56">
        <f>Grants!V96</f>
        <v>76.048285714285726</v>
      </c>
      <c r="P9" s="197">
        <f>Grants!W96</f>
        <v>76.048285714285726</v>
      </c>
      <c r="Q9" s="197">
        <f>Grants!X96</f>
        <v>77.707285714285717</v>
      </c>
      <c r="R9" s="197">
        <f>Grants!Y96</f>
        <v>77.707285714285717</v>
      </c>
    </row>
    <row r="10" spans="1:22" x14ac:dyDescent="0.35">
      <c r="A10" t="s">
        <v>1905</v>
      </c>
      <c r="B10" t="s">
        <v>1906</v>
      </c>
      <c r="C10">
        <v>0</v>
      </c>
      <c r="D10">
        <v>0</v>
      </c>
      <c r="E10">
        <v>0</v>
      </c>
      <c r="F10">
        <v>0</v>
      </c>
      <c r="G10">
        <v>0</v>
      </c>
      <c r="H10">
        <v>0</v>
      </c>
      <c r="I10">
        <v>0</v>
      </c>
      <c r="J10">
        <v>0</v>
      </c>
      <c r="K10">
        <f>'Supply Side IRA'!R14</f>
        <v>0</v>
      </c>
      <c r="L10">
        <f>'Supply Side IRA'!S14</f>
        <v>11.312146474264033</v>
      </c>
      <c r="M10">
        <f>'Supply Side IRA'!T14</f>
        <v>11.416527727947438</v>
      </c>
      <c r="N10">
        <f>'Supply Side IRA'!U14</f>
        <v>35.755431152428351</v>
      </c>
      <c r="O10">
        <f>'Supply Side IRA'!V14</f>
        <v>58.110152249485409</v>
      </c>
      <c r="P10" s="196">
        <f>'Supply Side IRA'!W14</f>
        <v>83.193405424561121</v>
      </c>
      <c r="Q10" s="196">
        <f>'Supply Side IRA'!X14</f>
        <v>106.91859551891037</v>
      </c>
      <c r="R10" s="196">
        <f>'Supply Side IRA'!Y14</f>
        <v>123.69179914307749</v>
      </c>
    </row>
    <row r="11" spans="1:22" x14ac:dyDescent="0.35">
      <c r="A11" s="14" t="s">
        <v>1912</v>
      </c>
      <c r="B11" t="s">
        <v>1913</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97">
        <f>'Student loans'!W11</f>
        <v>2.0815079999999999</v>
      </c>
      <c r="Q11" s="197">
        <f>'Student loans'!X11</f>
        <v>2.1006180000000003</v>
      </c>
      <c r="R11" s="197">
        <f>'Student loans'!Y11</f>
        <v>2.5815300000000003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J2" sqref="J2"/>
    </sheetView>
  </sheetViews>
  <sheetFormatPr defaultColWidth="10.90625" defaultRowHeight="14.5" x14ac:dyDescent="0.35"/>
  <cols>
    <col min="1" max="1" width="32.81640625" customWidth="1"/>
    <col min="2" max="2" width="28.54296875" customWidth="1"/>
  </cols>
  <sheetData>
    <row r="1" spans="1:10" x14ac:dyDescent="0.35">
      <c r="A1" s="75" t="s">
        <v>178</v>
      </c>
      <c r="B1" s="75" t="s">
        <v>179</v>
      </c>
      <c r="C1" s="78" t="s">
        <v>191</v>
      </c>
      <c r="D1" s="78" t="s">
        <v>175</v>
      </c>
      <c r="E1" s="78" t="s">
        <v>176</v>
      </c>
      <c r="F1" s="78" t="s">
        <v>177</v>
      </c>
      <c r="G1" s="78" t="s">
        <v>765</v>
      </c>
      <c r="H1" s="78" t="s">
        <v>766</v>
      </c>
      <c r="I1" s="78" t="s">
        <v>767</v>
      </c>
      <c r="J1" s="202" t="s">
        <v>1936</v>
      </c>
    </row>
    <row r="2" spans="1:10" x14ac:dyDescent="0.35">
      <c r="A2" s="77" t="s">
        <v>1708</v>
      </c>
      <c r="B2" t="s">
        <v>1726</v>
      </c>
      <c r="C2" s="72">
        <f>Deflators!Z23</f>
        <v>1.100082528555002E-2</v>
      </c>
      <c r="D2" s="72">
        <f>Deflators!AA23</f>
        <v>7.166259764898264E-3</v>
      </c>
      <c r="E2" s="72">
        <f>Deflators!AB23</f>
        <v>5.8204452309313925E-3</v>
      </c>
      <c r="F2" s="72">
        <f>Deflators!AC23</f>
        <v>5.4050287894606974E-3</v>
      </c>
      <c r="G2" s="203">
        <f>Deflators!AD23</f>
        <v>5.3510824454261474E-3</v>
      </c>
      <c r="H2" s="203">
        <f>Deflators!AE23</f>
        <v>5.1374641193888682E-3</v>
      </c>
      <c r="I2" s="203">
        <f>Deflators!AF23</f>
        <v>4.9902256196157069E-3</v>
      </c>
      <c r="J2" s="203">
        <f>Deflators!AG23</f>
        <v>4.9039461559314823E-3</v>
      </c>
    </row>
    <row r="3" spans="1:10" x14ac:dyDescent="0.35">
      <c r="A3" s="68" t="s">
        <v>1722</v>
      </c>
      <c r="B3" t="s">
        <v>1727</v>
      </c>
      <c r="C3" s="72">
        <f>Deflators!Z24</f>
        <v>1.1305299393512325E-2</v>
      </c>
      <c r="D3" s="72">
        <f>Deflators!AA24</f>
        <v>8.3951570103690809E-3</v>
      </c>
      <c r="E3" s="72">
        <f>Deflators!AB24</f>
        <v>7.0350931713105691E-3</v>
      </c>
      <c r="F3" s="72">
        <f>Deflators!AC24</f>
        <v>6.0393595708148062E-3</v>
      </c>
      <c r="G3" s="203">
        <f>Deflators!AD24</f>
        <v>5.875261807140264E-3</v>
      </c>
      <c r="H3" s="203">
        <f>Deflators!AE24</f>
        <v>5.8170411371414321E-3</v>
      </c>
      <c r="I3" s="203">
        <f>Deflators!AF24</f>
        <v>5.8313802450995489E-3</v>
      </c>
      <c r="J3" s="203">
        <f>Deflators!AG24</f>
        <v>4.454365822902373E-3</v>
      </c>
    </row>
    <row r="4" spans="1:10" x14ac:dyDescent="0.35">
      <c r="A4" s="68" t="s">
        <v>1723</v>
      </c>
      <c r="B4" t="s">
        <v>1728</v>
      </c>
      <c r="C4" s="72">
        <f>Deflators!Z25</f>
        <v>1.3059209697085183E-2</v>
      </c>
      <c r="D4" s="72">
        <f>Deflators!AA25</f>
        <v>7.7163119627912113E-3</v>
      </c>
      <c r="E4" s="72">
        <f>Deflators!AB25</f>
        <v>6.5683918252987805E-3</v>
      </c>
      <c r="F4" s="72">
        <f>Deflators!AC25</f>
        <v>6.3938288917109176E-3</v>
      </c>
      <c r="G4" s="203">
        <f>Deflators!AD25</f>
        <v>6.3134503311721435E-3</v>
      </c>
      <c r="H4" s="203">
        <f>Deflators!AE25</f>
        <v>6.2156439075380376E-3</v>
      </c>
      <c r="I4" s="203">
        <f>Deflators!AF25</f>
        <v>6.1621486341001397E-3</v>
      </c>
      <c r="J4" s="203">
        <f>Deflators!AG25</f>
        <v>6.1742729046745382E-3</v>
      </c>
    </row>
    <row r="5" spans="1:10" x14ac:dyDescent="0.35">
      <c r="A5" s="68" t="s">
        <v>1724</v>
      </c>
      <c r="B5" t="s">
        <v>1729</v>
      </c>
      <c r="C5" s="72">
        <f>Deflators!Z26</f>
        <v>1.3059209697085183E-2</v>
      </c>
      <c r="D5" s="72">
        <f>Deflators!AA26</f>
        <v>7.7163119627912113E-3</v>
      </c>
      <c r="E5" s="72">
        <f>Deflators!AB26</f>
        <v>6.5683918252987805E-3</v>
      </c>
      <c r="F5" s="72">
        <f>Deflators!AC26</f>
        <v>6.3938288917109176E-3</v>
      </c>
      <c r="G5" s="203">
        <f>Deflators!AD26</f>
        <v>6.3134503311721435E-3</v>
      </c>
      <c r="H5" s="203">
        <f>Deflators!AE26</f>
        <v>6.2156439075380376E-3</v>
      </c>
      <c r="I5" s="203">
        <f>Deflators!AF26</f>
        <v>6.1621486341001397E-3</v>
      </c>
      <c r="J5" s="203">
        <f>Deflators!AG26</f>
        <v>6.1742729046745382E-3</v>
      </c>
    </row>
    <row r="6" spans="1:10" x14ac:dyDescent="0.35">
      <c r="A6" s="56" t="s">
        <v>1725</v>
      </c>
      <c r="B6" t="s">
        <v>1730</v>
      </c>
      <c r="C6" s="72">
        <f>Deflators!Z27</f>
        <v>1.3059209697085183E-2</v>
      </c>
      <c r="D6" s="72">
        <f>Deflators!AA27</f>
        <v>7.7163119627912113E-3</v>
      </c>
      <c r="E6" s="72">
        <f>Deflators!AB27</f>
        <v>6.5683918252987805E-3</v>
      </c>
      <c r="F6" s="72">
        <f>Deflators!AC27</f>
        <v>6.3938288917109176E-3</v>
      </c>
      <c r="G6" s="203">
        <f>Deflators!AD27</f>
        <v>6.3134503311721435E-3</v>
      </c>
      <c r="H6" s="203">
        <f>Deflators!AE27</f>
        <v>6.2156439075380376E-3</v>
      </c>
      <c r="I6" s="203">
        <f>Deflators!AF27</f>
        <v>6.1621486341001397E-3</v>
      </c>
      <c r="J6" s="203">
        <f>Deflators!AG27</f>
        <v>6.1742729046745382E-3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90625" defaultRowHeight="14.5" x14ac:dyDescent="0.35"/>
  <cols>
    <col min="1" max="2" width="70.81640625" customWidth="1"/>
  </cols>
  <sheetData>
    <row r="1" spans="1:45" ht="15.65" customHeight="1" x14ac:dyDescent="0.35">
      <c r="A1" s="1276" t="s">
        <v>254</v>
      </c>
      <c r="B1" s="1276"/>
      <c r="C1" s="1276"/>
      <c r="D1" s="1276"/>
      <c r="E1" s="1276"/>
      <c r="F1" s="1276"/>
      <c r="G1" s="1276"/>
      <c r="H1" s="1276"/>
      <c r="I1" s="1276"/>
      <c r="J1" s="1276"/>
      <c r="K1" s="1276"/>
      <c r="L1" s="1276"/>
      <c r="M1" s="1276"/>
      <c r="N1" s="1276"/>
      <c r="O1" s="1276"/>
    </row>
    <row r="2" spans="1:45" ht="31.4" customHeight="1" x14ac:dyDescent="0.35">
      <c r="A2" s="204"/>
      <c r="B2" s="204" t="s">
        <v>179</v>
      </c>
      <c r="C2" s="210">
        <v>1</v>
      </c>
      <c r="D2" s="210">
        <f>C2+1</f>
        <v>2</v>
      </c>
      <c r="E2" s="210">
        <f t="shared" ref="E2:N2" si="0">D2+1</f>
        <v>3</v>
      </c>
      <c r="F2" s="210">
        <f t="shared" si="0"/>
        <v>4</v>
      </c>
      <c r="G2" s="210">
        <f t="shared" si="0"/>
        <v>5</v>
      </c>
      <c r="H2" s="210">
        <f t="shared" si="0"/>
        <v>6</v>
      </c>
      <c r="I2" s="210">
        <f t="shared" si="0"/>
        <v>7</v>
      </c>
      <c r="J2" s="210">
        <f t="shared" si="0"/>
        <v>8</v>
      </c>
      <c r="K2" s="210">
        <f t="shared" si="0"/>
        <v>9</v>
      </c>
      <c r="L2" s="210">
        <f t="shared" si="0"/>
        <v>10</v>
      </c>
      <c r="M2" s="210">
        <f t="shared" si="0"/>
        <v>11</v>
      </c>
      <c r="N2" s="210">
        <f t="shared" si="0"/>
        <v>12</v>
      </c>
      <c r="O2" s="208" t="s">
        <v>255</v>
      </c>
    </row>
    <row r="3" spans="1:45" ht="15.65" customHeight="1" x14ac:dyDescent="0.35">
      <c r="A3" s="205" t="s">
        <v>256</v>
      </c>
      <c r="B3" s="205" t="s">
        <v>257</v>
      </c>
      <c r="C3" s="72">
        <v>0.22500000000000001</v>
      </c>
      <c r="D3" s="72">
        <v>0.22500000000000001</v>
      </c>
      <c r="E3" s="72">
        <v>0.22500000000000001</v>
      </c>
      <c r="F3" s="72">
        <v>0.22500000000000001</v>
      </c>
      <c r="G3" s="211">
        <v>0</v>
      </c>
      <c r="H3" s="211">
        <v>0</v>
      </c>
      <c r="I3" s="211">
        <v>0</v>
      </c>
      <c r="J3" s="211">
        <v>0</v>
      </c>
      <c r="K3" s="211">
        <v>0</v>
      </c>
      <c r="L3" s="211">
        <v>0</v>
      </c>
      <c r="M3" s="211">
        <v>0</v>
      </c>
      <c r="N3" s="211">
        <v>0</v>
      </c>
      <c r="O3" s="209">
        <f>SUM(C3:N3)</f>
        <v>0.9</v>
      </c>
      <c r="P3" s="72"/>
      <c r="Q3" s="72"/>
      <c r="R3" s="72"/>
      <c r="S3" s="72"/>
      <c r="T3" s="211"/>
      <c r="U3" s="211"/>
      <c r="V3" s="211"/>
      <c r="W3" s="211"/>
      <c r="X3" s="211"/>
      <c r="Y3" s="211"/>
      <c r="Z3" s="211"/>
      <c r="AA3" s="211"/>
      <c r="AC3" s="74"/>
      <c r="AD3" s="74"/>
      <c r="AE3" s="74"/>
      <c r="AF3" s="74"/>
      <c r="AG3" s="74"/>
      <c r="AH3" s="74"/>
      <c r="AI3" s="74"/>
      <c r="AJ3" s="74"/>
      <c r="AK3" s="74"/>
      <c r="AL3" s="74"/>
      <c r="AM3" s="74"/>
      <c r="AN3" s="74"/>
      <c r="AO3" s="74"/>
      <c r="AP3" s="74"/>
      <c r="AQ3" s="74"/>
      <c r="AR3" s="74"/>
      <c r="AS3" s="74"/>
    </row>
    <row r="4" spans="1:45" ht="15.65" customHeight="1" x14ac:dyDescent="0.35">
      <c r="A4" s="207" t="s">
        <v>258</v>
      </c>
      <c r="B4" s="207"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209">
        <f>SUM(C4:N4)</f>
        <v>-0.39999999999999997</v>
      </c>
      <c r="P4" s="72"/>
      <c r="Q4" s="72"/>
      <c r="R4" s="72"/>
      <c r="S4" s="72"/>
      <c r="T4" s="72"/>
      <c r="U4" s="72"/>
      <c r="V4" s="72"/>
      <c r="W4" s="72"/>
      <c r="X4" s="72"/>
      <c r="Y4" s="72"/>
      <c r="Z4" s="72"/>
      <c r="AA4" s="72"/>
      <c r="AC4" s="74"/>
      <c r="AD4" s="74"/>
      <c r="AE4" s="74"/>
      <c r="AF4" s="74"/>
      <c r="AG4" s="74"/>
      <c r="AH4" s="74"/>
      <c r="AI4" s="74"/>
      <c r="AJ4" s="74"/>
      <c r="AK4" s="74"/>
      <c r="AL4" s="74"/>
      <c r="AM4" s="74"/>
      <c r="AN4" s="74"/>
    </row>
    <row r="5" spans="1:45" ht="15.65" customHeight="1" x14ac:dyDescent="0.35">
      <c r="A5" s="207" t="s">
        <v>260</v>
      </c>
      <c r="B5" s="207" t="s">
        <v>261</v>
      </c>
      <c r="C5" s="72">
        <v>-0.12</v>
      </c>
      <c r="D5" s="72">
        <v>-0.12</v>
      </c>
      <c r="E5" s="72">
        <v>-0.06</v>
      </c>
      <c r="F5" s="72">
        <v>-0.06</v>
      </c>
      <c r="G5" s="72">
        <v>-0.06</v>
      </c>
      <c r="H5" s="72">
        <v>-0.06</v>
      </c>
      <c r="I5" s="72">
        <v>-0.06</v>
      </c>
      <c r="J5" s="72">
        <v>-0.06</v>
      </c>
      <c r="K5" s="72">
        <v>0</v>
      </c>
      <c r="L5" s="72">
        <v>0</v>
      </c>
      <c r="M5" s="72">
        <v>0</v>
      </c>
      <c r="N5" s="72">
        <v>0</v>
      </c>
      <c r="O5" s="209">
        <f t="shared" ref="O5:O13" si="1">SUM(C5:N5)</f>
        <v>-0.60000000000000009</v>
      </c>
      <c r="P5" s="72"/>
      <c r="Q5" s="72"/>
      <c r="R5" s="72"/>
      <c r="S5" s="72"/>
      <c r="T5" s="72"/>
      <c r="U5" s="72"/>
      <c r="V5" s="72"/>
      <c r="W5" s="72"/>
      <c r="X5" s="72"/>
      <c r="Y5" s="72"/>
      <c r="Z5" s="72"/>
      <c r="AA5" s="72"/>
      <c r="AC5" s="74"/>
      <c r="AD5" s="74"/>
      <c r="AE5" s="74"/>
      <c r="AF5" s="74"/>
      <c r="AG5" s="74"/>
      <c r="AH5" s="74"/>
      <c r="AI5" s="74"/>
      <c r="AJ5" s="74"/>
      <c r="AK5" s="74"/>
      <c r="AL5" s="74"/>
      <c r="AM5" s="74"/>
      <c r="AN5" s="74"/>
    </row>
    <row r="6" spans="1:45" ht="15.65" customHeight="1" x14ac:dyDescent="0.35">
      <c r="A6" s="205" t="s">
        <v>262</v>
      </c>
      <c r="B6" s="205"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209">
        <f t="shared" si="1"/>
        <v>0.68600000000000017</v>
      </c>
      <c r="P6" s="72"/>
      <c r="Q6" s="72"/>
      <c r="R6" s="72"/>
      <c r="S6" s="72"/>
      <c r="T6" s="72"/>
      <c r="U6" s="72"/>
      <c r="V6" s="72"/>
      <c r="W6" s="72"/>
      <c r="X6" s="72"/>
      <c r="Y6" s="72"/>
      <c r="Z6" s="72"/>
      <c r="AA6" s="72"/>
      <c r="AC6" s="74"/>
      <c r="AD6" s="74"/>
      <c r="AE6" s="74"/>
      <c r="AF6" s="74"/>
      <c r="AG6" s="74"/>
      <c r="AH6" s="74"/>
      <c r="AI6" s="74"/>
      <c r="AJ6" s="74"/>
      <c r="AK6" s="74"/>
      <c r="AL6" s="74"/>
      <c r="AM6" s="74"/>
      <c r="AN6" s="74"/>
    </row>
    <row r="7" spans="1:45" ht="15.65" customHeight="1" x14ac:dyDescent="0.35">
      <c r="A7" s="205" t="s">
        <v>263</v>
      </c>
      <c r="B7" s="205"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209">
        <f t="shared" si="1"/>
        <v>0.9</v>
      </c>
      <c r="P7" s="72"/>
      <c r="Q7" s="72"/>
      <c r="R7" s="72"/>
      <c r="S7" s="72"/>
      <c r="T7" s="72"/>
      <c r="U7" s="72"/>
      <c r="V7" s="72"/>
      <c r="W7" s="72"/>
      <c r="X7" s="72"/>
      <c r="Y7" s="72"/>
      <c r="Z7" s="72"/>
      <c r="AA7" s="72"/>
      <c r="AC7" s="74"/>
      <c r="AD7" s="74"/>
      <c r="AE7" s="74"/>
      <c r="AF7" s="74"/>
      <c r="AG7" s="74"/>
      <c r="AH7" s="74"/>
      <c r="AI7" s="74"/>
      <c r="AJ7" s="74"/>
      <c r="AK7" s="74"/>
      <c r="AL7" s="74"/>
      <c r="AM7" s="74"/>
      <c r="AN7" s="74"/>
    </row>
    <row r="8" spans="1:45" ht="15.65" customHeight="1" x14ac:dyDescent="0.35">
      <c r="A8" s="205" t="s">
        <v>265</v>
      </c>
      <c r="B8" s="205" t="s">
        <v>266</v>
      </c>
      <c r="C8" s="72">
        <v>0.22500000000000001</v>
      </c>
      <c r="D8" s="72">
        <v>0.22500000000000001</v>
      </c>
      <c r="E8" s="72">
        <v>0.22500000000000001</v>
      </c>
      <c r="F8" s="72">
        <v>0.22500000000000001</v>
      </c>
      <c r="G8" s="72">
        <v>0</v>
      </c>
      <c r="H8" s="72">
        <v>0</v>
      </c>
      <c r="I8" s="72">
        <v>0</v>
      </c>
      <c r="J8" s="72">
        <v>0</v>
      </c>
      <c r="K8" s="72">
        <v>0</v>
      </c>
      <c r="L8" s="72">
        <v>0</v>
      </c>
      <c r="M8" s="72">
        <v>0</v>
      </c>
      <c r="N8" s="72">
        <v>0</v>
      </c>
      <c r="O8" s="209">
        <f t="shared" si="1"/>
        <v>0.9</v>
      </c>
      <c r="P8" s="72"/>
      <c r="Q8" s="72"/>
      <c r="R8" s="72"/>
      <c r="S8" s="72"/>
      <c r="T8" s="72"/>
      <c r="U8" s="72"/>
      <c r="V8" s="72"/>
      <c r="W8" s="72"/>
      <c r="X8" s="72"/>
      <c r="Y8" s="72"/>
      <c r="Z8" s="72"/>
      <c r="AA8" s="72"/>
      <c r="AC8" s="74"/>
      <c r="AD8" s="74"/>
      <c r="AE8" s="74"/>
      <c r="AF8" s="74"/>
      <c r="AG8" s="74"/>
      <c r="AH8" s="74"/>
      <c r="AI8" s="74"/>
      <c r="AJ8" s="74"/>
      <c r="AK8" s="74"/>
      <c r="AL8" s="74"/>
      <c r="AM8" s="74"/>
      <c r="AN8" s="74"/>
    </row>
    <row r="9" spans="1:45" ht="15.65" customHeight="1" x14ac:dyDescent="0.35">
      <c r="A9" s="205" t="s">
        <v>267</v>
      </c>
      <c r="B9" s="205"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209">
        <f t="shared" si="1"/>
        <v>0.45000000000000007</v>
      </c>
      <c r="P9" s="72"/>
      <c r="Q9" s="72"/>
      <c r="R9" s="72"/>
      <c r="S9" s="72"/>
      <c r="T9" s="72"/>
      <c r="U9" s="72"/>
      <c r="V9" s="72"/>
      <c r="W9" s="72"/>
      <c r="X9" s="72"/>
      <c r="Y9" s="72"/>
      <c r="Z9" s="72"/>
      <c r="AA9" s="72"/>
      <c r="AC9" s="74"/>
      <c r="AD9" s="74"/>
      <c r="AE9" s="74"/>
      <c r="AF9" s="74"/>
      <c r="AG9" s="74"/>
      <c r="AH9" s="74"/>
      <c r="AI9" s="74"/>
      <c r="AJ9" s="74"/>
      <c r="AK9" s="74"/>
      <c r="AL9" s="74"/>
      <c r="AM9" s="74"/>
      <c r="AN9" s="74"/>
    </row>
    <row r="10" spans="1:45" ht="15.65" customHeight="1" x14ac:dyDescent="0.35">
      <c r="A10" s="205" t="s">
        <v>269</v>
      </c>
      <c r="B10" s="205" t="s">
        <v>215</v>
      </c>
      <c r="C10" s="72">
        <v>0.14000000000000001</v>
      </c>
      <c r="D10" s="72">
        <v>0.1</v>
      </c>
      <c r="E10" s="72">
        <v>0.1</v>
      </c>
      <c r="F10" s="72">
        <v>0.05</v>
      </c>
      <c r="G10" s="72">
        <v>0.05</v>
      </c>
      <c r="H10" s="72">
        <v>0.05</v>
      </c>
      <c r="I10" s="72">
        <v>0.05</v>
      </c>
      <c r="J10" s="72">
        <v>0.05</v>
      </c>
      <c r="K10" s="72">
        <v>0.05</v>
      </c>
      <c r="L10" s="72">
        <v>0.03</v>
      </c>
      <c r="M10" s="72">
        <v>0.03</v>
      </c>
      <c r="N10" s="72">
        <v>0.03</v>
      </c>
      <c r="O10" s="209">
        <f>SUM(C10:N10)</f>
        <v>0.7300000000000002</v>
      </c>
      <c r="P10" s="72"/>
      <c r="Q10" s="72"/>
      <c r="R10" s="72"/>
      <c r="S10" s="72"/>
      <c r="T10" s="72"/>
      <c r="U10" s="72"/>
      <c r="V10" s="72"/>
      <c r="W10" s="72"/>
      <c r="X10" s="72"/>
      <c r="Y10" s="72"/>
      <c r="Z10" s="72"/>
      <c r="AA10" s="72"/>
      <c r="AC10" s="74"/>
      <c r="AD10" s="74"/>
      <c r="AE10" s="74"/>
      <c r="AF10" s="74"/>
      <c r="AG10" s="74"/>
      <c r="AH10" s="74"/>
      <c r="AI10" s="74"/>
      <c r="AJ10" s="74"/>
      <c r="AK10" s="74"/>
      <c r="AL10" s="74"/>
      <c r="AM10" s="74"/>
      <c r="AN10" s="74"/>
    </row>
    <row r="11" spans="1:45" ht="15.65" customHeight="1" x14ac:dyDescent="0.35">
      <c r="A11" s="205" t="s">
        <v>270</v>
      </c>
      <c r="B11" s="205" t="s">
        <v>271</v>
      </c>
      <c r="C11" s="72">
        <v>0.2</v>
      </c>
      <c r="D11" s="72">
        <v>0.17</v>
      </c>
      <c r="E11" s="72">
        <v>0.16</v>
      </c>
      <c r="F11" s="72">
        <v>0.15</v>
      </c>
      <c r="G11" s="72">
        <v>0.09</v>
      </c>
      <c r="H11" s="72">
        <v>0.05</v>
      </c>
      <c r="I11" s="72">
        <v>0.05</v>
      </c>
      <c r="J11" s="72">
        <v>0.04</v>
      </c>
      <c r="K11" s="72">
        <v>0</v>
      </c>
      <c r="L11" s="72">
        <v>0</v>
      </c>
      <c r="M11" s="72">
        <v>0</v>
      </c>
      <c r="N11" s="72">
        <v>0</v>
      </c>
      <c r="O11" s="209">
        <f>SUM(C11:N11)</f>
        <v>0.91000000000000014</v>
      </c>
      <c r="P11" s="72"/>
      <c r="Q11" s="72"/>
      <c r="R11" s="72"/>
      <c r="S11" s="72"/>
      <c r="T11" s="72"/>
      <c r="U11" s="72"/>
      <c r="V11" s="72"/>
      <c r="W11" s="72"/>
      <c r="X11" s="72"/>
      <c r="Y11" s="72"/>
      <c r="Z11" s="72"/>
      <c r="AA11" s="72"/>
      <c r="AC11" s="74"/>
      <c r="AD11" s="74"/>
      <c r="AE11" s="74"/>
      <c r="AF11" s="74"/>
      <c r="AG11" s="74"/>
      <c r="AH11" s="74"/>
      <c r="AI11" s="74"/>
      <c r="AJ11" s="74"/>
      <c r="AK11" s="74"/>
      <c r="AL11" s="74"/>
      <c r="AM11" s="74"/>
      <c r="AN11" s="74"/>
    </row>
    <row r="12" spans="1:45" ht="47.15" customHeight="1" x14ac:dyDescent="0.35">
      <c r="A12" s="206" t="s">
        <v>272</v>
      </c>
      <c r="B12" s="206" t="s">
        <v>273</v>
      </c>
      <c r="C12" s="72">
        <v>0.2</v>
      </c>
      <c r="D12" s="72">
        <v>0.17</v>
      </c>
      <c r="E12" s="72">
        <v>0.16</v>
      </c>
      <c r="F12" s="72">
        <v>0.15</v>
      </c>
      <c r="G12" s="72">
        <v>0.09</v>
      </c>
      <c r="H12" s="72">
        <v>0.05</v>
      </c>
      <c r="I12" s="72">
        <v>0.05</v>
      </c>
      <c r="J12" s="72">
        <v>0.04</v>
      </c>
      <c r="K12" s="72">
        <v>0</v>
      </c>
      <c r="L12" s="72">
        <v>0</v>
      </c>
      <c r="M12" s="72">
        <v>0</v>
      </c>
      <c r="N12" s="72">
        <v>0</v>
      </c>
      <c r="O12" s="209">
        <f t="shared" si="1"/>
        <v>0.91000000000000014</v>
      </c>
      <c r="P12" s="72"/>
      <c r="Q12" s="72"/>
      <c r="R12" s="72"/>
      <c r="S12" s="72"/>
      <c r="T12" s="72"/>
      <c r="U12" s="72"/>
      <c r="V12" s="72"/>
      <c r="W12" s="72"/>
      <c r="X12" s="72"/>
      <c r="Y12" s="72"/>
      <c r="Z12" s="72"/>
      <c r="AA12" s="72"/>
      <c r="AC12" s="74"/>
      <c r="AD12" s="74"/>
      <c r="AE12" s="74"/>
      <c r="AF12" s="74"/>
      <c r="AG12" s="74"/>
      <c r="AH12" s="74"/>
      <c r="AI12" s="74"/>
      <c r="AJ12" s="74"/>
      <c r="AK12" s="74"/>
      <c r="AL12" s="74"/>
      <c r="AM12" s="74"/>
      <c r="AN12" s="74"/>
    </row>
    <row r="13" spans="1:45" ht="31.4" customHeight="1" x14ac:dyDescent="0.35">
      <c r="A13" s="206" t="s">
        <v>274</v>
      </c>
      <c r="B13" s="206" t="s">
        <v>275</v>
      </c>
      <c r="C13" s="72">
        <v>0.14000000000000001</v>
      </c>
      <c r="D13" s="72">
        <v>0.1</v>
      </c>
      <c r="E13" s="72">
        <v>0.1</v>
      </c>
      <c r="F13" s="72">
        <v>0.05</v>
      </c>
      <c r="G13" s="72">
        <v>0.05</v>
      </c>
      <c r="H13" s="72">
        <v>0.05</v>
      </c>
      <c r="I13" s="72">
        <v>0.05</v>
      </c>
      <c r="J13" s="72">
        <v>0.05</v>
      </c>
      <c r="K13" s="72">
        <v>0.05</v>
      </c>
      <c r="L13" s="72">
        <v>0</v>
      </c>
      <c r="M13" s="72">
        <v>0</v>
      </c>
      <c r="N13" s="72">
        <v>0</v>
      </c>
      <c r="O13" s="209">
        <f t="shared" si="1"/>
        <v>0.64000000000000012</v>
      </c>
      <c r="P13" s="72"/>
      <c r="Q13" s="72"/>
      <c r="R13" s="72"/>
      <c r="S13" s="72"/>
      <c r="T13" s="72"/>
      <c r="U13" s="72"/>
      <c r="V13" s="72"/>
      <c r="W13" s="72"/>
      <c r="X13" s="72"/>
      <c r="Y13" s="72"/>
      <c r="Z13" s="72"/>
      <c r="AA13" s="72"/>
      <c r="AC13" s="74"/>
      <c r="AD13" s="74"/>
      <c r="AE13" s="74"/>
      <c r="AF13" s="74"/>
      <c r="AG13" s="74"/>
      <c r="AH13" s="74"/>
      <c r="AI13" s="74"/>
      <c r="AJ13" s="74"/>
      <c r="AK13" s="74"/>
      <c r="AL13" s="74"/>
      <c r="AM13" s="74"/>
      <c r="AN13" s="74"/>
    </row>
    <row r="14" spans="1:45" ht="47.15" customHeight="1" x14ac:dyDescent="0.35">
      <c r="A14" s="206" t="s">
        <v>276</v>
      </c>
      <c r="B14" s="206"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209">
        <f>SUM(C14:N14)</f>
        <v>0.25000000000000011</v>
      </c>
      <c r="P14" s="72"/>
      <c r="Q14" s="72"/>
      <c r="R14" s="72"/>
      <c r="S14" s="72"/>
      <c r="T14" s="72"/>
      <c r="U14" s="72"/>
      <c r="V14" s="72"/>
      <c r="W14" s="72"/>
      <c r="X14" s="72"/>
      <c r="Y14" s="72"/>
      <c r="Z14" s="72"/>
      <c r="AA14" s="72"/>
      <c r="AC14" s="74"/>
      <c r="AD14" s="74"/>
      <c r="AE14" s="74"/>
      <c r="AF14" s="74"/>
      <c r="AG14" s="74"/>
      <c r="AH14" s="74"/>
      <c r="AI14" s="74"/>
      <c r="AJ14" s="74"/>
      <c r="AK14" s="74"/>
      <c r="AL14" s="74"/>
      <c r="AM14" s="74"/>
      <c r="AN14" s="74"/>
    </row>
    <row r="15" spans="1:45" ht="15.75" customHeight="1" x14ac:dyDescent="0.35">
      <c r="B15" s="206"/>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P101"/>
  <sheetViews>
    <sheetView topLeftCell="A54" zoomScaleNormal="100" workbookViewId="0">
      <selection activeCell="Y28" sqref="Y28"/>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77" t="s">
        <v>53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c r="AD1" s="212"/>
      <c r="AE1" s="212"/>
      <c r="AF1" s="212"/>
      <c r="AG1" s="212"/>
    </row>
    <row r="2" spans="2:34" ht="14.25" customHeight="1" x14ac:dyDescent="0.35">
      <c r="B2" s="1278" t="s">
        <v>278</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c r="AD2" s="213"/>
      <c r="AE2" s="213"/>
      <c r="AF2" s="213"/>
      <c r="AG2" s="213"/>
    </row>
    <row r="3" spans="2:34"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c r="AD3" s="213"/>
      <c r="AE3" s="213"/>
      <c r="AF3" s="213"/>
      <c r="AG3" s="213"/>
    </row>
    <row r="4" spans="2:34"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c r="AD4" s="213"/>
      <c r="AE4" s="213"/>
      <c r="AF4" s="213"/>
      <c r="AG4" s="213"/>
    </row>
    <row r="5" spans="2:34" x14ac:dyDescent="0.3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c r="AD5" s="213"/>
      <c r="AE5" s="213"/>
      <c r="AF5" s="213"/>
      <c r="AG5" s="213"/>
    </row>
    <row r="6" spans="2:34" ht="38.9" customHeight="1" x14ac:dyDescent="0.3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c r="AD6" s="213"/>
      <c r="AE6" s="213"/>
      <c r="AF6" s="213"/>
      <c r="AG6" s="213"/>
    </row>
    <row r="7" spans="2:34" x14ac:dyDescent="0.35">
      <c r="B7" s="265"/>
      <c r="C7" s="265"/>
      <c r="D7" s="265"/>
      <c r="E7" s="265"/>
      <c r="F7" s="265"/>
      <c r="G7" s="265"/>
      <c r="H7" s="266"/>
      <c r="I7" s="266"/>
      <c r="J7" s="266"/>
      <c r="K7" s="266"/>
      <c r="L7" s="266"/>
      <c r="M7" s="266"/>
      <c r="N7" s="266"/>
      <c r="O7" s="266"/>
      <c r="P7" s="266"/>
      <c r="Q7" s="266"/>
      <c r="R7" s="266"/>
      <c r="S7" s="266"/>
      <c r="T7" s="266"/>
      <c r="U7" s="266"/>
      <c r="V7" s="266"/>
    </row>
    <row r="8" spans="2:34" ht="14.9" customHeight="1" x14ac:dyDescent="0.35">
      <c r="B8" s="1282" t="s">
        <v>279</v>
      </c>
      <c r="C8" s="1283"/>
      <c r="D8" s="1286" t="s">
        <v>280</v>
      </c>
      <c r="E8" s="1299"/>
      <c r="F8" s="1299"/>
      <c r="G8" s="1299"/>
      <c r="H8" s="1299"/>
      <c r="I8" s="1299"/>
      <c r="J8" s="1299"/>
      <c r="K8" s="1299"/>
      <c r="L8" s="1299"/>
      <c r="M8" s="1299"/>
      <c r="N8" s="1299"/>
      <c r="O8" s="1299"/>
      <c r="P8" s="1299"/>
      <c r="Q8" s="1299"/>
      <c r="R8" s="1299"/>
      <c r="S8" s="1299"/>
      <c r="T8" s="1299"/>
      <c r="U8" s="1300"/>
      <c r="V8" s="1285"/>
      <c r="W8" s="1295" t="s">
        <v>281</v>
      </c>
      <c r="X8" s="1296"/>
      <c r="Y8" s="1297"/>
      <c r="Z8" s="1297"/>
      <c r="AA8" s="1297"/>
      <c r="AB8" s="1297"/>
      <c r="AC8" s="1296"/>
      <c r="AD8" s="1298"/>
      <c r="AE8" s="238"/>
      <c r="AF8" s="238"/>
      <c r="AG8" s="238"/>
    </row>
    <row r="9" spans="2:34" ht="12.75" customHeight="1" x14ac:dyDescent="0.35">
      <c r="B9" s="1284"/>
      <c r="C9" s="1285"/>
      <c r="D9" s="214">
        <v>2018</v>
      </c>
      <c r="E9" s="1279">
        <v>2019</v>
      </c>
      <c r="F9" s="1280"/>
      <c r="G9" s="1280"/>
      <c r="H9" s="1281"/>
      <c r="I9" s="1279">
        <v>2020</v>
      </c>
      <c r="J9" s="1280"/>
      <c r="K9" s="1280"/>
      <c r="L9" s="1281"/>
      <c r="M9" s="1291">
        <v>2021</v>
      </c>
      <c r="N9" s="1292"/>
      <c r="O9" s="1292"/>
      <c r="P9" s="1293"/>
      <c r="Q9" s="1294">
        <v>2022</v>
      </c>
      <c r="R9" s="1294"/>
      <c r="S9" s="261"/>
      <c r="T9" s="288"/>
      <c r="U9" s="239"/>
      <c r="V9" s="288">
        <v>2023</v>
      </c>
      <c r="W9" s="289"/>
      <c r="X9" s="260"/>
      <c r="Y9" s="1288">
        <v>2024</v>
      </c>
      <c r="Z9" s="1289"/>
      <c r="AA9" s="1289"/>
      <c r="AB9" s="1290"/>
      <c r="AC9" s="1288">
        <v>2025</v>
      </c>
      <c r="AD9" s="1289"/>
      <c r="AE9" s="1289"/>
      <c r="AF9" s="1290"/>
      <c r="AG9" s="251">
        <v>2026</v>
      </c>
    </row>
    <row r="10" spans="2:34" ht="14.9" customHeight="1" x14ac:dyDescent="0.35">
      <c r="B10" s="1286"/>
      <c r="C10" s="1287"/>
      <c r="D10" s="214" t="s">
        <v>282</v>
      </c>
      <c r="E10" s="214" t="s">
        <v>283</v>
      </c>
      <c r="F10" s="215" t="s">
        <v>284</v>
      </c>
      <c r="G10" s="215" t="s">
        <v>238</v>
      </c>
      <c r="H10" s="216" t="s">
        <v>282</v>
      </c>
      <c r="I10" s="215" t="s">
        <v>283</v>
      </c>
      <c r="J10" s="215" t="s">
        <v>284</v>
      </c>
      <c r="K10" s="215" t="s">
        <v>238</v>
      </c>
      <c r="L10" s="215" t="s">
        <v>282</v>
      </c>
      <c r="M10" s="285" t="s">
        <v>283</v>
      </c>
      <c r="N10" s="286" t="s">
        <v>284</v>
      </c>
      <c r="O10" s="286" t="s">
        <v>238</v>
      </c>
      <c r="P10" s="284" t="s">
        <v>282</v>
      </c>
      <c r="Q10" s="215" t="s">
        <v>283</v>
      </c>
      <c r="R10" s="215" t="s">
        <v>284</v>
      </c>
      <c r="S10" s="215" t="s">
        <v>238</v>
      </c>
      <c r="T10" s="215" t="s">
        <v>282</v>
      </c>
      <c r="U10" s="285" t="s">
        <v>283</v>
      </c>
      <c r="V10" s="286" t="s">
        <v>284</v>
      </c>
      <c r="W10" s="270" t="s">
        <v>238</v>
      </c>
      <c r="X10" s="271" t="s">
        <v>282</v>
      </c>
      <c r="Y10" s="269" t="s">
        <v>283</v>
      </c>
      <c r="Z10" s="267" t="s">
        <v>284</v>
      </c>
      <c r="AA10" s="270" t="s">
        <v>238</v>
      </c>
      <c r="AB10" s="271" t="s">
        <v>282</v>
      </c>
      <c r="AC10" s="269" t="s">
        <v>283</v>
      </c>
      <c r="AD10" s="267" t="s">
        <v>284</v>
      </c>
      <c r="AE10" s="270" t="s">
        <v>238</v>
      </c>
      <c r="AF10" s="271" t="s">
        <v>282</v>
      </c>
      <c r="AG10" s="272" t="s">
        <v>283</v>
      </c>
    </row>
    <row r="11" spans="2:34" x14ac:dyDescent="0.35">
      <c r="B11" s="250" t="s">
        <v>102</v>
      </c>
      <c r="C11" s="273" t="s">
        <v>285</v>
      </c>
      <c r="D11" s="253">
        <f>'Haver Pivoted'!GO14</f>
        <v>27.1</v>
      </c>
      <c r="E11" s="287">
        <f>'Haver Pivoted'!GP14</f>
        <v>30.5</v>
      </c>
      <c r="F11" s="287">
        <f>'Haver Pivoted'!GQ14</f>
        <v>27.7</v>
      </c>
      <c r="G11" s="287">
        <f>'Haver Pivoted'!GR14</f>
        <v>25</v>
      </c>
      <c r="H11" s="287">
        <f>'Haver Pivoted'!GS14</f>
        <v>26.7</v>
      </c>
      <c r="I11" s="287">
        <f>'Haver Pivoted'!GT14</f>
        <v>40.9</v>
      </c>
      <c r="J11" s="287">
        <f>'Haver Pivoted'!GU14</f>
        <v>951.4</v>
      </c>
      <c r="K11" s="287">
        <f>'Haver Pivoted'!GV14</f>
        <v>802.3</v>
      </c>
      <c r="L11" s="287">
        <f>'Haver Pivoted'!GW14</f>
        <v>323.5</v>
      </c>
      <c r="M11" s="287">
        <f>'Haver Pivoted'!GX14</f>
        <v>583.5</v>
      </c>
      <c r="N11" s="287">
        <f>'Haver Pivoted'!GY14</f>
        <v>451.8</v>
      </c>
      <c r="O11" s="287">
        <f>'Haver Pivoted'!GZ14</f>
        <v>226.8</v>
      </c>
      <c r="P11" s="287">
        <f>'Haver Pivoted'!HA14</f>
        <v>33.9</v>
      </c>
      <c r="Q11" s="234">
        <f>'Haver Pivoted'!HB14</f>
        <v>26.2</v>
      </c>
      <c r="R11" s="234">
        <f>'Haver Pivoted'!HC14</f>
        <v>21.4</v>
      </c>
      <c r="S11" s="215">
        <f>'Haver Pivoted'!HD14</f>
        <v>19.600000000000001</v>
      </c>
      <c r="T11" s="215">
        <f>'Haver Pivoted'!HE14</f>
        <v>22.1</v>
      </c>
      <c r="U11" s="215">
        <f>'Haver Pivoted'!HF14</f>
        <v>22</v>
      </c>
      <c r="V11" s="215">
        <f>'Haver Pivoted'!HG14</f>
        <v>22.3</v>
      </c>
      <c r="W11" s="215">
        <f>'Haver Pivoted'!HH14</f>
        <v>21</v>
      </c>
      <c r="X11" s="215">
        <f>'Haver Pivoted'!HI14</f>
        <v>22.7</v>
      </c>
      <c r="Y11" s="215">
        <f>'Haver Pivoted'!HJ14</f>
        <v>22.7</v>
      </c>
      <c r="Z11" s="278">
        <f t="shared" ref="Z11:AG11" si="0">Z12+Z13+Z20</f>
        <v>22.5</v>
      </c>
      <c r="AA11" s="278">
        <f t="shared" si="0"/>
        <v>22.5</v>
      </c>
      <c r="AB11" s="278">
        <f t="shared" si="0"/>
        <v>22.5</v>
      </c>
      <c r="AC11" s="278">
        <f t="shared" si="0"/>
        <v>22.5</v>
      </c>
      <c r="AD11" s="278">
        <f t="shared" si="0"/>
        <v>22.5</v>
      </c>
      <c r="AE11" s="278">
        <f t="shared" si="0"/>
        <v>22.5</v>
      </c>
      <c r="AF11" s="278">
        <f t="shared" si="0"/>
        <v>22.5</v>
      </c>
      <c r="AG11" s="278">
        <f t="shared" si="0"/>
        <v>22.5</v>
      </c>
      <c r="AH11" s="240" t="s">
        <v>286</v>
      </c>
    </row>
    <row r="12" spans="2:34" x14ac:dyDescent="0.35">
      <c r="B12" s="264" t="s">
        <v>287</v>
      </c>
      <c r="C12" s="254" t="s">
        <v>288</v>
      </c>
      <c r="D12" s="275">
        <f>'Haver Pivoted'!GO63</f>
        <v>0</v>
      </c>
      <c r="E12" s="234">
        <f>'Haver Pivoted'!GP63</f>
        <v>0</v>
      </c>
      <c r="F12" s="234">
        <f>'Haver Pivoted'!GQ63</f>
        <v>0</v>
      </c>
      <c r="G12" s="234">
        <f>'Haver Pivoted'!GR63</f>
        <v>0</v>
      </c>
      <c r="H12" s="234">
        <f>'Haver Pivoted'!GS63</f>
        <v>0</v>
      </c>
      <c r="I12" s="234">
        <f>'Haver Pivoted'!GT63</f>
        <v>0</v>
      </c>
      <c r="J12" s="234">
        <f>'Haver Pivoted'!GU63</f>
        <v>0.1</v>
      </c>
      <c r="K12" s="234">
        <f>'Haver Pivoted'!GV63</f>
        <v>3.7</v>
      </c>
      <c r="L12" s="234">
        <f>'Haver Pivoted'!GW63</f>
        <v>12.9</v>
      </c>
      <c r="M12" s="234">
        <f>'Haver Pivoted'!GX63</f>
        <v>25.5</v>
      </c>
      <c r="N12" s="234">
        <f>'Haver Pivoted'!GY63</f>
        <v>3.8</v>
      </c>
      <c r="O12" s="234">
        <f>'Haver Pivoted'!GZ63</f>
        <v>1.8</v>
      </c>
      <c r="P12" s="234">
        <f>'Haver Pivoted'!HA63</f>
        <v>0.6</v>
      </c>
      <c r="Q12" s="234">
        <f>'Haver Pivoted'!HB63</f>
        <v>0.2</v>
      </c>
      <c r="R12" s="234">
        <f>'Haver Pivoted'!HC63</f>
        <v>0.1</v>
      </c>
      <c r="S12" s="215">
        <f>'Haver Pivoted'!HD63</f>
        <v>0</v>
      </c>
      <c r="T12" s="215">
        <f>'Haver Pivoted'!HE63</f>
        <v>0</v>
      </c>
      <c r="U12" s="215">
        <f>'Haver Pivoted'!HF63</f>
        <v>0</v>
      </c>
      <c r="V12" s="215">
        <f>'Haver Pivoted'!HG63</f>
        <v>0</v>
      </c>
      <c r="W12" s="215">
        <f>'Haver Pivoted'!HH63</f>
        <v>0</v>
      </c>
      <c r="X12" s="215">
        <f>'Haver Pivoted'!HI63</f>
        <v>0</v>
      </c>
      <c r="Y12" s="215">
        <f>'Haver Pivoted'!HJ63</f>
        <v>0</v>
      </c>
      <c r="Z12" s="236">
        <f t="shared" ref="Z12:AD12" si="1">Y12*Z23/Y23</f>
        <v>0</v>
      </c>
      <c r="AA12" s="236">
        <f t="shared" si="1"/>
        <v>0</v>
      </c>
      <c r="AB12" s="236">
        <f t="shared" si="1"/>
        <v>0</v>
      </c>
      <c r="AC12" s="236">
        <f t="shared" si="1"/>
        <v>0</v>
      </c>
      <c r="AD12" s="236">
        <f t="shared" si="1"/>
        <v>0</v>
      </c>
      <c r="AE12" s="236"/>
      <c r="AF12" s="236"/>
      <c r="AG12" s="236"/>
    </row>
    <row r="13" spans="2:34" x14ac:dyDescent="0.35">
      <c r="B13" s="264" t="s">
        <v>289</v>
      </c>
      <c r="C13" s="254"/>
      <c r="D13" s="275"/>
      <c r="E13" s="234"/>
      <c r="F13" s="234"/>
      <c r="G13" s="234"/>
      <c r="H13" s="226">
        <f>SUM(H14:H17)</f>
        <v>0</v>
      </c>
      <c r="I13" s="226">
        <f t="shared" ref="I13:M13" si="2">SUM(I14:I17)</f>
        <v>0</v>
      </c>
      <c r="J13" s="226">
        <f t="shared" si="2"/>
        <v>779.7</v>
      </c>
      <c r="K13" s="226">
        <f t="shared" si="2"/>
        <v>582.6</v>
      </c>
      <c r="L13" s="226">
        <f t="shared" si="2"/>
        <v>216.5</v>
      </c>
      <c r="M13" s="226">
        <f t="shared" si="2"/>
        <v>497.6</v>
      </c>
      <c r="N13" s="231">
        <f>SUM(N14:N17)</f>
        <v>401.5</v>
      </c>
      <c r="O13" s="231">
        <f t="shared" ref="O13:AC13" si="3">SUM(O14:O17)</f>
        <v>207.4</v>
      </c>
      <c r="P13" s="231">
        <f t="shared" si="3"/>
        <v>5.5</v>
      </c>
      <c r="Q13" s="231">
        <v>0</v>
      </c>
      <c r="R13" s="231">
        <f t="shared" si="3"/>
        <v>1</v>
      </c>
      <c r="S13" s="231">
        <f t="shared" si="3"/>
        <v>0.5</v>
      </c>
      <c r="T13" s="231">
        <f t="shared" si="3"/>
        <v>0.30000000000000004</v>
      </c>
      <c r="U13" s="231">
        <f t="shared" si="3"/>
        <v>0</v>
      </c>
      <c r="V13" s="226">
        <f t="shared" si="3"/>
        <v>0</v>
      </c>
      <c r="W13" s="226">
        <f t="shared" si="3"/>
        <v>0</v>
      </c>
      <c r="X13" s="236">
        <f>SUM(X14:X17)</f>
        <v>0</v>
      </c>
      <c r="Y13" s="236">
        <f t="shared" si="3"/>
        <v>0</v>
      </c>
      <c r="Z13" s="236">
        <f t="shared" si="3"/>
        <v>0</v>
      </c>
      <c r="AA13" s="236">
        <f t="shared" si="3"/>
        <v>0</v>
      </c>
      <c r="AB13" s="236">
        <f t="shared" si="3"/>
        <v>0</v>
      </c>
      <c r="AC13" s="236">
        <f t="shared" si="3"/>
        <v>0</v>
      </c>
      <c r="AD13" s="236">
        <f t="shared" ref="AD13" si="4">SUM(AD14:AD17)</f>
        <v>0</v>
      </c>
      <c r="AE13" s="236"/>
      <c r="AF13" s="236"/>
      <c r="AG13" s="236"/>
    </row>
    <row r="14" spans="2:34" ht="18" customHeight="1" x14ac:dyDescent="0.35">
      <c r="B14" s="246" t="s">
        <v>290</v>
      </c>
      <c r="C14" s="247" t="s">
        <v>288</v>
      </c>
      <c r="D14" s="274">
        <f>'Haver Pivoted'!GO63</f>
        <v>0</v>
      </c>
      <c r="E14" s="230">
        <f>'Haver Pivoted'!GP63</f>
        <v>0</v>
      </c>
      <c r="F14" s="230">
        <f>'Haver Pivoted'!GQ63</f>
        <v>0</v>
      </c>
      <c r="G14" s="230">
        <f>'Haver Pivoted'!GR63</f>
        <v>0</v>
      </c>
      <c r="H14" s="230">
        <f>'Haver Pivoted'!GS63</f>
        <v>0</v>
      </c>
      <c r="I14" s="230">
        <f>'Haver Pivoted'!GT63</f>
        <v>0</v>
      </c>
      <c r="J14" s="230">
        <f>'Haver Pivoted'!GU63</f>
        <v>0.1</v>
      </c>
      <c r="K14" s="230">
        <f>'Haver Pivoted'!GV63</f>
        <v>3.7</v>
      </c>
      <c r="L14" s="230">
        <f>'Haver Pivoted'!GW63</f>
        <v>12.9</v>
      </c>
      <c r="M14" s="230">
        <f>'Haver Pivoted'!GX63</f>
        <v>25.5</v>
      </c>
      <c r="N14" s="230">
        <f>'Haver Pivoted'!GY63</f>
        <v>3.8</v>
      </c>
      <c r="O14" s="230">
        <f>'Haver Pivoted'!GZ63</f>
        <v>1.8</v>
      </c>
      <c r="P14" s="230">
        <f>'Haver Pivoted'!HA63</f>
        <v>0.6</v>
      </c>
      <c r="Q14" s="230">
        <f>'Haver Pivoted'!HB63</f>
        <v>0.2</v>
      </c>
      <c r="R14" s="230">
        <f>'Haver Pivoted'!HC63</f>
        <v>0.1</v>
      </c>
      <c r="S14" s="235">
        <f>'Haver Pivoted'!HD63</f>
        <v>0</v>
      </c>
      <c r="T14" s="235">
        <f>'Haver Pivoted'!HE63</f>
        <v>0</v>
      </c>
      <c r="U14" s="235">
        <f>'Haver Pivoted'!HF63</f>
        <v>0</v>
      </c>
      <c r="V14" s="235">
        <f>'Haver Pivoted'!HG63</f>
        <v>0</v>
      </c>
      <c r="W14" s="235">
        <f>'Haver Pivoted'!HH63</f>
        <v>0</v>
      </c>
      <c r="X14" s="235">
        <f>'Haver Pivoted'!HI63</f>
        <v>0</v>
      </c>
      <c r="Y14" s="235">
        <f>'Haver Pivoted'!HJ63</f>
        <v>0</v>
      </c>
      <c r="Z14" s="236">
        <f t="shared" ref="Z14:AC14" si="5">Z12</f>
        <v>0</v>
      </c>
      <c r="AA14" s="236">
        <f t="shared" si="5"/>
        <v>0</v>
      </c>
      <c r="AB14" s="236">
        <f t="shared" si="5"/>
        <v>0</v>
      </c>
      <c r="AC14" s="236">
        <f t="shared" si="5"/>
        <v>0</v>
      </c>
      <c r="AD14" s="236">
        <f t="shared" ref="AD14" si="6">AD12</f>
        <v>0</v>
      </c>
      <c r="AE14" s="236"/>
      <c r="AF14" s="236"/>
      <c r="AG14" s="236"/>
    </row>
    <row r="15" spans="2:34" ht="18" customHeight="1" x14ac:dyDescent="0.35">
      <c r="B15" s="246" t="s">
        <v>291</v>
      </c>
      <c r="C15" s="247" t="s">
        <v>292</v>
      </c>
      <c r="D15" s="274">
        <f>'Haver Pivoted'!GO59</f>
        <v>0</v>
      </c>
      <c r="E15" s="230">
        <f>'Haver Pivoted'!GP59</f>
        <v>0</v>
      </c>
      <c r="F15" s="230">
        <f>'Haver Pivoted'!GQ59</f>
        <v>0</v>
      </c>
      <c r="G15" s="230">
        <f>'Haver Pivoted'!GR59</f>
        <v>0</v>
      </c>
      <c r="H15" s="230">
        <f>'Haver Pivoted'!GS59</f>
        <v>0</v>
      </c>
      <c r="I15" s="230">
        <f>'Haver Pivoted'!GT59</f>
        <v>0</v>
      </c>
      <c r="J15" s="230">
        <f>'Haver Pivoted'!GU59</f>
        <v>6.3</v>
      </c>
      <c r="K15" s="230">
        <f>'Haver Pivoted'!GV59</f>
        <v>26.7</v>
      </c>
      <c r="L15" s="230">
        <f>'Haver Pivoted'!GW59</f>
        <v>82.1</v>
      </c>
      <c r="M15" s="230">
        <f>'Haver Pivoted'!GX59</f>
        <v>94.7</v>
      </c>
      <c r="N15" s="230">
        <f>'Haver Pivoted'!GY59</f>
        <v>92.1</v>
      </c>
      <c r="O15" s="230">
        <f>'Haver Pivoted'!GZ59</f>
        <v>51.6</v>
      </c>
      <c r="P15" s="230">
        <f>'Haver Pivoted'!HA59</f>
        <v>2.8</v>
      </c>
      <c r="Q15" s="230">
        <f>'Haver Pivoted'!HB59</f>
        <v>0.8</v>
      </c>
      <c r="R15" s="230">
        <f>'Haver Pivoted'!HC59</f>
        <v>0.5</v>
      </c>
      <c r="S15" s="235">
        <f>'Haver Pivoted'!HD59</f>
        <v>0.3</v>
      </c>
      <c r="T15" s="235">
        <f>'Haver Pivoted'!HE59</f>
        <v>0.2</v>
      </c>
      <c r="U15" s="235">
        <f>'Haver Pivoted'!HF59</f>
        <v>0</v>
      </c>
      <c r="V15" s="235">
        <f>'Haver Pivoted'!HG59</f>
        <v>0</v>
      </c>
      <c r="W15" s="235">
        <f>'Haver Pivoted'!HH59</f>
        <v>0</v>
      </c>
      <c r="X15" s="235">
        <f>'Haver Pivoted'!HI59</f>
        <v>0</v>
      </c>
      <c r="Y15" s="235">
        <f>'Haver Pivoted'!HJ59</f>
        <v>0</v>
      </c>
      <c r="Z15" s="236">
        <f t="shared" ref="Z15:AD17" si="7">Y15*Z$23/Y$23</f>
        <v>0</v>
      </c>
      <c r="AA15" s="236">
        <f t="shared" si="7"/>
        <v>0</v>
      </c>
      <c r="AB15" s="236">
        <f t="shared" si="7"/>
        <v>0</v>
      </c>
      <c r="AC15" s="236">
        <f t="shared" si="7"/>
        <v>0</v>
      </c>
      <c r="AD15" s="236">
        <f t="shared" si="7"/>
        <v>0</v>
      </c>
      <c r="AE15" s="236"/>
      <c r="AF15" s="236"/>
      <c r="AG15" s="236"/>
    </row>
    <row r="16" spans="2:34" ht="18" customHeight="1" x14ac:dyDescent="0.35">
      <c r="B16" s="246" t="s">
        <v>293</v>
      </c>
      <c r="C16" s="247" t="s">
        <v>294</v>
      </c>
      <c r="D16" s="274">
        <f>'Haver Pivoted'!GO60</f>
        <v>0</v>
      </c>
      <c r="E16" s="230">
        <f>'Haver Pivoted'!GP60</f>
        <v>0</v>
      </c>
      <c r="F16" s="230">
        <f>'Haver Pivoted'!GQ60</f>
        <v>0</v>
      </c>
      <c r="G16" s="230">
        <f>'Haver Pivoted'!GR60</f>
        <v>0</v>
      </c>
      <c r="H16" s="230">
        <f>'Haver Pivoted'!GS60</f>
        <v>0</v>
      </c>
      <c r="I16" s="230">
        <f>'Haver Pivoted'!GT60</f>
        <v>0</v>
      </c>
      <c r="J16" s="230">
        <f>'Haver Pivoted'!GU60</f>
        <v>74.400000000000006</v>
      </c>
      <c r="K16" s="230">
        <f>'Haver Pivoted'!GV60</f>
        <v>138.30000000000001</v>
      </c>
      <c r="L16" s="230">
        <f>'Haver Pivoted'!GW60</f>
        <v>106.8</v>
      </c>
      <c r="M16" s="230">
        <f>'Haver Pivoted'!GX60</f>
        <v>89.2</v>
      </c>
      <c r="N16" s="230">
        <f>'Haver Pivoted'!GY60</f>
        <v>72.3</v>
      </c>
      <c r="O16" s="230">
        <f>'Haver Pivoted'!GZ60</f>
        <v>43.5</v>
      </c>
      <c r="P16" s="230">
        <f>'Haver Pivoted'!HA60</f>
        <v>2.1</v>
      </c>
      <c r="Q16" s="230">
        <f>'Haver Pivoted'!HB60</f>
        <v>0.8</v>
      </c>
      <c r="R16" s="230">
        <f>'Haver Pivoted'!HC60</f>
        <v>0.4</v>
      </c>
      <c r="S16" s="235">
        <f>'Haver Pivoted'!HD60</f>
        <v>0.2</v>
      </c>
      <c r="T16" s="235">
        <f>'Haver Pivoted'!HE60</f>
        <v>0.1</v>
      </c>
      <c r="U16" s="235">
        <f>'Haver Pivoted'!HF60</f>
        <v>0</v>
      </c>
      <c r="V16" s="235">
        <f>'Haver Pivoted'!HG60</f>
        <v>0</v>
      </c>
      <c r="W16" s="235">
        <f>'Haver Pivoted'!HH60</f>
        <v>0</v>
      </c>
      <c r="X16" s="235">
        <f>'Haver Pivoted'!HI60</f>
        <v>0</v>
      </c>
      <c r="Y16" s="235">
        <f>'Haver Pivoted'!HJ60</f>
        <v>0</v>
      </c>
      <c r="Z16" s="236">
        <f t="shared" si="7"/>
        <v>0</v>
      </c>
      <c r="AA16" s="236">
        <f t="shared" si="7"/>
        <v>0</v>
      </c>
      <c r="AB16" s="236">
        <f t="shared" si="7"/>
        <v>0</v>
      </c>
      <c r="AC16" s="236">
        <f t="shared" si="7"/>
        <v>0</v>
      </c>
      <c r="AD16" s="236">
        <f t="shared" si="7"/>
        <v>0</v>
      </c>
      <c r="AE16" s="236"/>
      <c r="AF16" s="236"/>
      <c r="AG16" s="236"/>
    </row>
    <row r="17" spans="2:68" ht="18" customHeight="1" x14ac:dyDescent="0.35">
      <c r="B17" s="246" t="s">
        <v>295</v>
      </c>
      <c r="C17" s="247" t="s">
        <v>296</v>
      </c>
      <c r="D17" s="274">
        <f>'Haver Pivoted'!GO61</f>
        <v>0</v>
      </c>
      <c r="E17" s="230">
        <f>'Haver Pivoted'!GP61</f>
        <v>0</v>
      </c>
      <c r="F17" s="230">
        <f>'Haver Pivoted'!GQ61</f>
        <v>0</v>
      </c>
      <c r="G17" s="230">
        <f>'Haver Pivoted'!GR61</f>
        <v>0</v>
      </c>
      <c r="H17" s="230">
        <f>'Haver Pivoted'!GS61</f>
        <v>0</v>
      </c>
      <c r="I17" s="230">
        <f>'Haver Pivoted'!GT61</f>
        <v>0</v>
      </c>
      <c r="J17" s="230">
        <f>'Haver Pivoted'!GU61</f>
        <v>698.9</v>
      </c>
      <c r="K17" s="230">
        <f>'Haver Pivoted'!GV61</f>
        <v>413.9</v>
      </c>
      <c r="L17" s="230">
        <f>'Haver Pivoted'!GW61</f>
        <v>14.7</v>
      </c>
      <c r="M17" s="230">
        <f>'Haver Pivoted'!GX61</f>
        <v>288.2</v>
      </c>
      <c r="N17" s="230">
        <f>'Haver Pivoted'!GY61</f>
        <v>233.3</v>
      </c>
      <c r="O17" s="230">
        <f>'Haver Pivoted'!GZ61</f>
        <v>110.5</v>
      </c>
      <c r="P17" s="230">
        <f>'Haver Pivoted'!HA61</f>
        <v>0</v>
      </c>
      <c r="Q17" s="230">
        <f>'Haver Pivoted'!HB61</f>
        <v>0</v>
      </c>
      <c r="R17" s="230">
        <f>'Haver Pivoted'!HC61</f>
        <v>0</v>
      </c>
      <c r="S17" s="235">
        <f>'Haver Pivoted'!HD61</f>
        <v>0</v>
      </c>
      <c r="T17" s="235">
        <f>'Haver Pivoted'!HE61</f>
        <v>0</v>
      </c>
      <c r="U17" s="235">
        <f>'Haver Pivoted'!HF61</f>
        <v>0</v>
      </c>
      <c r="V17" s="235">
        <f>'Haver Pivoted'!HG61</f>
        <v>0</v>
      </c>
      <c r="W17" s="235">
        <f>'Haver Pivoted'!HH61</f>
        <v>0</v>
      </c>
      <c r="X17" s="235">
        <f>'Haver Pivoted'!HI61</f>
        <v>0</v>
      </c>
      <c r="Y17" s="235">
        <f>'Haver Pivoted'!HJ61</f>
        <v>0</v>
      </c>
      <c r="Z17" s="236">
        <f t="shared" si="7"/>
        <v>0</v>
      </c>
      <c r="AA17" s="236">
        <f t="shared" si="7"/>
        <v>0</v>
      </c>
      <c r="AB17" s="236">
        <f t="shared" si="7"/>
        <v>0</v>
      </c>
      <c r="AC17" s="236">
        <f t="shared" si="7"/>
        <v>0</v>
      </c>
      <c r="AD17" s="236">
        <f t="shared" si="7"/>
        <v>0</v>
      </c>
      <c r="AE17" s="236"/>
      <c r="AF17" s="236"/>
      <c r="AG17" s="236"/>
    </row>
    <row r="18" spans="2:68" x14ac:dyDescent="0.35">
      <c r="B18" s="248" t="s">
        <v>158</v>
      </c>
      <c r="C18" s="240" t="s">
        <v>297</v>
      </c>
      <c r="D18" s="275">
        <f>'Haver Pivoted'!GO64</f>
        <v>0</v>
      </c>
      <c r="E18" s="234">
        <f>'Haver Pivoted'!GP64</f>
        <v>0</v>
      </c>
      <c r="F18" s="234">
        <f>'Haver Pivoted'!GQ64</f>
        <v>0</v>
      </c>
      <c r="G18" s="234">
        <f>'Haver Pivoted'!GR64</f>
        <v>0</v>
      </c>
      <c r="H18" s="234">
        <f>'Haver Pivoted'!GS64</f>
        <v>0</v>
      </c>
      <c r="I18" s="234">
        <f>'Haver Pivoted'!GT64</f>
        <v>0</v>
      </c>
      <c r="J18" s="234">
        <f>'Haver Pivoted'!GU64</f>
        <v>0</v>
      </c>
      <c r="K18" s="234">
        <f>'Haver Pivoted'!GV64</f>
        <v>106.2</v>
      </c>
      <c r="L18" s="234">
        <f>'Haver Pivoted'!GW64</f>
        <v>35.9</v>
      </c>
      <c r="M18" s="234">
        <f>'Haver Pivoted'!GX64</f>
        <v>1.6</v>
      </c>
      <c r="N18" s="234">
        <f>'Haver Pivoted'!GY64</f>
        <v>0.6</v>
      </c>
      <c r="O18" s="234">
        <f>'Haver Pivoted'!GZ64</f>
        <v>0.1</v>
      </c>
      <c r="P18" s="234">
        <f>'Haver Pivoted'!HA64</f>
        <v>0</v>
      </c>
      <c r="Q18" s="230">
        <f>'Haver Pivoted'!HB64</f>
        <v>0</v>
      </c>
      <c r="R18" s="230">
        <f>'Haver Pivoted'!HC64</f>
        <v>0</v>
      </c>
      <c r="S18" s="235">
        <f>'Haver Pivoted'!HD64</f>
        <v>0</v>
      </c>
      <c r="T18" s="235">
        <f>'Haver Pivoted'!HE64</f>
        <v>0</v>
      </c>
      <c r="U18" s="235">
        <f>'Haver Pivoted'!HF64</f>
        <v>0</v>
      </c>
      <c r="V18" s="235">
        <f>'Haver Pivoted'!HG64</f>
        <v>0</v>
      </c>
      <c r="W18" s="235">
        <f>'Haver Pivoted'!HH64</f>
        <v>0</v>
      </c>
      <c r="X18" s="235">
        <f>'Haver Pivoted'!HI64</f>
        <v>0</v>
      </c>
      <c r="Y18" s="235">
        <f>'Haver Pivoted'!HJ64</f>
        <v>0</v>
      </c>
      <c r="Z18" s="236"/>
      <c r="AA18" s="236"/>
      <c r="AB18" s="236"/>
      <c r="AC18" s="236"/>
      <c r="AD18" s="236"/>
      <c r="AE18" s="236"/>
      <c r="AF18" s="236"/>
      <c r="AG18" s="236"/>
    </row>
    <row r="19" spans="2:68" ht="14.9" customHeight="1" x14ac:dyDescent="0.35">
      <c r="B19" s="268" t="s">
        <v>298</v>
      </c>
      <c r="C19" s="255"/>
      <c r="D19" s="262">
        <f t="shared" ref="D19:N19" si="8">D11-D20</f>
        <v>0</v>
      </c>
      <c r="E19" s="228">
        <f t="shared" si="8"/>
        <v>0</v>
      </c>
      <c r="F19" s="228">
        <f t="shared" si="8"/>
        <v>0</v>
      </c>
      <c r="G19" s="228">
        <f t="shared" si="8"/>
        <v>0</v>
      </c>
      <c r="H19" s="228">
        <f t="shared" si="8"/>
        <v>0</v>
      </c>
      <c r="I19" s="228">
        <f t="shared" si="8"/>
        <v>0</v>
      </c>
      <c r="J19" s="228">
        <f t="shared" si="8"/>
        <v>779.80000000000007</v>
      </c>
      <c r="K19" s="228">
        <f t="shared" si="8"/>
        <v>586.29999999999995</v>
      </c>
      <c r="L19" s="228">
        <f t="shared" si="8"/>
        <v>229.4</v>
      </c>
      <c r="M19" s="228">
        <f t="shared" si="8"/>
        <v>523.1</v>
      </c>
      <c r="N19" s="229">
        <f t="shared" si="8"/>
        <v>405.3</v>
      </c>
      <c r="O19" s="229">
        <f>O11-O20</f>
        <v>209.20000000000002</v>
      </c>
      <c r="P19" s="229">
        <f t="shared" ref="P19" si="9">P11-P20</f>
        <v>6.1000000000000014</v>
      </c>
      <c r="Q19" s="229">
        <f>Q11-Q20</f>
        <v>0.19999999999999929</v>
      </c>
      <c r="R19" s="229">
        <f>R11-R20</f>
        <v>1.1000000000000014</v>
      </c>
      <c r="S19" s="229">
        <f>S11-S20</f>
        <v>0.5</v>
      </c>
      <c r="T19" s="229">
        <f>T11-T20</f>
        <v>0.30000000000000071</v>
      </c>
      <c r="U19" s="229">
        <f>U11-U20</f>
        <v>0</v>
      </c>
      <c r="V19" s="228">
        <v>0</v>
      </c>
      <c r="W19" s="228">
        <v>0</v>
      </c>
      <c r="X19" s="237">
        <f>X11-X20</f>
        <v>0.28514285714285847</v>
      </c>
      <c r="Y19" s="237">
        <f t="shared" ref="Y19:AC19" si="10">Y11-Y20</f>
        <v>-0.55714285714286049</v>
      </c>
      <c r="Z19" s="237">
        <f t="shared" si="10"/>
        <v>0</v>
      </c>
      <c r="AA19" s="237">
        <f t="shared" si="10"/>
        <v>0</v>
      </c>
      <c r="AB19" s="237">
        <f t="shared" si="10"/>
        <v>0</v>
      </c>
      <c r="AC19" s="237">
        <f t="shared" si="10"/>
        <v>0</v>
      </c>
      <c r="AD19" s="237">
        <f t="shared" ref="AD19" si="11">AD11-AD20</f>
        <v>0</v>
      </c>
      <c r="AE19" s="237"/>
      <c r="AF19" s="237"/>
      <c r="AG19" s="237"/>
    </row>
    <row r="20" spans="2:68" ht="14.9" customHeight="1" x14ac:dyDescent="0.35">
      <c r="B20" s="268" t="s">
        <v>299</v>
      </c>
      <c r="C20" s="255"/>
      <c r="D20" s="262">
        <f t="shared" ref="D20:H20" si="12">D11</f>
        <v>27.1</v>
      </c>
      <c r="E20" s="228">
        <f t="shared" si="12"/>
        <v>30.5</v>
      </c>
      <c r="F20" s="228">
        <f t="shared" si="12"/>
        <v>27.7</v>
      </c>
      <c r="G20" s="228">
        <f t="shared" si="12"/>
        <v>25</v>
      </c>
      <c r="H20" s="228">
        <f t="shared" si="12"/>
        <v>26.7</v>
      </c>
      <c r="I20" s="228">
        <f>I11</f>
        <v>40.9</v>
      </c>
      <c r="J20" s="228">
        <f>J11-J13-J12</f>
        <v>171.59999999999994</v>
      </c>
      <c r="K20" s="228">
        <f>K11-K13-K12</f>
        <v>215.99999999999994</v>
      </c>
      <c r="L20" s="228">
        <f>L11-L13-L12</f>
        <v>94.1</v>
      </c>
      <c r="M20" s="228">
        <f>M11-M13-M12</f>
        <v>60.399999999999977</v>
      </c>
      <c r="N20" s="229">
        <f t="shared" ref="N20:U20" si="13">N11-N12-N13</f>
        <v>46.5</v>
      </c>
      <c r="O20" s="229">
        <f t="shared" si="13"/>
        <v>17.599999999999994</v>
      </c>
      <c r="P20" s="229">
        <f t="shared" si="13"/>
        <v>27.799999999999997</v>
      </c>
      <c r="Q20" s="230">
        <f t="shared" si="13"/>
        <v>26</v>
      </c>
      <c r="R20" s="230">
        <f t="shared" si="13"/>
        <v>20.299999999999997</v>
      </c>
      <c r="S20" s="230">
        <f t="shared" si="13"/>
        <v>19.100000000000001</v>
      </c>
      <c r="T20" s="230">
        <f t="shared" si="13"/>
        <v>21.8</v>
      </c>
      <c r="U20" s="230">
        <f t="shared" si="13"/>
        <v>22</v>
      </c>
      <c r="V20" s="228">
        <f>U20*V23/U23</f>
        <v>22.62857142857143</v>
      </c>
      <c r="W20" s="228">
        <f>V20*W23/V23</f>
        <v>22.62857142857143</v>
      </c>
      <c r="X20" s="237">
        <f t="shared" ref="X20:Y20" si="14">W20*X23/W23</f>
        <v>22.414857142857141</v>
      </c>
      <c r="Y20" s="237">
        <f t="shared" si="14"/>
        <v>23.25714285714286</v>
      </c>
      <c r="Z20" s="237">
        <v>22.5</v>
      </c>
      <c r="AA20" s="237">
        <v>22.5</v>
      </c>
      <c r="AB20" s="237">
        <v>22.5</v>
      </c>
      <c r="AC20" s="237">
        <v>22.5</v>
      </c>
      <c r="AD20" s="237">
        <v>22.5</v>
      </c>
      <c r="AE20" s="237">
        <v>22.5</v>
      </c>
      <c r="AF20" s="237">
        <v>22.5</v>
      </c>
      <c r="AG20" s="237">
        <v>22.5</v>
      </c>
      <c r="AH20" s="263" t="s">
        <v>300</v>
      </c>
    </row>
    <row r="21" spans="2:68" x14ac:dyDescent="0.35">
      <c r="B21" s="248"/>
      <c r="C21" s="249"/>
      <c r="D21" s="274"/>
      <c r="E21" s="230"/>
      <c r="F21" s="230"/>
      <c r="G21" s="230"/>
      <c r="H21" s="226"/>
      <c r="I21" s="226"/>
      <c r="J21" s="226"/>
      <c r="K21" s="226"/>
      <c r="L21" s="226"/>
      <c r="M21" s="226"/>
      <c r="N21" s="226"/>
      <c r="O21" s="226"/>
      <c r="P21" s="226"/>
      <c r="Q21" s="226"/>
      <c r="R21" s="226"/>
      <c r="S21" s="226"/>
      <c r="T21" s="252"/>
      <c r="U21" s="226"/>
      <c r="V21" s="226"/>
      <c r="W21" s="236"/>
      <c r="X21" s="236"/>
      <c r="Y21" s="236"/>
      <c r="Z21" s="236"/>
      <c r="AA21" s="236"/>
      <c r="AB21" s="236"/>
      <c r="AC21" s="236"/>
      <c r="AD21" s="236"/>
      <c r="AE21" s="236"/>
      <c r="AF21" s="236"/>
      <c r="AG21" s="232"/>
    </row>
    <row r="22" spans="2:68" x14ac:dyDescent="0.35">
      <c r="B22" s="290" t="s">
        <v>1956</v>
      </c>
      <c r="C22" s="249"/>
      <c r="D22" s="230"/>
      <c r="E22" s="230"/>
      <c r="F22" s="230"/>
      <c r="G22" s="230"/>
      <c r="H22" s="226"/>
      <c r="I22" s="226"/>
      <c r="J22" s="226"/>
      <c r="K22" s="226"/>
      <c r="L22" s="226"/>
      <c r="M22" s="226">
        <v>6.2329999999999997</v>
      </c>
      <c r="N22" s="226">
        <v>5.9329999999999998</v>
      </c>
      <c r="O22" s="226">
        <v>5.0659999999999998</v>
      </c>
      <c r="P22" s="226">
        <v>4.1660000000000004</v>
      </c>
      <c r="Q22" s="226">
        <v>3.8</v>
      </c>
      <c r="R22" s="226">
        <v>3.633</v>
      </c>
      <c r="S22" s="226">
        <v>3.5329999999999999</v>
      </c>
      <c r="T22" s="252">
        <v>3.5659999999999998</v>
      </c>
      <c r="U22" s="223">
        <v>3.5</v>
      </c>
      <c r="V22" s="223">
        <v>3.5659999999999998</v>
      </c>
      <c r="W22" s="222">
        <v>3.7</v>
      </c>
      <c r="X22" s="222">
        <v>3.7330000000000001</v>
      </c>
      <c r="Y22" s="222">
        <v>3.8</v>
      </c>
      <c r="Z22" s="222">
        <v>3.8809999999999998</v>
      </c>
      <c r="AA22" s="222">
        <v>3.915</v>
      </c>
      <c r="AB22" s="222">
        <v>3.9319999999999999</v>
      </c>
      <c r="AC22" s="222">
        <v>3.9569999999999999</v>
      </c>
      <c r="AD22" s="222">
        <v>3.9569999999999999</v>
      </c>
      <c r="AE22" s="222">
        <v>3.9750000000000001</v>
      </c>
      <c r="AF22" s="222">
        <v>4.0039999999999996</v>
      </c>
      <c r="AG22" s="233">
        <v>4.0780000000000003</v>
      </c>
      <c r="AH22">
        <v>4.1369999999999996</v>
      </c>
      <c r="AI22">
        <v>4.1870000000000003</v>
      </c>
      <c r="AJ22">
        <v>4.2279999999999998</v>
      </c>
      <c r="AK22">
        <v>4.2699999999999996</v>
      </c>
      <c r="AL22">
        <v>4.3049999999999997</v>
      </c>
      <c r="AM22">
        <v>4.34</v>
      </c>
      <c r="AN22">
        <v>4.3719999999999999</v>
      </c>
      <c r="AO22">
        <v>4.399</v>
      </c>
      <c r="AP22">
        <v>4.4189999999999996</v>
      </c>
      <c r="AQ22">
        <v>4.4359999999999999</v>
      </c>
      <c r="AR22">
        <v>4.4489999999999998</v>
      </c>
      <c r="AS22">
        <v>4.4630000000000001</v>
      </c>
      <c r="AT22">
        <v>4.4710000000000001</v>
      </c>
      <c r="AU22">
        <v>4.476</v>
      </c>
      <c r="AV22">
        <v>4.4790000000000001</v>
      </c>
      <c r="AW22">
        <v>4.484</v>
      </c>
      <c r="AX22">
        <v>4.4850000000000003</v>
      </c>
      <c r="AY22">
        <v>4.484</v>
      </c>
      <c r="AZ22">
        <v>4.4829999999999997</v>
      </c>
      <c r="BA22">
        <v>4.4829999999999997</v>
      </c>
      <c r="BB22">
        <v>4.4809999999999999</v>
      </c>
      <c r="BC22">
        <v>4.4779999999999998</v>
      </c>
      <c r="BD22">
        <v>4.4749999999999996</v>
      </c>
      <c r="BE22">
        <v>4.4749999999999996</v>
      </c>
      <c r="BF22">
        <v>4.4710000000000001</v>
      </c>
      <c r="BG22">
        <v>4.4669999999999996</v>
      </c>
      <c r="BH22">
        <v>4.4619999999999997</v>
      </c>
      <c r="BI22">
        <v>4.4589999999999996</v>
      </c>
      <c r="BJ22">
        <v>4.4539999999999997</v>
      </c>
      <c r="BK22">
        <v>4.4480000000000004</v>
      </c>
      <c r="BL22">
        <v>4.4429999999999996</v>
      </c>
      <c r="BM22">
        <v>4.4379999999999997</v>
      </c>
      <c r="BN22">
        <v>4.4329999999999998</v>
      </c>
      <c r="BO22">
        <v>4.4279999999999999</v>
      </c>
      <c r="BP22">
        <v>4.4219999999999997</v>
      </c>
    </row>
    <row r="23" spans="2:68" x14ac:dyDescent="0.35">
      <c r="B23" s="248" t="s">
        <v>1831</v>
      </c>
      <c r="C23" s="240"/>
      <c r="D23" s="275"/>
      <c r="E23" s="234"/>
      <c r="F23" s="234"/>
      <c r="G23" s="234"/>
      <c r="H23" s="226"/>
      <c r="I23" s="226"/>
      <c r="J23" s="226"/>
      <c r="K23" s="226"/>
      <c r="L23" s="226"/>
      <c r="M23" s="226">
        <f t="shared" ref="M23:U23" si="15">GETPIVOTDATA("Monthly UR",$E$29,"Quarters",M24,"Years",M25)</f>
        <v>6.166666666666667</v>
      </c>
      <c r="N23" s="226">
        <f t="shared" si="15"/>
        <v>5.7666666666666657</v>
      </c>
      <c r="O23" s="226">
        <f t="shared" si="15"/>
        <v>5.1333333333333337</v>
      </c>
      <c r="P23" s="226">
        <f t="shared" si="15"/>
        <v>4.2333333333333334</v>
      </c>
      <c r="Q23" s="226">
        <f t="shared" si="15"/>
        <v>3.8000000000000003</v>
      </c>
      <c r="R23" s="226">
        <f t="shared" si="15"/>
        <v>3.6</v>
      </c>
      <c r="S23" s="226">
        <f t="shared" si="15"/>
        <v>3.5666666666666664</v>
      </c>
      <c r="T23" s="226">
        <f t="shared" si="15"/>
        <v>3.6</v>
      </c>
      <c r="U23" s="227">
        <f t="shared" si="15"/>
        <v>3.5</v>
      </c>
      <c r="V23" s="241">
        <v>3.6</v>
      </c>
      <c r="W23" s="241">
        <v>3.6</v>
      </c>
      <c r="X23" s="241">
        <f>V22</f>
        <v>3.5659999999999998</v>
      </c>
      <c r="Y23" s="241">
        <f t="shared" ref="Y23:AC23" si="16">W22</f>
        <v>3.7</v>
      </c>
      <c r="Z23" s="241">
        <f t="shared" si="16"/>
        <v>3.7330000000000001</v>
      </c>
      <c r="AA23" s="241">
        <f t="shared" si="16"/>
        <v>3.8</v>
      </c>
      <c r="AB23" s="241">
        <f t="shared" si="16"/>
        <v>3.8809999999999998</v>
      </c>
      <c r="AC23" s="241">
        <f t="shared" si="16"/>
        <v>3.915</v>
      </c>
      <c r="AD23" s="241">
        <f>AB22</f>
        <v>3.9319999999999999</v>
      </c>
      <c r="AE23" s="241">
        <f>AE22</f>
        <v>3.9750000000000001</v>
      </c>
      <c r="AF23" s="241">
        <f>AF22</f>
        <v>4.0039999999999996</v>
      </c>
      <c r="AG23" s="241">
        <f>AG22</f>
        <v>4.0780000000000003</v>
      </c>
      <c r="AH23" s="223" t="s">
        <v>301</v>
      </c>
    </row>
    <row r="24" spans="2:68" ht="15.75" customHeight="1" x14ac:dyDescent="0.35">
      <c r="B24" s="242" t="s">
        <v>1823</v>
      </c>
      <c r="C24" s="243"/>
      <c r="D24" s="244"/>
      <c r="E24" s="244"/>
      <c r="F24" s="244"/>
      <c r="G24" s="244"/>
      <c r="H24" s="244"/>
      <c r="I24" s="244"/>
      <c r="J24" s="244"/>
      <c r="K24" s="244"/>
      <c r="L24" s="244"/>
      <c r="M24" s="244">
        <v>1</v>
      </c>
      <c r="N24" s="244">
        <v>2</v>
      </c>
      <c r="O24" s="244">
        <v>3</v>
      </c>
      <c r="P24" s="244">
        <v>4</v>
      </c>
      <c r="Q24" s="244">
        <v>1</v>
      </c>
      <c r="R24" s="244">
        <v>2</v>
      </c>
      <c r="S24" s="244">
        <v>3</v>
      </c>
      <c r="T24" s="244">
        <v>4</v>
      </c>
      <c r="U24" s="244">
        <v>1</v>
      </c>
      <c r="V24" s="244">
        <v>2</v>
      </c>
      <c r="W24" s="244">
        <v>3</v>
      </c>
      <c r="X24" s="244">
        <v>4</v>
      </c>
      <c r="Y24" s="244">
        <v>1</v>
      </c>
      <c r="Z24" s="244">
        <v>2</v>
      </c>
      <c r="AA24" s="244">
        <v>3</v>
      </c>
      <c r="AB24" s="244">
        <v>4</v>
      </c>
      <c r="AC24" s="244">
        <v>1</v>
      </c>
      <c r="AD24" s="244">
        <v>2</v>
      </c>
      <c r="AE24" s="244">
        <v>3</v>
      </c>
      <c r="AF24" s="244">
        <v>4</v>
      </c>
      <c r="AG24" s="245">
        <v>1</v>
      </c>
      <c r="AH24" s="234"/>
      <c r="AI24" s="234"/>
      <c r="AJ24" s="234"/>
    </row>
    <row r="25" spans="2:68" x14ac:dyDescent="0.35">
      <c r="B25" s="256" t="s">
        <v>1824</v>
      </c>
      <c r="C25" s="257"/>
      <c r="D25" s="258"/>
      <c r="E25" s="258"/>
      <c r="F25" s="258"/>
      <c r="G25" s="258"/>
      <c r="H25" s="258"/>
      <c r="I25" s="258"/>
      <c r="J25" s="258"/>
      <c r="K25" s="258"/>
      <c r="L25" s="258"/>
      <c r="M25" s="258">
        <v>2021</v>
      </c>
      <c r="N25" s="258">
        <v>2021</v>
      </c>
      <c r="O25" s="258">
        <v>2021</v>
      </c>
      <c r="P25" s="258">
        <v>2021</v>
      </c>
      <c r="Q25" s="258">
        <v>2022</v>
      </c>
      <c r="R25" s="258">
        <v>2022</v>
      </c>
      <c r="S25" s="258">
        <v>2022</v>
      </c>
      <c r="T25" s="258">
        <v>2022</v>
      </c>
      <c r="U25" s="258">
        <v>2023</v>
      </c>
      <c r="V25" s="258">
        <v>2023</v>
      </c>
      <c r="W25" s="258">
        <v>2023</v>
      </c>
      <c r="X25" s="258">
        <v>2023</v>
      </c>
      <c r="Y25" s="258">
        <v>2024</v>
      </c>
      <c r="Z25" s="258">
        <v>2024</v>
      </c>
      <c r="AA25" s="258">
        <v>2024</v>
      </c>
      <c r="AB25" s="258">
        <v>2024</v>
      </c>
      <c r="AC25" s="258">
        <v>2025</v>
      </c>
      <c r="AD25" s="258">
        <v>2025</v>
      </c>
      <c r="AE25" s="258">
        <v>2025</v>
      </c>
      <c r="AF25" s="258">
        <v>2025</v>
      </c>
      <c r="AG25" s="259">
        <v>2026</v>
      </c>
      <c r="AH25" s="223"/>
    </row>
    <row r="26" spans="2:68" x14ac:dyDescent="0.35">
      <c r="B26" s="56"/>
      <c r="C26" s="240"/>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23"/>
    </row>
    <row r="27" spans="2:68" x14ac:dyDescent="0.35">
      <c r="C27" s="240"/>
      <c r="D27" s="234"/>
      <c r="E27" s="234"/>
      <c r="F27" s="234"/>
      <c r="G27" s="234"/>
      <c r="H27" s="226"/>
      <c r="I27" s="226"/>
      <c r="J27" s="226"/>
      <c r="K27" s="226"/>
      <c r="L27" s="226"/>
      <c r="M27" s="226"/>
      <c r="N27" s="226"/>
      <c r="O27" s="226"/>
      <c r="P27" s="226"/>
      <c r="AH27" s="223"/>
    </row>
    <row r="28" spans="2:68" x14ac:dyDescent="0.35">
      <c r="M28" s="240"/>
      <c r="N28" s="240"/>
      <c r="O28" s="240"/>
    </row>
    <row r="29" spans="2:68" ht="45" customHeight="1" x14ac:dyDescent="0.35">
      <c r="B29" s="281" t="s">
        <v>302</v>
      </c>
      <c r="C29" s="282" t="s">
        <v>303</v>
      </c>
      <c r="D29" s="279"/>
      <c r="E29" s="14" t="s">
        <v>1813</v>
      </c>
      <c r="F29" s="14" t="s">
        <v>1818</v>
      </c>
      <c r="G29" s="14"/>
      <c r="H29" s="14"/>
      <c r="I29" s="14"/>
      <c r="J29" s="14"/>
      <c r="O29" s="283"/>
    </row>
    <row r="30" spans="2:68" x14ac:dyDescent="0.35">
      <c r="B30" s="276">
        <v>44197</v>
      </c>
      <c r="C30" s="224">
        <v>6.3</v>
      </c>
      <c r="D30" s="280"/>
      <c r="E30" s="42" t="s">
        <v>1748</v>
      </c>
      <c r="F30" s="56"/>
      <c r="G30" s="56"/>
      <c r="H30" s="73"/>
      <c r="I30" s="56"/>
      <c r="J30" s="73"/>
      <c r="O30" s="240"/>
    </row>
    <row r="31" spans="2:68" x14ac:dyDescent="0.35">
      <c r="B31" s="276">
        <v>44228</v>
      </c>
      <c r="C31" s="224">
        <v>6.2</v>
      </c>
      <c r="D31" s="280"/>
      <c r="E31" s="128" t="s">
        <v>1814</v>
      </c>
      <c r="F31" s="180">
        <v>6.166666666666667</v>
      </c>
      <c r="G31" s="56"/>
      <c r="H31" s="73"/>
      <c r="I31" s="56"/>
      <c r="J31" s="73"/>
      <c r="O31" s="240"/>
    </row>
    <row r="32" spans="2:68" x14ac:dyDescent="0.35">
      <c r="B32" s="276">
        <v>44256</v>
      </c>
      <c r="C32" s="224">
        <v>6</v>
      </c>
      <c r="D32" s="280"/>
      <c r="E32" s="128" t="s">
        <v>1815</v>
      </c>
      <c r="F32" s="180">
        <v>5.7666666666666657</v>
      </c>
      <c r="G32" s="56"/>
      <c r="H32" s="73"/>
      <c r="I32" s="56"/>
      <c r="J32" s="73"/>
      <c r="O32" s="240"/>
    </row>
    <row r="33" spans="1:42" x14ac:dyDescent="0.35">
      <c r="B33" s="276">
        <v>44287</v>
      </c>
      <c r="C33" s="224">
        <v>6.1</v>
      </c>
      <c r="D33" s="280"/>
      <c r="E33" s="128" t="s">
        <v>1816</v>
      </c>
      <c r="F33" s="180">
        <v>5.1333333333333337</v>
      </c>
      <c r="G33" s="56"/>
      <c r="H33" s="73"/>
      <c r="I33" s="56"/>
      <c r="J33" s="73"/>
      <c r="O33" s="240"/>
    </row>
    <row r="34" spans="1:42" x14ac:dyDescent="0.35">
      <c r="A34" s="56"/>
      <c r="B34" s="276">
        <v>44317</v>
      </c>
      <c r="C34" s="224">
        <v>5.8</v>
      </c>
      <c r="D34" s="280"/>
      <c r="E34" s="128" t="s">
        <v>1817</v>
      </c>
      <c r="F34" s="180">
        <v>4.2333333333333334</v>
      </c>
      <c r="G34" s="56"/>
      <c r="H34" s="73"/>
      <c r="I34" s="56"/>
      <c r="J34" s="73"/>
      <c r="O34" s="240"/>
    </row>
    <row r="35" spans="1:42" x14ac:dyDescent="0.35">
      <c r="A35" s="56"/>
      <c r="B35" s="276">
        <v>44348</v>
      </c>
      <c r="C35" s="224">
        <v>5.4</v>
      </c>
      <c r="D35" s="280"/>
      <c r="E35" s="42" t="s">
        <v>1737</v>
      </c>
      <c r="F35" s="180"/>
      <c r="G35" s="56"/>
      <c r="H35" s="73"/>
      <c r="I35" s="56"/>
      <c r="J35" s="73"/>
      <c r="O35" s="240"/>
    </row>
    <row r="36" spans="1:42" x14ac:dyDescent="0.35">
      <c r="A36" s="56"/>
      <c r="B36" s="276">
        <v>44378</v>
      </c>
      <c r="C36" s="224">
        <v>5.4</v>
      </c>
      <c r="D36" s="280"/>
      <c r="E36" s="128" t="s">
        <v>1814</v>
      </c>
      <c r="F36" s="180">
        <v>3.8000000000000003</v>
      </c>
      <c r="G36" s="56"/>
      <c r="H36" s="73"/>
      <c r="I36" s="56"/>
      <c r="J36" s="73"/>
      <c r="O36" s="240"/>
    </row>
    <row r="37" spans="1:42" x14ac:dyDescent="0.35">
      <c r="A37" s="56"/>
      <c r="B37" s="276">
        <v>44409</v>
      </c>
      <c r="C37" s="224">
        <v>5.2</v>
      </c>
      <c r="D37" s="280"/>
      <c r="E37" s="128" t="s">
        <v>1815</v>
      </c>
      <c r="F37" s="180">
        <v>3.6</v>
      </c>
      <c r="G37" s="56"/>
      <c r="H37" s="73"/>
      <c r="I37" s="56"/>
      <c r="J37" s="73"/>
      <c r="O37" s="240"/>
    </row>
    <row r="38" spans="1:42" x14ac:dyDescent="0.35">
      <c r="A38" s="56"/>
      <c r="B38" s="276">
        <v>44440</v>
      </c>
      <c r="C38" s="224">
        <v>4.8</v>
      </c>
      <c r="D38" s="280"/>
      <c r="E38" s="128" t="s">
        <v>1816</v>
      </c>
      <c r="F38" s="180">
        <v>3.5666666666666664</v>
      </c>
      <c r="G38" s="56"/>
      <c r="H38" s="73"/>
      <c r="I38" s="56"/>
      <c r="J38" s="73"/>
      <c r="O38" s="240"/>
    </row>
    <row r="39" spans="1:42" x14ac:dyDescent="0.35">
      <c r="A39" s="56"/>
      <c r="B39" s="276">
        <v>44470</v>
      </c>
      <c r="C39" s="224">
        <v>4.5999999999999996</v>
      </c>
      <c r="D39" s="280"/>
      <c r="E39" s="128" t="s">
        <v>1817</v>
      </c>
      <c r="F39" s="180">
        <v>3.6</v>
      </c>
      <c r="G39" s="56"/>
      <c r="H39" s="73"/>
      <c r="I39" s="56"/>
      <c r="J39" s="73"/>
      <c r="O39" s="240"/>
    </row>
    <row r="40" spans="1:42" x14ac:dyDescent="0.35">
      <c r="A40" s="56"/>
      <c r="B40" s="276">
        <v>44501</v>
      </c>
      <c r="C40" s="224">
        <v>4.2</v>
      </c>
      <c r="D40" s="280"/>
      <c r="E40" s="42" t="s">
        <v>1819</v>
      </c>
      <c r="F40" s="180"/>
      <c r="G40" s="56"/>
      <c r="H40" s="73"/>
      <c r="I40" s="56"/>
      <c r="J40" s="73"/>
      <c r="O40" s="240"/>
      <c r="AH40" s="240"/>
      <c r="AI40" s="240"/>
      <c r="AJ40" s="240"/>
      <c r="AK40" s="240"/>
      <c r="AL40" s="240"/>
      <c r="AM40" s="240"/>
      <c r="AN40" s="240"/>
      <c r="AO40" s="240"/>
      <c r="AP40" s="240"/>
    </row>
    <row r="41" spans="1:42" x14ac:dyDescent="0.35">
      <c r="A41" s="56"/>
      <c r="B41" s="276">
        <v>44531</v>
      </c>
      <c r="C41" s="224">
        <v>3.9</v>
      </c>
      <c r="D41" s="280"/>
      <c r="E41" s="128" t="s">
        <v>1814</v>
      </c>
      <c r="F41" s="180">
        <v>3.5</v>
      </c>
      <c r="G41" s="56"/>
      <c r="H41" s="73"/>
      <c r="I41" s="56"/>
      <c r="J41" s="73"/>
      <c r="O41" s="240"/>
      <c r="AH41" s="240"/>
      <c r="AI41" s="240"/>
      <c r="AJ41" s="240"/>
      <c r="AK41" s="240"/>
      <c r="AL41" s="240"/>
      <c r="AM41" s="240"/>
      <c r="AN41" s="240"/>
      <c r="AO41" s="240"/>
      <c r="AP41" s="240"/>
    </row>
    <row r="42" spans="1:42" x14ac:dyDescent="0.35">
      <c r="A42" s="56"/>
      <c r="B42" s="276">
        <v>44562</v>
      </c>
      <c r="C42" s="224">
        <v>4</v>
      </c>
      <c r="D42" s="56"/>
      <c r="E42" s="128" t="s">
        <v>1815</v>
      </c>
      <c r="F42" s="180"/>
      <c r="G42" s="56"/>
      <c r="H42" s="73"/>
      <c r="I42" s="56"/>
      <c r="J42" s="73"/>
      <c r="O42" s="240"/>
    </row>
    <row r="43" spans="1:42" x14ac:dyDescent="0.35">
      <c r="A43" s="56"/>
      <c r="B43" s="276">
        <v>44593</v>
      </c>
      <c r="C43" s="224">
        <v>3.8</v>
      </c>
      <c r="D43" s="56"/>
      <c r="E43" s="128" t="s">
        <v>1816</v>
      </c>
      <c r="F43" s="180"/>
      <c r="G43" s="56"/>
      <c r="H43" s="73"/>
      <c r="I43" s="56"/>
      <c r="J43" s="73"/>
    </row>
    <row r="44" spans="1:42" x14ac:dyDescent="0.35">
      <c r="A44" s="56"/>
      <c r="B44" s="276">
        <v>44621</v>
      </c>
      <c r="C44" s="224">
        <v>3.6</v>
      </c>
      <c r="D44" s="56"/>
      <c r="E44" s="128" t="s">
        <v>1817</v>
      </c>
      <c r="F44" s="180"/>
      <c r="G44" s="56"/>
      <c r="H44" s="73"/>
      <c r="I44" s="56"/>
      <c r="J44" s="73"/>
    </row>
    <row r="45" spans="1:42" x14ac:dyDescent="0.35">
      <c r="A45" s="56"/>
      <c r="B45" s="276">
        <v>44652</v>
      </c>
      <c r="C45" s="224">
        <v>3.6</v>
      </c>
      <c r="D45" s="56"/>
      <c r="E45" s="42" t="s">
        <v>1820</v>
      </c>
      <c r="F45" s="180"/>
      <c r="G45" s="56"/>
      <c r="H45" s="73"/>
      <c r="I45" s="56"/>
      <c r="J45" s="73"/>
    </row>
    <row r="46" spans="1:42" x14ac:dyDescent="0.35">
      <c r="A46" s="56"/>
      <c r="B46" s="276">
        <v>44682</v>
      </c>
      <c r="C46" s="224">
        <v>3.6</v>
      </c>
      <c r="D46" s="56"/>
      <c r="E46" s="128" t="s">
        <v>1814</v>
      </c>
      <c r="F46" s="180"/>
      <c r="G46" s="56"/>
      <c r="H46" s="73"/>
      <c r="I46" s="56"/>
      <c r="J46" s="73"/>
    </row>
    <row r="47" spans="1:42" x14ac:dyDescent="0.35">
      <c r="A47" s="56"/>
      <c r="B47" s="276">
        <v>44713</v>
      </c>
      <c r="C47" s="224">
        <v>3.6</v>
      </c>
      <c r="D47" s="56"/>
      <c r="E47" s="128" t="s">
        <v>1815</v>
      </c>
      <c r="F47" s="180"/>
      <c r="G47" s="56"/>
      <c r="H47" s="73"/>
      <c r="I47" s="56"/>
      <c r="J47" s="73"/>
    </row>
    <row r="48" spans="1:42" x14ac:dyDescent="0.35">
      <c r="A48" s="56"/>
      <c r="B48" s="276">
        <v>44743</v>
      </c>
      <c r="C48" s="224">
        <v>3.5</v>
      </c>
      <c r="D48" s="56"/>
      <c r="E48" s="128" t="s">
        <v>1816</v>
      </c>
      <c r="F48" s="180"/>
      <c r="G48" s="56"/>
      <c r="H48" s="73"/>
      <c r="I48" s="56"/>
      <c r="J48" s="73"/>
    </row>
    <row r="49" spans="1:10" x14ac:dyDescent="0.35">
      <c r="A49" s="56"/>
      <c r="B49" s="276">
        <v>44774</v>
      </c>
      <c r="C49" s="224">
        <v>3.7</v>
      </c>
      <c r="D49" s="56"/>
      <c r="E49" s="128" t="s">
        <v>1817</v>
      </c>
      <c r="F49" s="180"/>
      <c r="G49" s="56"/>
      <c r="H49" s="73"/>
      <c r="I49" s="56"/>
      <c r="J49" s="73"/>
    </row>
    <row r="50" spans="1:10" x14ac:dyDescent="0.35">
      <c r="A50" s="56"/>
      <c r="B50" s="276">
        <v>44805</v>
      </c>
      <c r="C50" s="224">
        <v>3.5</v>
      </c>
      <c r="D50" s="56"/>
      <c r="E50" s="42" t="s">
        <v>1821</v>
      </c>
      <c r="F50" s="180"/>
      <c r="G50" s="56"/>
      <c r="H50" s="56"/>
      <c r="I50" s="56"/>
      <c r="J50" s="56"/>
    </row>
    <row r="51" spans="1:10" x14ac:dyDescent="0.35">
      <c r="A51" s="56"/>
      <c r="B51" s="276">
        <v>44835</v>
      </c>
      <c r="C51" s="224">
        <v>3.7</v>
      </c>
      <c r="D51" s="56"/>
      <c r="E51" s="128" t="s">
        <v>1814</v>
      </c>
      <c r="F51" s="180"/>
      <c r="G51" s="56"/>
      <c r="H51" s="56"/>
      <c r="I51" s="56"/>
      <c r="J51" s="56"/>
    </row>
    <row r="52" spans="1:10" x14ac:dyDescent="0.35">
      <c r="A52" s="56"/>
      <c r="B52" s="276">
        <v>44866</v>
      </c>
      <c r="C52" s="224">
        <v>3.6</v>
      </c>
      <c r="D52" s="56"/>
      <c r="E52" s="128" t="s">
        <v>1815</v>
      </c>
      <c r="F52" s="180"/>
      <c r="G52" s="56"/>
      <c r="H52" s="56"/>
      <c r="I52" s="56"/>
      <c r="J52" s="56"/>
    </row>
    <row r="53" spans="1:10" x14ac:dyDescent="0.35">
      <c r="A53" s="56"/>
      <c r="B53" s="276">
        <v>44896</v>
      </c>
      <c r="C53" s="224">
        <v>3.5</v>
      </c>
      <c r="D53" s="56"/>
      <c r="E53" s="128" t="s">
        <v>1816</v>
      </c>
      <c r="F53" s="180"/>
      <c r="G53" s="56"/>
      <c r="H53" s="56"/>
      <c r="I53" s="56"/>
      <c r="J53" s="56"/>
    </row>
    <row r="54" spans="1:10" x14ac:dyDescent="0.35">
      <c r="B54" s="276">
        <v>44927</v>
      </c>
      <c r="C54" s="224">
        <v>3.4</v>
      </c>
      <c r="D54" s="56"/>
      <c r="E54" s="128" t="s">
        <v>1817</v>
      </c>
      <c r="F54" s="180"/>
      <c r="G54" s="56"/>
      <c r="H54" s="56"/>
      <c r="I54" s="56"/>
      <c r="J54" s="56"/>
    </row>
    <row r="55" spans="1:10" x14ac:dyDescent="0.35">
      <c r="B55" s="276">
        <v>44958</v>
      </c>
      <c r="C55" s="224">
        <v>3.6</v>
      </c>
      <c r="D55" s="56"/>
      <c r="E55" s="42" t="s">
        <v>1822</v>
      </c>
      <c r="F55" s="180"/>
      <c r="G55" s="56"/>
      <c r="H55" s="56"/>
      <c r="I55" s="56"/>
      <c r="J55" s="56"/>
    </row>
    <row r="56" spans="1:10" x14ac:dyDescent="0.35">
      <c r="B56" s="276">
        <v>44986</v>
      </c>
      <c r="C56" s="224">
        <v>3.5</v>
      </c>
      <c r="D56" s="56"/>
      <c r="E56" s="128" t="s">
        <v>1814</v>
      </c>
      <c r="F56" s="180"/>
      <c r="G56" s="56"/>
      <c r="H56" s="56"/>
      <c r="I56" s="56"/>
      <c r="J56" s="56"/>
    </row>
    <row r="57" spans="1:10" x14ac:dyDescent="0.35">
      <c r="B57" s="276">
        <v>45017</v>
      </c>
      <c r="C57" s="224"/>
      <c r="D57" s="56"/>
      <c r="E57" s="128" t="s">
        <v>1815</v>
      </c>
      <c r="F57" s="180"/>
      <c r="G57" s="56"/>
      <c r="H57" s="56"/>
      <c r="I57" s="56"/>
      <c r="J57" s="56"/>
    </row>
    <row r="58" spans="1:10" x14ac:dyDescent="0.35">
      <c r="B58" s="276">
        <v>45047</v>
      </c>
      <c r="C58" s="224"/>
      <c r="D58" s="56"/>
      <c r="E58" s="128" t="s">
        <v>1816</v>
      </c>
      <c r="F58" s="180"/>
      <c r="G58" s="56"/>
      <c r="H58" s="56"/>
      <c r="I58" s="56"/>
      <c r="J58" s="56"/>
    </row>
    <row r="59" spans="1:10" x14ac:dyDescent="0.35">
      <c r="B59" s="276">
        <v>45078</v>
      </c>
      <c r="C59" s="224"/>
      <c r="D59" s="56"/>
      <c r="E59" s="128" t="s">
        <v>1817</v>
      </c>
      <c r="F59" s="180"/>
      <c r="G59" s="56"/>
      <c r="H59" s="56"/>
      <c r="I59" s="56"/>
      <c r="J59" s="56"/>
    </row>
    <row r="60" spans="1:10" x14ac:dyDescent="0.35">
      <c r="B60" s="276">
        <v>45108</v>
      </c>
      <c r="C60" s="224"/>
      <c r="D60" s="56"/>
      <c r="E60" s="56"/>
      <c r="F60" s="56"/>
      <c r="G60" s="56"/>
      <c r="H60" s="56"/>
      <c r="I60" s="56"/>
      <c r="J60" s="56"/>
    </row>
    <row r="61" spans="1:10" x14ac:dyDescent="0.35">
      <c r="B61" s="276">
        <v>45139</v>
      </c>
      <c r="C61" s="224"/>
      <c r="D61" s="56"/>
      <c r="E61" s="56"/>
      <c r="F61" s="56"/>
      <c r="G61" s="56"/>
      <c r="H61" s="56"/>
      <c r="I61" s="56"/>
      <c r="J61" s="56"/>
    </row>
    <row r="62" spans="1:10" x14ac:dyDescent="0.35">
      <c r="B62" s="276">
        <v>45170</v>
      </c>
      <c r="C62" s="224"/>
      <c r="D62" s="56"/>
      <c r="E62" s="56"/>
      <c r="F62" s="56"/>
      <c r="G62" s="56"/>
      <c r="H62" s="56"/>
      <c r="I62" s="56"/>
      <c r="J62" s="56"/>
    </row>
    <row r="63" spans="1:10" x14ac:dyDescent="0.35">
      <c r="B63" s="276">
        <v>45200</v>
      </c>
      <c r="C63" s="224"/>
      <c r="D63" s="56"/>
      <c r="E63" s="56"/>
      <c r="F63" s="56"/>
      <c r="G63" s="56"/>
      <c r="H63" s="56"/>
      <c r="I63" s="56"/>
      <c r="J63" s="56"/>
    </row>
    <row r="64" spans="1:10" x14ac:dyDescent="0.35">
      <c r="B64" s="276">
        <v>45231</v>
      </c>
      <c r="C64" s="224"/>
      <c r="D64" s="56"/>
      <c r="E64" s="56"/>
      <c r="F64" s="56"/>
      <c r="G64" s="56"/>
      <c r="H64" s="56"/>
      <c r="I64" s="56"/>
      <c r="J64" s="56"/>
    </row>
    <row r="65" spans="2:10" x14ac:dyDescent="0.35">
      <c r="B65" s="276">
        <v>45261</v>
      </c>
      <c r="C65" s="224"/>
      <c r="D65" s="56"/>
      <c r="E65" s="56"/>
      <c r="F65" s="56"/>
      <c r="G65" s="56"/>
      <c r="H65" s="56"/>
      <c r="I65" s="56"/>
      <c r="J65" s="56"/>
    </row>
    <row r="66" spans="2:10" x14ac:dyDescent="0.35">
      <c r="B66" s="276">
        <v>45292</v>
      </c>
      <c r="C66" s="224"/>
      <c r="D66" s="56"/>
      <c r="E66" s="56"/>
      <c r="F66" s="56"/>
      <c r="G66" s="56"/>
      <c r="H66" s="56"/>
      <c r="I66" s="56"/>
      <c r="J66" s="56"/>
    </row>
    <row r="67" spans="2:10" x14ac:dyDescent="0.35">
      <c r="B67" s="276">
        <v>45323</v>
      </c>
      <c r="C67" s="224"/>
      <c r="D67" s="56"/>
      <c r="E67" s="56"/>
      <c r="F67" s="56"/>
      <c r="G67" s="56"/>
      <c r="H67" s="56"/>
      <c r="I67" s="56"/>
      <c r="J67" s="56"/>
    </row>
    <row r="68" spans="2:10" x14ac:dyDescent="0.35">
      <c r="B68" s="276">
        <v>45352</v>
      </c>
      <c r="C68" s="224"/>
      <c r="D68" s="56"/>
      <c r="E68" s="56"/>
      <c r="F68" s="56"/>
      <c r="G68" s="56"/>
      <c r="H68" s="56"/>
      <c r="I68" s="56"/>
      <c r="J68" s="56"/>
    </row>
    <row r="69" spans="2:10" x14ac:dyDescent="0.35">
      <c r="B69" s="276">
        <v>45383</v>
      </c>
      <c r="C69" s="224"/>
      <c r="D69" s="56"/>
      <c r="E69" s="56"/>
      <c r="F69" s="56"/>
      <c r="G69" s="56"/>
      <c r="H69" s="56"/>
      <c r="I69" s="56"/>
      <c r="J69" s="56"/>
    </row>
    <row r="70" spans="2:10" x14ac:dyDescent="0.35">
      <c r="B70" s="276">
        <v>45413</v>
      </c>
      <c r="C70" s="224"/>
      <c r="D70" s="56"/>
      <c r="E70" s="56"/>
      <c r="F70" s="56"/>
      <c r="G70" s="56"/>
      <c r="H70" s="56"/>
      <c r="I70" s="56"/>
      <c r="J70" s="56"/>
    </row>
    <row r="71" spans="2:10" x14ac:dyDescent="0.35">
      <c r="B71" s="276">
        <v>45444</v>
      </c>
      <c r="C71" s="224"/>
      <c r="D71" s="56"/>
      <c r="E71" s="56"/>
      <c r="F71" s="56"/>
      <c r="G71" s="56"/>
      <c r="H71" s="56"/>
      <c r="I71" s="56"/>
      <c r="J71" s="56"/>
    </row>
    <row r="72" spans="2:10" x14ac:dyDescent="0.35">
      <c r="B72" s="276">
        <v>45474</v>
      </c>
      <c r="C72" s="224"/>
      <c r="D72" s="56"/>
      <c r="E72" s="56"/>
      <c r="F72" s="56"/>
      <c r="G72" s="56"/>
      <c r="H72" s="56"/>
      <c r="I72" s="56"/>
      <c r="J72" s="56"/>
    </row>
    <row r="73" spans="2:10" x14ac:dyDescent="0.35">
      <c r="B73" s="276">
        <v>45505</v>
      </c>
      <c r="C73" s="224"/>
      <c r="D73" s="56"/>
      <c r="E73" s="56"/>
      <c r="F73" s="56"/>
      <c r="G73" s="56"/>
      <c r="H73" s="56"/>
      <c r="I73" s="56"/>
      <c r="J73" s="56"/>
    </row>
    <row r="74" spans="2:10" x14ac:dyDescent="0.35">
      <c r="B74" s="276">
        <v>45536</v>
      </c>
      <c r="C74" s="224"/>
      <c r="D74" s="56"/>
      <c r="E74" s="56"/>
      <c r="F74" s="56"/>
      <c r="G74" s="56"/>
      <c r="H74" s="56"/>
      <c r="I74" s="56"/>
      <c r="J74" s="56"/>
    </row>
    <row r="75" spans="2:10" x14ac:dyDescent="0.35">
      <c r="B75" s="276">
        <v>45566</v>
      </c>
      <c r="C75" s="224"/>
      <c r="D75" s="56"/>
      <c r="E75" s="56"/>
      <c r="F75" s="56"/>
      <c r="G75" s="56"/>
      <c r="H75" s="56"/>
      <c r="I75" s="56"/>
      <c r="J75" s="56"/>
    </row>
    <row r="76" spans="2:10" x14ac:dyDescent="0.35">
      <c r="B76" s="276">
        <v>45597</v>
      </c>
      <c r="C76" s="224"/>
      <c r="D76" s="56"/>
      <c r="E76" s="56"/>
      <c r="F76" s="56"/>
      <c r="G76" s="56"/>
      <c r="H76" s="56"/>
      <c r="I76" s="56"/>
      <c r="J76" s="56"/>
    </row>
    <row r="77" spans="2:10" x14ac:dyDescent="0.35">
      <c r="B77" s="276">
        <v>45627</v>
      </c>
      <c r="C77" s="224"/>
      <c r="D77" s="56"/>
      <c r="E77" s="56"/>
      <c r="F77" s="56"/>
      <c r="G77" s="56"/>
      <c r="H77" s="56"/>
      <c r="I77" s="56"/>
      <c r="J77" s="56"/>
    </row>
    <row r="78" spans="2:10" x14ac:dyDescent="0.35">
      <c r="B78" s="276">
        <v>45658</v>
      </c>
      <c r="C78" s="224"/>
      <c r="D78" s="56"/>
      <c r="E78" s="56"/>
      <c r="F78" s="56"/>
      <c r="G78" s="56"/>
      <c r="H78" s="56"/>
      <c r="I78" s="56"/>
      <c r="J78" s="56"/>
    </row>
    <row r="79" spans="2:10" x14ac:dyDescent="0.35">
      <c r="B79" s="276">
        <v>45689</v>
      </c>
      <c r="C79" s="224"/>
      <c r="D79" s="56"/>
      <c r="E79" s="56"/>
      <c r="F79" s="56"/>
      <c r="G79" s="56"/>
      <c r="H79" s="56"/>
      <c r="I79" s="56"/>
      <c r="J79" s="56"/>
    </row>
    <row r="80" spans="2:10" x14ac:dyDescent="0.35">
      <c r="B80" s="276">
        <v>45717</v>
      </c>
      <c r="C80" s="224"/>
      <c r="D80" s="56"/>
      <c r="E80" s="56"/>
      <c r="F80" s="56"/>
      <c r="G80" s="56"/>
      <c r="H80" s="56"/>
      <c r="I80" s="56"/>
      <c r="J80" s="56"/>
    </row>
    <row r="81" spans="2:10" x14ac:dyDescent="0.35">
      <c r="B81" s="276">
        <v>45748</v>
      </c>
      <c r="C81" s="224"/>
      <c r="D81" s="56"/>
      <c r="E81" s="56"/>
      <c r="F81" s="56"/>
      <c r="G81" s="56"/>
      <c r="H81" s="56"/>
      <c r="I81" s="56"/>
      <c r="J81" s="56"/>
    </row>
    <row r="82" spans="2:10" x14ac:dyDescent="0.35">
      <c r="B82" s="276">
        <v>45778</v>
      </c>
      <c r="C82" s="224"/>
      <c r="D82" s="56"/>
      <c r="E82" s="56"/>
      <c r="F82" s="56"/>
      <c r="G82" s="56"/>
      <c r="H82" s="56"/>
      <c r="I82" s="56"/>
      <c r="J82" s="56"/>
    </row>
    <row r="83" spans="2:10" x14ac:dyDescent="0.35">
      <c r="B83" s="276">
        <v>45809</v>
      </c>
      <c r="C83" s="224"/>
      <c r="D83" s="56"/>
      <c r="E83" s="56"/>
      <c r="F83" s="56"/>
      <c r="G83" s="56"/>
      <c r="H83" s="56"/>
      <c r="I83" s="56"/>
      <c r="J83" s="56"/>
    </row>
    <row r="84" spans="2:10" x14ac:dyDescent="0.35">
      <c r="B84" s="276">
        <v>45839</v>
      </c>
      <c r="C84" s="224"/>
      <c r="D84" s="56"/>
      <c r="E84" s="56"/>
      <c r="F84" s="56"/>
      <c r="G84" s="56"/>
      <c r="H84" s="56"/>
      <c r="I84" s="56"/>
      <c r="J84" s="56"/>
    </row>
    <row r="85" spans="2:10" x14ac:dyDescent="0.35">
      <c r="B85" s="276">
        <v>45870</v>
      </c>
      <c r="C85" s="224"/>
      <c r="D85" s="56"/>
      <c r="E85" s="56"/>
      <c r="F85" s="56"/>
      <c r="G85" s="56"/>
      <c r="H85" s="56"/>
      <c r="I85" s="56"/>
      <c r="J85" s="56"/>
    </row>
    <row r="86" spans="2:10" x14ac:dyDescent="0.35">
      <c r="B86" s="276">
        <v>45901</v>
      </c>
      <c r="C86" s="224"/>
      <c r="D86" s="56"/>
      <c r="E86" s="56"/>
      <c r="F86" s="56"/>
      <c r="G86" s="56"/>
      <c r="H86" s="56"/>
      <c r="I86" s="56"/>
      <c r="J86" s="56"/>
    </row>
    <row r="87" spans="2:10" x14ac:dyDescent="0.35">
      <c r="B87" s="276">
        <v>45931</v>
      </c>
      <c r="C87" s="224"/>
      <c r="D87" s="56"/>
      <c r="E87" s="56"/>
      <c r="F87" s="56"/>
      <c r="G87" s="56"/>
      <c r="H87" s="56"/>
      <c r="I87" s="56"/>
      <c r="J87" s="56"/>
    </row>
    <row r="88" spans="2:10" x14ac:dyDescent="0.35">
      <c r="B88" s="276">
        <v>45962</v>
      </c>
      <c r="C88" s="224"/>
      <c r="D88" s="56"/>
      <c r="E88" s="56"/>
      <c r="F88" s="56"/>
      <c r="G88" s="56"/>
      <c r="H88" s="56"/>
      <c r="I88" s="56"/>
      <c r="J88" s="56"/>
    </row>
    <row r="89" spans="2:10" x14ac:dyDescent="0.35">
      <c r="B89" s="276">
        <v>45992</v>
      </c>
      <c r="C89" s="224"/>
      <c r="D89" s="56"/>
      <c r="E89" s="56"/>
      <c r="F89" s="56"/>
      <c r="G89" s="56"/>
      <c r="H89" s="56"/>
      <c r="I89" s="56"/>
      <c r="J89" s="56"/>
    </row>
    <row r="90" spans="2:10" x14ac:dyDescent="0.35">
      <c r="B90" s="276">
        <v>46023</v>
      </c>
      <c r="C90" s="224"/>
      <c r="D90" s="56"/>
      <c r="E90" s="56"/>
      <c r="F90" s="56"/>
      <c r="G90" s="56"/>
      <c r="H90" s="56"/>
      <c r="I90" s="56"/>
      <c r="J90" s="56"/>
    </row>
    <row r="91" spans="2:10" x14ac:dyDescent="0.35">
      <c r="B91" s="276">
        <v>46054</v>
      </c>
      <c r="C91" s="224"/>
      <c r="D91" s="56"/>
      <c r="E91" s="56"/>
      <c r="F91" s="56"/>
      <c r="G91" s="56"/>
      <c r="H91" s="56"/>
      <c r="I91" s="56"/>
      <c r="J91" s="56"/>
    </row>
    <row r="92" spans="2:10" x14ac:dyDescent="0.35">
      <c r="B92" s="276">
        <v>46082</v>
      </c>
      <c r="C92" s="224"/>
      <c r="D92" s="56"/>
      <c r="E92" s="56"/>
      <c r="F92" s="56"/>
      <c r="G92" s="56"/>
      <c r="H92" s="56"/>
      <c r="I92" s="56"/>
      <c r="J92" s="56"/>
    </row>
    <row r="93" spans="2:10" x14ac:dyDescent="0.35">
      <c r="B93" s="276">
        <v>46113</v>
      </c>
      <c r="C93" s="224"/>
      <c r="D93" s="56"/>
      <c r="E93" s="56"/>
      <c r="F93" s="56"/>
      <c r="G93" s="56"/>
      <c r="H93" s="56"/>
      <c r="I93" s="56"/>
      <c r="J93" s="56"/>
    </row>
    <row r="94" spans="2:10" x14ac:dyDescent="0.35">
      <c r="B94" s="276">
        <v>46143</v>
      </c>
      <c r="C94" s="224"/>
      <c r="D94" s="56"/>
      <c r="E94" s="56"/>
      <c r="F94" s="56"/>
      <c r="G94" s="56"/>
      <c r="H94" s="56"/>
      <c r="I94" s="56"/>
      <c r="J94" s="56"/>
    </row>
    <row r="95" spans="2:10" x14ac:dyDescent="0.35">
      <c r="B95" s="276">
        <v>46174</v>
      </c>
      <c r="C95" s="224"/>
      <c r="D95" s="56"/>
      <c r="E95" s="56"/>
      <c r="F95" s="56"/>
      <c r="G95" s="56"/>
      <c r="H95" s="56"/>
      <c r="I95" s="56"/>
      <c r="J95" s="56"/>
    </row>
    <row r="96" spans="2:10" x14ac:dyDescent="0.35">
      <c r="B96" s="276">
        <v>46204</v>
      </c>
      <c r="C96" s="224"/>
      <c r="D96" s="56"/>
      <c r="E96" s="56"/>
      <c r="F96" s="56"/>
      <c r="G96" s="56"/>
      <c r="H96" s="56"/>
      <c r="I96" s="56"/>
      <c r="J96" s="56"/>
    </row>
    <row r="97" spans="2:10" x14ac:dyDescent="0.35">
      <c r="B97" s="276">
        <v>46235</v>
      </c>
      <c r="C97" s="224"/>
      <c r="D97" s="56"/>
      <c r="E97" s="56"/>
      <c r="F97" s="56"/>
      <c r="G97" s="56"/>
      <c r="H97" s="56"/>
      <c r="I97" s="56"/>
      <c r="J97" s="56"/>
    </row>
    <row r="98" spans="2:10" x14ac:dyDescent="0.35">
      <c r="B98" s="276">
        <v>46266</v>
      </c>
      <c r="C98" s="224"/>
      <c r="D98" s="56"/>
      <c r="E98" s="56"/>
      <c r="F98" s="56"/>
      <c r="G98" s="56"/>
      <c r="H98" s="56"/>
      <c r="I98" s="56"/>
      <c r="J98" s="56"/>
    </row>
    <row r="99" spans="2:10" x14ac:dyDescent="0.35">
      <c r="B99" s="276">
        <v>46296</v>
      </c>
      <c r="C99" s="224"/>
      <c r="D99" s="56"/>
      <c r="E99" s="56"/>
      <c r="F99" s="56"/>
      <c r="G99" s="56"/>
      <c r="H99" s="56"/>
      <c r="I99" s="56"/>
      <c r="J99" s="56"/>
    </row>
    <row r="100" spans="2:10" x14ac:dyDescent="0.35">
      <c r="B100" s="276">
        <v>46327</v>
      </c>
      <c r="C100" s="224"/>
      <c r="D100" s="56"/>
      <c r="E100" s="56"/>
      <c r="F100" s="56"/>
      <c r="G100" s="56"/>
      <c r="H100" s="56"/>
      <c r="I100" s="56"/>
      <c r="J100" s="56"/>
    </row>
    <row r="101" spans="2:10" x14ac:dyDescent="0.35">
      <c r="B101" s="277">
        <v>46357</v>
      </c>
      <c r="C101" s="225"/>
      <c r="D101" s="56"/>
      <c r="E101" s="56"/>
      <c r="F101" s="56"/>
      <c r="G101" s="56"/>
      <c r="H101" s="56"/>
      <c r="I101" s="56"/>
      <c r="J101" s="56"/>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77" t="s">
        <v>53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0" ht="14.25" customHeight="1" x14ac:dyDescent="0.35">
      <c r="B2" s="1278" t="s">
        <v>278</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0"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0"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0" x14ac:dyDescent="0.3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0" ht="38.9" customHeight="1" x14ac:dyDescent="0.3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0" x14ac:dyDescent="0.35">
      <c r="B7" s="265"/>
      <c r="C7" s="265"/>
      <c r="D7" s="265"/>
      <c r="E7" s="265"/>
      <c r="F7" s="265"/>
      <c r="G7" s="265"/>
      <c r="H7" s="266"/>
      <c r="I7" s="266"/>
      <c r="J7" s="266"/>
      <c r="K7" s="266"/>
      <c r="L7" s="266"/>
      <c r="M7" s="266"/>
      <c r="N7" s="266"/>
      <c r="O7" s="266"/>
      <c r="P7" s="266"/>
      <c r="Q7" s="266"/>
      <c r="R7" s="266"/>
      <c r="S7" s="266"/>
      <c r="T7" s="266"/>
      <c r="U7" s="266"/>
      <c r="V7" s="266"/>
      <c r="W7" s="266"/>
      <c r="X7" s="266"/>
      <c r="Y7" s="266"/>
    </row>
    <row r="8" spans="2:30" ht="14.9" customHeight="1" x14ac:dyDescent="0.35">
      <c r="B8" s="1282" t="s">
        <v>279</v>
      </c>
      <c r="C8" s="1283"/>
      <c r="D8" s="1302" t="s">
        <v>280</v>
      </c>
      <c r="E8" s="1303"/>
      <c r="F8" s="1303"/>
      <c r="G8" s="1303"/>
      <c r="H8" s="1303"/>
      <c r="I8" s="1303"/>
      <c r="J8" s="1303"/>
      <c r="K8" s="1303"/>
      <c r="L8" s="1303"/>
      <c r="M8" s="1303"/>
      <c r="N8" s="1303"/>
      <c r="O8" s="1303"/>
      <c r="P8" s="1303"/>
      <c r="Q8" s="1303"/>
      <c r="R8" s="1303"/>
      <c r="S8" s="1303"/>
      <c r="T8" s="1304"/>
      <c r="U8" s="1305" t="s">
        <v>281</v>
      </c>
      <c r="V8" s="1306"/>
      <c r="W8" s="1306"/>
      <c r="X8" s="1306"/>
      <c r="Y8" s="1306"/>
      <c r="Z8" s="1306"/>
      <c r="AA8" s="1306"/>
      <c r="AB8" s="1306"/>
      <c r="AC8" s="1307"/>
    </row>
    <row r="9" spans="2:30" ht="12.75" customHeight="1" x14ac:dyDescent="0.35">
      <c r="B9" s="1284"/>
      <c r="C9" s="1285"/>
      <c r="D9" s="219">
        <v>2018</v>
      </c>
      <c r="E9" s="1291">
        <v>2019</v>
      </c>
      <c r="F9" s="1292"/>
      <c r="G9" s="1292"/>
      <c r="H9" s="1293"/>
      <c r="I9" s="1292">
        <v>2020</v>
      </c>
      <c r="J9" s="1292"/>
      <c r="K9" s="1292"/>
      <c r="L9" s="1292"/>
      <c r="M9" s="1291">
        <v>2021</v>
      </c>
      <c r="N9" s="1292"/>
      <c r="O9" s="1292"/>
      <c r="P9" s="1292"/>
      <c r="Q9" s="1308">
        <v>2022</v>
      </c>
      <c r="R9" s="1309"/>
      <c r="S9" s="288"/>
      <c r="T9" s="296"/>
      <c r="U9" s="1289">
        <v>2023</v>
      </c>
      <c r="V9" s="1301"/>
      <c r="W9" s="1301"/>
      <c r="X9" s="1290"/>
      <c r="Y9" s="1288">
        <v>2024</v>
      </c>
      <c r="Z9" s="1301"/>
      <c r="AA9" s="1301"/>
      <c r="AB9" s="1301"/>
      <c r="AC9" s="251">
        <v>2025</v>
      </c>
    </row>
    <row r="10" spans="2:30" ht="14.9" customHeight="1" x14ac:dyDescent="0.35">
      <c r="B10" s="1284"/>
      <c r="C10" s="1285"/>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70" t="s">
        <v>283</v>
      </c>
      <c r="V10" s="270" t="s">
        <v>284</v>
      </c>
      <c r="W10" s="270" t="s">
        <v>238</v>
      </c>
      <c r="X10" s="271" t="s">
        <v>282</v>
      </c>
      <c r="Y10" s="269" t="s">
        <v>283</v>
      </c>
      <c r="Z10" s="267" t="s">
        <v>284</v>
      </c>
      <c r="AA10" s="270" t="s">
        <v>238</v>
      </c>
      <c r="AB10" s="270" t="s">
        <v>282</v>
      </c>
      <c r="AC10" s="272" t="s">
        <v>283</v>
      </c>
    </row>
    <row r="11" spans="2:30" x14ac:dyDescent="0.35">
      <c r="B11" s="250" t="s">
        <v>102</v>
      </c>
      <c r="C11" s="273" t="s">
        <v>285</v>
      </c>
      <c r="D11" s="253">
        <f>'Haver Pivoted'!GO14</f>
        <v>27.1</v>
      </c>
      <c r="E11" s="308">
        <f>'Haver Pivoted'!GP14</f>
        <v>30.5</v>
      </c>
      <c r="F11" s="308">
        <f>'Haver Pivoted'!GQ14</f>
        <v>27.7</v>
      </c>
      <c r="G11" s="308">
        <f>'Haver Pivoted'!GR14</f>
        <v>25</v>
      </c>
      <c r="H11" s="308">
        <f>'Haver Pivoted'!GS14</f>
        <v>26.7</v>
      </c>
      <c r="I11" s="308">
        <f>'Haver Pivoted'!GT14</f>
        <v>40.9</v>
      </c>
      <c r="J11" s="308">
        <f>'Haver Pivoted'!GU14</f>
        <v>951.4</v>
      </c>
      <c r="K11" s="308">
        <f>'Haver Pivoted'!GV14</f>
        <v>802.3</v>
      </c>
      <c r="L11" s="308">
        <f>'Haver Pivoted'!GW14</f>
        <v>323.5</v>
      </c>
      <c r="M11" s="308">
        <f>'Haver Pivoted'!GX14</f>
        <v>583.5</v>
      </c>
      <c r="N11" s="308">
        <f>'Haver Pivoted'!GY14</f>
        <v>451.8</v>
      </c>
      <c r="O11" s="308">
        <f>'Haver Pivoted'!GZ14</f>
        <v>226.8</v>
      </c>
      <c r="P11" s="308">
        <f>'Haver Pivoted'!HA14</f>
        <v>33.9</v>
      </c>
      <c r="Q11" s="308">
        <f>'Haver Pivoted'!HB14</f>
        <v>26.2</v>
      </c>
      <c r="R11" s="308">
        <f>'Haver Pivoted'!HC14</f>
        <v>21.4</v>
      </c>
      <c r="S11" s="292">
        <f>'Haver Pivoted'!HD14</f>
        <v>19.600000000000001</v>
      </c>
      <c r="T11" s="221">
        <f>'Haver Pivoted'!HE14</f>
        <v>22.1</v>
      </c>
      <c r="U11" s="221">
        <f>'Haver Pivoted'!HF14</f>
        <v>22</v>
      </c>
      <c r="V11" s="278">
        <f t="shared" ref="V11:AC11" si="0">V12+V13+V20</f>
        <v>28.907999999999998</v>
      </c>
      <c r="W11" s="278">
        <f t="shared" si="0"/>
        <v>30.79371428571428</v>
      </c>
      <c r="X11" s="278">
        <f t="shared" si="0"/>
        <v>32.145142857142851</v>
      </c>
      <c r="Y11" s="278">
        <f t="shared" si="0"/>
        <v>32.05085714285714</v>
      </c>
      <c r="Z11" s="278">
        <f t="shared" si="0"/>
        <v>31.07028571428571</v>
      </c>
      <c r="AA11" s="278">
        <f t="shared" si="0"/>
        <v>30.542285714285711</v>
      </c>
      <c r="AB11" s="278">
        <f t="shared" si="0"/>
        <v>30.165142857142857</v>
      </c>
      <c r="AC11" s="295">
        <f t="shared" si="0"/>
        <v>30.020571428571422</v>
      </c>
      <c r="AD11" s="240" t="s">
        <v>286</v>
      </c>
    </row>
    <row r="12" spans="2:30" x14ac:dyDescent="0.35">
      <c r="B12" s="264" t="s">
        <v>287</v>
      </c>
      <c r="C12" s="254" t="s">
        <v>288</v>
      </c>
      <c r="D12" s="275">
        <f>'Haver Pivoted'!GO63</f>
        <v>0</v>
      </c>
      <c r="E12" s="234">
        <f>'Haver Pivoted'!GP63</f>
        <v>0</v>
      </c>
      <c r="F12" s="234">
        <f>'Haver Pivoted'!GQ63</f>
        <v>0</v>
      </c>
      <c r="G12" s="234">
        <f>'Haver Pivoted'!GR63</f>
        <v>0</v>
      </c>
      <c r="H12" s="234">
        <f>'Haver Pivoted'!GS63</f>
        <v>0</v>
      </c>
      <c r="I12" s="234">
        <f>'Haver Pivoted'!GT63</f>
        <v>0</v>
      </c>
      <c r="J12" s="234">
        <f>'Haver Pivoted'!GU63</f>
        <v>0.1</v>
      </c>
      <c r="K12" s="234">
        <f>'Haver Pivoted'!GV63</f>
        <v>3.7</v>
      </c>
      <c r="L12" s="234">
        <f>'Haver Pivoted'!GW63</f>
        <v>12.9</v>
      </c>
      <c r="M12" s="234">
        <f>'Haver Pivoted'!GX63</f>
        <v>25.5</v>
      </c>
      <c r="N12" s="234">
        <f>'Haver Pivoted'!GY63</f>
        <v>3.8</v>
      </c>
      <c r="O12" s="234">
        <f>'Haver Pivoted'!GZ63</f>
        <v>1.8</v>
      </c>
      <c r="P12" s="234">
        <f>'Haver Pivoted'!HA63</f>
        <v>0.6</v>
      </c>
      <c r="Q12" s="234">
        <f>'Haver Pivoted'!HB63</f>
        <v>0.2</v>
      </c>
      <c r="R12" s="234">
        <f>'Haver Pivoted'!HC63</f>
        <v>0.1</v>
      </c>
      <c r="S12" s="215">
        <f>'Haver Pivoted'!HD63</f>
        <v>0</v>
      </c>
      <c r="T12" s="216">
        <f>'Haver Pivoted'!HE63</f>
        <v>0</v>
      </c>
      <c r="U12" s="216">
        <f>'Haver Pivoted'!HF63</f>
        <v>0</v>
      </c>
      <c r="V12" s="236">
        <f>U12*V23/U23</f>
        <v>0</v>
      </c>
      <c r="W12" s="236">
        <f t="shared" ref="W12:AB12" si="1">V12*W23/V23</f>
        <v>0</v>
      </c>
      <c r="X12" s="236">
        <f t="shared" si="1"/>
        <v>0</v>
      </c>
      <c r="Y12" s="236">
        <f t="shared" si="1"/>
        <v>0</v>
      </c>
      <c r="Z12" s="236">
        <f t="shared" si="1"/>
        <v>0</v>
      </c>
      <c r="AA12" s="236">
        <f t="shared" si="1"/>
        <v>0</v>
      </c>
      <c r="AB12" s="236">
        <f t="shared" si="1"/>
        <v>0</v>
      </c>
      <c r="AC12" s="302">
        <f>AB12*AC23/AB23</f>
        <v>0</v>
      </c>
    </row>
    <row r="13" spans="2:30" x14ac:dyDescent="0.35">
      <c r="B13" s="264" t="s">
        <v>289</v>
      </c>
      <c r="C13" s="254"/>
      <c r="D13" s="275"/>
      <c r="E13" s="234"/>
      <c r="F13" s="234"/>
      <c r="G13" s="234"/>
      <c r="H13" s="226">
        <f>SUM(H14:H17)</f>
        <v>0</v>
      </c>
      <c r="I13" s="226">
        <f t="shared" ref="I13:M13" si="2">SUM(I14:I17)</f>
        <v>0</v>
      </c>
      <c r="J13" s="226">
        <f t="shared" si="2"/>
        <v>779.7</v>
      </c>
      <c r="K13" s="226">
        <f t="shared" si="2"/>
        <v>582.6</v>
      </c>
      <c r="L13" s="226">
        <f t="shared" si="2"/>
        <v>216.5</v>
      </c>
      <c r="M13" s="226">
        <f t="shared" si="2"/>
        <v>497.6</v>
      </c>
      <c r="N13" s="231">
        <f>SUM(N14:N17)</f>
        <v>401.5</v>
      </c>
      <c r="O13" s="231">
        <f t="shared" ref="O13:AC13" si="3">SUM(O14:O17)</f>
        <v>207.4</v>
      </c>
      <c r="P13" s="231">
        <f t="shared" si="3"/>
        <v>5.5</v>
      </c>
      <c r="Q13" s="231">
        <v>0</v>
      </c>
      <c r="R13" s="231">
        <f t="shared" si="3"/>
        <v>1</v>
      </c>
      <c r="S13" s="293">
        <f t="shared" si="3"/>
        <v>0.5</v>
      </c>
      <c r="T13" s="303">
        <f t="shared" si="3"/>
        <v>0.30000000000000004</v>
      </c>
      <c r="U13" s="303">
        <f t="shared" si="3"/>
        <v>0</v>
      </c>
      <c r="V13" s="236">
        <f t="shared" si="3"/>
        <v>0</v>
      </c>
      <c r="W13" s="236">
        <f t="shared" si="3"/>
        <v>0</v>
      </c>
      <c r="X13" s="236">
        <f t="shared" si="3"/>
        <v>0</v>
      </c>
      <c r="Y13" s="236">
        <f t="shared" si="3"/>
        <v>0</v>
      </c>
      <c r="Z13" s="236">
        <f t="shared" si="3"/>
        <v>0</v>
      </c>
      <c r="AA13" s="236">
        <f t="shared" si="3"/>
        <v>0</v>
      </c>
      <c r="AB13" s="236">
        <f t="shared" si="3"/>
        <v>0</v>
      </c>
      <c r="AC13" s="302">
        <f t="shared" si="3"/>
        <v>0</v>
      </c>
    </row>
    <row r="14" spans="2:30" ht="18" customHeight="1" x14ac:dyDescent="0.35">
      <c r="B14" s="246" t="s">
        <v>290</v>
      </c>
      <c r="C14" s="247" t="s">
        <v>288</v>
      </c>
      <c r="D14" s="274">
        <f>'Haver Pivoted'!GO63</f>
        <v>0</v>
      </c>
      <c r="E14" s="230">
        <f>'Haver Pivoted'!GP63</f>
        <v>0</v>
      </c>
      <c r="F14" s="230">
        <f>'Haver Pivoted'!GQ63</f>
        <v>0</v>
      </c>
      <c r="G14" s="230">
        <f>'Haver Pivoted'!GR63</f>
        <v>0</v>
      </c>
      <c r="H14" s="230">
        <f>'Haver Pivoted'!GS63</f>
        <v>0</v>
      </c>
      <c r="I14" s="230">
        <f>'Haver Pivoted'!GT63</f>
        <v>0</v>
      </c>
      <c r="J14" s="230">
        <f>'Haver Pivoted'!GU63</f>
        <v>0.1</v>
      </c>
      <c r="K14" s="230">
        <f>'Haver Pivoted'!GV63</f>
        <v>3.7</v>
      </c>
      <c r="L14" s="230">
        <f>'Haver Pivoted'!GW63</f>
        <v>12.9</v>
      </c>
      <c r="M14" s="230">
        <f>'Haver Pivoted'!GX63</f>
        <v>25.5</v>
      </c>
      <c r="N14" s="230">
        <f>'Haver Pivoted'!GY63</f>
        <v>3.8</v>
      </c>
      <c r="O14" s="230">
        <f>'Haver Pivoted'!GZ63</f>
        <v>1.8</v>
      </c>
      <c r="P14" s="230">
        <f>'Haver Pivoted'!HA63</f>
        <v>0.6</v>
      </c>
      <c r="Q14" s="230">
        <f>'Haver Pivoted'!HB63</f>
        <v>0.2</v>
      </c>
      <c r="R14" s="230">
        <f>'Haver Pivoted'!HC63</f>
        <v>0.1</v>
      </c>
      <c r="S14" s="235">
        <f>'Haver Pivoted'!HD63</f>
        <v>0</v>
      </c>
      <c r="T14" s="301">
        <f>'Haver Pivoted'!HE63</f>
        <v>0</v>
      </c>
      <c r="U14" s="301">
        <f>'Haver Pivoted'!HF63</f>
        <v>0</v>
      </c>
      <c r="V14" s="236">
        <f t="shared" ref="V14:X14" si="4">V12</f>
        <v>0</v>
      </c>
      <c r="W14" s="236">
        <f t="shared" si="4"/>
        <v>0</v>
      </c>
      <c r="X14" s="236">
        <f t="shared" si="4"/>
        <v>0</v>
      </c>
      <c r="Y14" s="236">
        <f>Y12</f>
        <v>0</v>
      </c>
      <c r="Z14" s="236">
        <f t="shared" ref="Z14:AC14" si="5">Z12</f>
        <v>0</v>
      </c>
      <c r="AA14" s="236">
        <f t="shared" si="5"/>
        <v>0</v>
      </c>
      <c r="AB14" s="236">
        <f t="shared" si="5"/>
        <v>0</v>
      </c>
      <c r="AC14" s="302">
        <f t="shared" si="5"/>
        <v>0</v>
      </c>
    </row>
    <row r="15" spans="2:30" ht="18" customHeight="1" x14ac:dyDescent="0.35">
      <c r="B15" s="246" t="s">
        <v>291</v>
      </c>
      <c r="C15" s="247" t="s">
        <v>292</v>
      </c>
      <c r="D15" s="274">
        <f>'Haver Pivoted'!GO59</f>
        <v>0</v>
      </c>
      <c r="E15" s="230">
        <f>'Haver Pivoted'!GP59</f>
        <v>0</v>
      </c>
      <c r="F15" s="230">
        <f>'Haver Pivoted'!GQ59</f>
        <v>0</v>
      </c>
      <c r="G15" s="230">
        <f>'Haver Pivoted'!GR59</f>
        <v>0</v>
      </c>
      <c r="H15" s="230">
        <f>'Haver Pivoted'!GS59</f>
        <v>0</v>
      </c>
      <c r="I15" s="230">
        <f>'Haver Pivoted'!GT59</f>
        <v>0</v>
      </c>
      <c r="J15" s="230">
        <f>'Haver Pivoted'!GU59</f>
        <v>6.3</v>
      </c>
      <c r="K15" s="230">
        <f>'Haver Pivoted'!GV59</f>
        <v>26.7</v>
      </c>
      <c r="L15" s="230">
        <f>'Haver Pivoted'!GW59</f>
        <v>82.1</v>
      </c>
      <c r="M15" s="230">
        <f>'Haver Pivoted'!GX59</f>
        <v>94.7</v>
      </c>
      <c r="N15" s="230">
        <f>'Haver Pivoted'!GY59</f>
        <v>92.1</v>
      </c>
      <c r="O15" s="230">
        <f>'Haver Pivoted'!GZ59</f>
        <v>51.6</v>
      </c>
      <c r="P15" s="230">
        <f>'Haver Pivoted'!HA59</f>
        <v>2.8</v>
      </c>
      <c r="Q15" s="230">
        <f>'Haver Pivoted'!HB59</f>
        <v>0.8</v>
      </c>
      <c r="R15" s="230">
        <f>'Haver Pivoted'!HC59</f>
        <v>0.5</v>
      </c>
      <c r="S15" s="235">
        <f>'Haver Pivoted'!HD59</f>
        <v>0.3</v>
      </c>
      <c r="T15" s="301">
        <f>'Haver Pivoted'!HE59</f>
        <v>0.2</v>
      </c>
      <c r="U15" s="301">
        <f>'Haver Pivoted'!HF59</f>
        <v>0</v>
      </c>
      <c r="V15" s="236">
        <f t="shared" ref="V15:AB17" si="6">U15*V$23/U$23</f>
        <v>0</v>
      </c>
      <c r="W15" s="236">
        <f t="shared" si="6"/>
        <v>0</v>
      </c>
      <c r="X15" s="236">
        <f t="shared" si="6"/>
        <v>0</v>
      </c>
      <c r="Y15" s="236">
        <f t="shared" si="6"/>
        <v>0</v>
      </c>
      <c r="Z15" s="236">
        <f t="shared" si="6"/>
        <v>0</v>
      </c>
      <c r="AA15" s="236">
        <f t="shared" si="6"/>
        <v>0</v>
      </c>
      <c r="AB15" s="236">
        <f t="shared" si="6"/>
        <v>0</v>
      </c>
      <c r="AC15" s="302">
        <f>AB15*AC$23/AB$23</f>
        <v>0</v>
      </c>
    </row>
    <row r="16" spans="2:30" ht="18" customHeight="1" x14ac:dyDescent="0.35">
      <c r="B16" s="246" t="s">
        <v>293</v>
      </c>
      <c r="C16" s="247" t="s">
        <v>294</v>
      </c>
      <c r="D16" s="274">
        <f>'Haver Pivoted'!GO60</f>
        <v>0</v>
      </c>
      <c r="E16" s="230">
        <f>'Haver Pivoted'!GP60</f>
        <v>0</v>
      </c>
      <c r="F16" s="230">
        <f>'Haver Pivoted'!GQ60</f>
        <v>0</v>
      </c>
      <c r="G16" s="230">
        <f>'Haver Pivoted'!GR60</f>
        <v>0</v>
      </c>
      <c r="H16" s="230">
        <f>'Haver Pivoted'!GS60</f>
        <v>0</v>
      </c>
      <c r="I16" s="230">
        <f>'Haver Pivoted'!GT60</f>
        <v>0</v>
      </c>
      <c r="J16" s="230">
        <f>'Haver Pivoted'!GU60</f>
        <v>74.400000000000006</v>
      </c>
      <c r="K16" s="230">
        <f>'Haver Pivoted'!GV60</f>
        <v>138.30000000000001</v>
      </c>
      <c r="L16" s="230">
        <f>'Haver Pivoted'!GW60</f>
        <v>106.8</v>
      </c>
      <c r="M16" s="230">
        <f>'Haver Pivoted'!GX60</f>
        <v>89.2</v>
      </c>
      <c r="N16" s="230">
        <f>'Haver Pivoted'!GY60</f>
        <v>72.3</v>
      </c>
      <c r="O16" s="230">
        <f>'Haver Pivoted'!GZ60</f>
        <v>43.5</v>
      </c>
      <c r="P16" s="230">
        <f>'Haver Pivoted'!HA60</f>
        <v>2.1</v>
      </c>
      <c r="Q16" s="230">
        <f>'Haver Pivoted'!HB60</f>
        <v>0.8</v>
      </c>
      <c r="R16" s="230">
        <f>'Haver Pivoted'!HC60</f>
        <v>0.4</v>
      </c>
      <c r="S16" s="235">
        <f>'Haver Pivoted'!HD60</f>
        <v>0.2</v>
      </c>
      <c r="T16" s="301">
        <f>'Haver Pivoted'!HE60</f>
        <v>0.1</v>
      </c>
      <c r="U16" s="301">
        <f>'Haver Pivoted'!HF60</f>
        <v>0</v>
      </c>
      <c r="V16" s="236">
        <f t="shared" si="6"/>
        <v>0</v>
      </c>
      <c r="W16" s="236">
        <f t="shared" si="6"/>
        <v>0</v>
      </c>
      <c r="X16" s="236">
        <f t="shared" si="6"/>
        <v>0</v>
      </c>
      <c r="Y16" s="236">
        <f t="shared" si="6"/>
        <v>0</v>
      </c>
      <c r="Z16" s="236">
        <f t="shared" si="6"/>
        <v>0</v>
      </c>
      <c r="AA16" s="236">
        <f t="shared" si="6"/>
        <v>0</v>
      </c>
      <c r="AB16" s="236">
        <f t="shared" si="6"/>
        <v>0</v>
      </c>
      <c r="AC16" s="302">
        <f>AB16*AC$23/AB$23</f>
        <v>0</v>
      </c>
    </row>
    <row r="17" spans="1:32" ht="18" customHeight="1" x14ac:dyDescent="0.35">
      <c r="B17" s="246" t="s">
        <v>295</v>
      </c>
      <c r="C17" s="247" t="s">
        <v>296</v>
      </c>
      <c r="D17" s="274">
        <f>'Haver Pivoted'!GO61</f>
        <v>0</v>
      </c>
      <c r="E17" s="230">
        <f>'Haver Pivoted'!GP61</f>
        <v>0</v>
      </c>
      <c r="F17" s="230">
        <f>'Haver Pivoted'!GQ61</f>
        <v>0</v>
      </c>
      <c r="G17" s="230">
        <f>'Haver Pivoted'!GR61</f>
        <v>0</v>
      </c>
      <c r="H17" s="230">
        <f>'Haver Pivoted'!GS61</f>
        <v>0</v>
      </c>
      <c r="I17" s="230">
        <f>'Haver Pivoted'!GT61</f>
        <v>0</v>
      </c>
      <c r="J17" s="230">
        <f>'Haver Pivoted'!GU61</f>
        <v>698.9</v>
      </c>
      <c r="K17" s="230">
        <f>'Haver Pivoted'!GV61</f>
        <v>413.9</v>
      </c>
      <c r="L17" s="230">
        <f>'Haver Pivoted'!GW61</f>
        <v>14.7</v>
      </c>
      <c r="M17" s="230">
        <f>'Haver Pivoted'!GX61</f>
        <v>288.2</v>
      </c>
      <c r="N17" s="230">
        <f>'Haver Pivoted'!GY61</f>
        <v>233.3</v>
      </c>
      <c r="O17" s="230">
        <f>'Haver Pivoted'!GZ61</f>
        <v>110.5</v>
      </c>
      <c r="P17" s="230">
        <f>'Haver Pivoted'!HA61</f>
        <v>0</v>
      </c>
      <c r="Q17" s="230">
        <f>'Haver Pivoted'!HB61</f>
        <v>0</v>
      </c>
      <c r="R17" s="230">
        <f>'Haver Pivoted'!HC61</f>
        <v>0</v>
      </c>
      <c r="S17" s="235">
        <f>'Haver Pivoted'!HD61</f>
        <v>0</v>
      </c>
      <c r="T17" s="301">
        <f>'Haver Pivoted'!HE61</f>
        <v>0</v>
      </c>
      <c r="U17" s="301">
        <f>'Haver Pivoted'!HF61</f>
        <v>0</v>
      </c>
      <c r="V17" s="236">
        <f t="shared" si="6"/>
        <v>0</v>
      </c>
      <c r="W17" s="236">
        <f t="shared" si="6"/>
        <v>0</v>
      </c>
      <c r="X17" s="236">
        <f t="shared" si="6"/>
        <v>0</v>
      </c>
      <c r="Y17" s="236">
        <f t="shared" si="6"/>
        <v>0</v>
      </c>
      <c r="Z17" s="236">
        <f t="shared" si="6"/>
        <v>0</v>
      </c>
      <c r="AA17" s="236">
        <f t="shared" si="6"/>
        <v>0</v>
      </c>
      <c r="AB17" s="236">
        <f t="shared" si="6"/>
        <v>0</v>
      </c>
      <c r="AC17" s="302">
        <f>AB17*AC$23/AB$23</f>
        <v>0</v>
      </c>
    </row>
    <row r="18" spans="1:32" x14ac:dyDescent="0.35">
      <c r="B18" s="248" t="s">
        <v>158</v>
      </c>
      <c r="C18" s="240" t="s">
        <v>297</v>
      </c>
      <c r="D18" s="275">
        <f>'Haver Pivoted'!GO64</f>
        <v>0</v>
      </c>
      <c r="E18" s="234">
        <f>'Haver Pivoted'!GP64</f>
        <v>0</v>
      </c>
      <c r="F18" s="234">
        <f>'Haver Pivoted'!GQ64</f>
        <v>0</v>
      </c>
      <c r="G18" s="234">
        <f>'Haver Pivoted'!GR64</f>
        <v>0</v>
      </c>
      <c r="H18" s="234">
        <f>'Haver Pivoted'!GS64</f>
        <v>0</v>
      </c>
      <c r="I18" s="234">
        <f>'Haver Pivoted'!GT64</f>
        <v>0</v>
      </c>
      <c r="J18" s="234">
        <f>'Haver Pivoted'!GU64</f>
        <v>0</v>
      </c>
      <c r="K18" s="234">
        <f>'Haver Pivoted'!GV64</f>
        <v>106.2</v>
      </c>
      <c r="L18" s="234">
        <f>'Haver Pivoted'!GW64</f>
        <v>35.9</v>
      </c>
      <c r="M18" s="234">
        <f>'Haver Pivoted'!GX64</f>
        <v>1.6</v>
      </c>
      <c r="N18" s="234">
        <f>'Haver Pivoted'!GY64</f>
        <v>0.6</v>
      </c>
      <c r="O18" s="234">
        <f>'Haver Pivoted'!GZ64</f>
        <v>0.1</v>
      </c>
      <c r="P18" s="234">
        <f>'Haver Pivoted'!HA64</f>
        <v>0</v>
      </c>
      <c r="Q18" s="230">
        <f>'Haver Pivoted'!HB64</f>
        <v>0</v>
      </c>
      <c r="R18" s="230">
        <f>'Haver Pivoted'!HC64</f>
        <v>0</v>
      </c>
      <c r="S18" s="235">
        <f>'Haver Pivoted'!HD64</f>
        <v>0</v>
      </c>
      <c r="T18" s="301">
        <f>'Haver Pivoted'!HE64</f>
        <v>0</v>
      </c>
      <c r="U18" s="301">
        <f>'Haver Pivoted'!HF64</f>
        <v>0</v>
      </c>
      <c r="V18" s="236"/>
      <c r="W18" s="236"/>
      <c r="X18" s="236"/>
      <c r="Y18" s="236"/>
      <c r="Z18" s="236"/>
      <c r="AA18" s="236"/>
      <c r="AB18" s="236"/>
      <c r="AC18" s="302"/>
    </row>
    <row r="19" spans="1:32" ht="14.9" customHeight="1" x14ac:dyDescent="0.35">
      <c r="B19" s="268" t="s">
        <v>298</v>
      </c>
      <c r="C19" s="255"/>
      <c r="D19" s="262">
        <f t="shared" ref="D19:N19" si="7">D11-D20</f>
        <v>0</v>
      </c>
      <c r="E19" s="228">
        <f t="shared" si="7"/>
        <v>0</v>
      </c>
      <c r="F19" s="228">
        <f t="shared" si="7"/>
        <v>0</v>
      </c>
      <c r="G19" s="228">
        <f t="shared" si="7"/>
        <v>0</v>
      </c>
      <c r="H19" s="228">
        <f t="shared" si="7"/>
        <v>0</v>
      </c>
      <c r="I19" s="228">
        <f t="shared" si="7"/>
        <v>0</v>
      </c>
      <c r="J19" s="228">
        <f t="shared" si="7"/>
        <v>779.80000000000007</v>
      </c>
      <c r="K19" s="228">
        <f t="shared" si="7"/>
        <v>586.29999999999995</v>
      </c>
      <c r="L19" s="228">
        <f t="shared" si="7"/>
        <v>229.4</v>
      </c>
      <c r="M19" s="228">
        <f t="shared" si="7"/>
        <v>523.1</v>
      </c>
      <c r="N19" s="229">
        <f t="shared" si="7"/>
        <v>405.3</v>
      </c>
      <c r="O19" s="229">
        <f>O11-O20</f>
        <v>209.20000000000002</v>
      </c>
      <c r="P19" s="229">
        <f t="shared" ref="P19" si="8">P11-P20</f>
        <v>6.1000000000000014</v>
      </c>
      <c r="Q19" s="229">
        <f>Q11-Q20</f>
        <v>0.19999999999999929</v>
      </c>
      <c r="R19" s="229">
        <f>R11-R20</f>
        <v>1.1000000000000014</v>
      </c>
      <c r="S19" s="294">
        <f>S11-S20</f>
        <v>0.5</v>
      </c>
      <c r="T19" s="300">
        <f>T11-T20</f>
        <v>0.30000000000000071</v>
      </c>
      <c r="U19" s="300">
        <f>U11-U20</f>
        <v>0</v>
      </c>
      <c r="V19" s="237">
        <f t="shared" ref="V19:AC19" si="9">V11-V20</f>
        <v>0</v>
      </c>
      <c r="W19" s="237">
        <f t="shared" si="9"/>
        <v>0</v>
      </c>
      <c r="X19" s="237">
        <f t="shared" si="9"/>
        <v>0</v>
      </c>
      <c r="Y19" s="237">
        <f t="shared" si="9"/>
        <v>0</v>
      </c>
      <c r="Z19" s="237">
        <f t="shared" si="9"/>
        <v>0</v>
      </c>
      <c r="AA19" s="237">
        <f t="shared" si="9"/>
        <v>0</v>
      </c>
      <c r="AB19" s="237">
        <f t="shared" si="9"/>
        <v>0</v>
      </c>
      <c r="AC19" s="237">
        <f t="shared" si="9"/>
        <v>0</v>
      </c>
    </row>
    <row r="20" spans="1:32" ht="14.9" customHeight="1" x14ac:dyDescent="0.35">
      <c r="B20" s="268" t="s">
        <v>299</v>
      </c>
      <c r="C20" s="255"/>
      <c r="D20" s="262">
        <f t="shared" ref="D20:H20" si="10">D11</f>
        <v>27.1</v>
      </c>
      <c r="E20" s="228">
        <f t="shared" si="10"/>
        <v>30.5</v>
      </c>
      <c r="F20" s="228">
        <f t="shared" si="10"/>
        <v>27.7</v>
      </c>
      <c r="G20" s="228">
        <f t="shared" si="10"/>
        <v>25</v>
      </c>
      <c r="H20" s="228">
        <f t="shared" si="10"/>
        <v>26.7</v>
      </c>
      <c r="I20" s="228">
        <f>I11</f>
        <v>40.9</v>
      </c>
      <c r="J20" s="228">
        <f>J11-J13-J12</f>
        <v>171.59999999999994</v>
      </c>
      <c r="K20" s="228">
        <f>K11-K13-K12</f>
        <v>215.99999999999994</v>
      </c>
      <c r="L20" s="228">
        <f>L11-L13-L12</f>
        <v>94.1</v>
      </c>
      <c r="M20" s="228">
        <f>M11-M13-M12</f>
        <v>60.399999999999977</v>
      </c>
      <c r="N20" s="229">
        <f t="shared" ref="N20:U20" si="11">N11-N12-N13</f>
        <v>46.5</v>
      </c>
      <c r="O20" s="229">
        <f t="shared" si="11"/>
        <v>17.599999999999994</v>
      </c>
      <c r="P20" s="229">
        <f t="shared" si="11"/>
        <v>27.799999999999997</v>
      </c>
      <c r="Q20" s="230">
        <f t="shared" si="11"/>
        <v>26</v>
      </c>
      <c r="R20" s="230">
        <f t="shared" si="11"/>
        <v>20.299999999999997</v>
      </c>
      <c r="S20" s="235">
        <f t="shared" si="11"/>
        <v>19.100000000000001</v>
      </c>
      <c r="T20" s="301">
        <f t="shared" si="11"/>
        <v>21.8</v>
      </c>
      <c r="U20" s="301">
        <f t="shared" si="11"/>
        <v>22</v>
      </c>
      <c r="V20" s="237">
        <f t="shared" ref="V20:AB20" si="12">U20*V23/U23</f>
        <v>28.907999999999998</v>
      </c>
      <c r="W20" s="237">
        <f t="shared" si="12"/>
        <v>30.79371428571428</v>
      </c>
      <c r="X20" s="237">
        <f t="shared" si="12"/>
        <v>32.145142857142851</v>
      </c>
      <c r="Y20" s="237">
        <f t="shared" si="12"/>
        <v>32.05085714285714</v>
      </c>
      <c r="Z20" s="237">
        <f t="shared" si="12"/>
        <v>31.07028571428571</v>
      </c>
      <c r="AA20" s="237">
        <f t="shared" si="12"/>
        <v>30.542285714285711</v>
      </c>
      <c r="AB20" s="237">
        <f t="shared" si="12"/>
        <v>30.165142857142857</v>
      </c>
      <c r="AC20" s="299">
        <f>AB20*AC23/AB23</f>
        <v>30.020571428571422</v>
      </c>
      <c r="AD20" s="263" t="s">
        <v>300</v>
      </c>
    </row>
    <row r="21" spans="1:32" x14ac:dyDescent="0.35">
      <c r="B21" s="248"/>
      <c r="C21" s="249"/>
      <c r="D21" s="274"/>
      <c r="E21" s="230"/>
      <c r="F21" s="230"/>
      <c r="G21" s="230"/>
      <c r="H21" s="226"/>
      <c r="I21" s="226"/>
      <c r="J21" s="226"/>
      <c r="K21" s="226"/>
      <c r="L21" s="226"/>
      <c r="M21" s="226"/>
      <c r="N21" s="226"/>
      <c r="O21" s="226"/>
      <c r="P21" s="226"/>
      <c r="Q21" s="226"/>
      <c r="R21" s="226"/>
      <c r="S21" s="226"/>
      <c r="T21" s="311"/>
      <c r="U21" s="226"/>
      <c r="V21" s="236"/>
      <c r="W21" s="236"/>
      <c r="X21" s="236"/>
      <c r="Y21" s="236"/>
      <c r="Z21" s="236"/>
      <c r="AA21" s="236"/>
      <c r="AB21" s="236"/>
      <c r="AC21" s="302"/>
    </row>
    <row r="22" spans="1:32" x14ac:dyDescent="0.35">
      <c r="B22" s="240" t="s">
        <v>1750</v>
      </c>
      <c r="C22" s="249"/>
      <c r="D22" s="230"/>
      <c r="E22" s="230"/>
      <c r="F22" s="230"/>
      <c r="G22" s="230"/>
      <c r="H22" s="226"/>
      <c r="I22" s="226"/>
      <c r="J22" s="226"/>
      <c r="K22" s="226"/>
      <c r="L22" s="226"/>
      <c r="M22" s="226"/>
      <c r="N22" s="226"/>
      <c r="O22" s="226"/>
      <c r="P22" s="226"/>
      <c r="Q22" s="226"/>
      <c r="R22" s="226"/>
      <c r="S22" s="226"/>
      <c r="T22" s="252"/>
      <c r="U22" s="223"/>
      <c r="V22" s="222">
        <v>4.5990000000000002</v>
      </c>
      <c r="W22" s="222">
        <v>4.899</v>
      </c>
      <c r="X22" s="222">
        <v>5.1139999999999999</v>
      </c>
      <c r="Y22" s="222">
        <v>5.0990000000000002</v>
      </c>
      <c r="Z22" s="222">
        <v>4.9429999999999996</v>
      </c>
      <c r="AA22" s="222">
        <v>4.859</v>
      </c>
      <c r="AB22" s="222">
        <v>4.7990000000000004</v>
      </c>
      <c r="AC22" s="222">
        <v>4.7759999999999998</v>
      </c>
    </row>
    <row r="23" spans="1:32" x14ac:dyDescent="0.35">
      <c r="B23" s="248" t="s">
        <v>1809</v>
      </c>
      <c r="C23" s="304"/>
      <c r="D23" s="305"/>
      <c r="E23" s="306"/>
      <c r="F23" s="306"/>
      <c r="G23" s="306"/>
      <c r="H23" s="307"/>
      <c r="I23" s="307"/>
      <c r="J23" s="307"/>
      <c r="K23" s="307"/>
      <c r="L23" s="307"/>
      <c r="M23" s="307">
        <f>GETPIVOTDATA("Monthly UR",$E$28,"Quarters",M24,"Years",M25)</f>
        <v>6.166666666666667</v>
      </c>
      <c r="N23" s="307">
        <f t="shared" ref="N23:U23" si="13">GETPIVOTDATA("Monthly UR",$E$28,"Quarters",N24,"Years",N25)</f>
        <v>5.7666666666666657</v>
      </c>
      <c r="O23" s="307">
        <f t="shared" si="13"/>
        <v>5.1333333333333337</v>
      </c>
      <c r="P23" s="307">
        <f t="shared" si="13"/>
        <v>4.2333333333333334</v>
      </c>
      <c r="Q23" s="307">
        <f t="shared" si="13"/>
        <v>3.8000000000000003</v>
      </c>
      <c r="R23" s="307">
        <f t="shared" si="13"/>
        <v>3.6</v>
      </c>
      <c r="S23" s="307">
        <f t="shared" si="13"/>
        <v>3.5666666666666664</v>
      </c>
      <c r="T23" s="307">
        <f t="shared" si="13"/>
        <v>3.6</v>
      </c>
      <c r="U23" s="307">
        <f t="shared" si="13"/>
        <v>3.5</v>
      </c>
      <c r="V23" s="312">
        <v>4.5990000000000002</v>
      </c>
      <c r="W23" s="312">
        <v>4.899</v>
      </c>
      <c r="X23" s="312">
        <v>5.1139999999999999</v>
      </c>
      <c r="Y23" s="312">
        <v>5.0990000000000002</v>
      </c>
      <c r="Z23" s="312">
        <v>4.9429999999999996</v>
      </c>
      <c r="AA23" s="312">
        <v>4.859</v>
      </c>
      <c r="AB23" s="312">
        <v>4.7990000000000004</v>
      </c>
      <c r="AC23" s="313">
        <v>4.7759999999999998</v>
      </c>
      <c r="AD23" s="223" t="s">
        <v>301</v>
      </c>
    </row>
    <row r="24" spans="1:32" ht="15.75" customHeight="1" x14ac:dyDescent="0.35">
      <c r="B24" s="309" t="s">
        <v>1823</v>
      </c>
      <c r="C24" s="297"/>
      <c r="D24" s="298"/>
      <c r="E24" s="298"/>
      <c r="F24" s="298"/>
      <c r="G24" s="298"/>
      <c r="H24" s="298"/>
      <c r="I24" s="298"/>
      <c r="J24" s="298"/>
      <c r="K24" s="298"/>
      <c r="L24" s="298"/>
      <c r="M24" s="298">
        <v>1</v>
      </c>
      <c r="N24" s="298">
        <v>2</v>
      </c>
      <c r="O24" s="298">
        <v>3</v>
      </c>
      <c r="P24" s="298">
        <v>4</v>
      </c>
      <c r="Q24" s="298">
        <v>1</v>
      </c>
      <c r="R24" s="298">
        <v>2</v>
      </c>
      <c r="S24" s="298">
        <v>3</v>
      </c>
      <c r="T24" s="298">
        <v>4</v>
      </c>
      <c r="U24" s="298">
        <v>1</v>
      </c>
      <c r="V24" s="298">
        <v>2</v>
      </c>
      <c r="W24" s="298">
        <v>3</v>
      </c>
      <c r="X24" s="298">
        <v>4</v>
      </c>
      <c r="Y24" s="298">
        <v>1</v>
      </c>
      <c r="Z24" s="298">
        <v>2</v>
      </c>
      <c r="AA24" s="298">
        <v>3</v>
      </c>
      <c r="AB24" s="298">
        <v>4</v>
      </c>
      <c r="AC24" s="298">
        <v>1</v>
      </c>
      <c r="AD24" s="234">
        <v>2</v>
      </c>
      <c r="AE24" s="234">
        <v>3</v>
      </c>
      <c r="AF24" s="234">
        <v>4</v>
      </c>
    </row>
    <row r="25" spans="1:32" x14ac:dyDescent="0.35">
      <c r="B25" s="310" t="s">
        <v>1824</v>
      </c>
      <c r="C25" s="297"/>
      <c r="D25" s="298"/>
      <c r="E25" s="298"/>
      <c r="F25" s="298"/>
      <c r="G25" s="298"/>
      <c r="H25" s="298"/>
      <c r="I25" s="298"/>
      <c r="J25" s="298"/>
      <c r="K25" s="298"/>
      <c r="L25" s="298"/>
      <c r="M25" s="298">
        <v>2021</v>
      </c>
      <c r="N25" s="298">
        <v>2021</v>
      </c>
      <c r="O25" s="298">
        <v>2021</v>
      </c>
      <c r="P25" s="298">
        <v>2021</v>
      </c>
      <c r="Q25" s="298">
        <v>2022</v>
      </c>
      <c r="R25" s="298">
        <v>2022</v>
      </c>
      <c r="S25" s="298">
        <v>2022</v>
      </c>
      <c r="T25" s="298">
        <v>2022</v>
      </c>
      <c r="U25" s="298">
        <v>2023</v>
      </c>
      <c r="V25" s="298">
        <v>2023</v>
      </c>
      <c r="W25" s="298">
        <v>2023</v>
      </c>
      <c r="X25" s="298">
        <v>2023</v>
      </c>
      <c r="Y25" s="298">
        <v>2024</v>
      </c>
      <c r="Z25" s="298">
        <v>2024</v>
      </c>
      <c r="AA25" s="298">
        <v>2024</v>
      </c>
      <c r="AB25" s="298">
        <v>2024</v>
      </c>
      <c r="AC25" s="298">
        <v>2025</v>
      </c>
      <c r="AD25" s="223"/>
    </row>
    <row r="26" spans="1:32" x14ac:dyDescent="0.35">
      <c r="C26" s="240"/>
      <c r="D26" s="234"/>
      <c r="E26" s="234"/>
      <c r="F26" s="234"/>
      <c r="G26" s="234"/>
      <c r="H26" s="226"/>
      <c r="I26" s="226"/>
      <c r="J26" s="226"/>
      <c r="K26" s="226"/>
      <c r="L26" s="226"/>
      <c r="M26" s="226"/>
      <c r="N26" s="226"/>
      <c r="O26" s="226"/>
      <c r="P26" s="226"/>
      <c r="AD26" s="223"/>
    </row>
    <row r="27" spans="1:32" x14ac:dyDescent="0.35">
      <c r="M27" s="240"/>
      <c r="N27" s="240"/>
      <c r="O27" s="240"/>
    </row>
    <row r="28" spans="1:32" ht="43.5" customHeight="1" x14ac:dyDescent="0.35">
      <c r="B28" s="281" t="s">
        <v>302</v>
      </c>
      <c r="C28" s="282" t="s">
        <v>303</v>
      </c>
      <c r="D28" s="279"/>
      <c r="E28" s="14" t="s">
        <v>1813</v>
      </c>
      <c r="F28" s="14" t="s">
        <v>1818</v>
      </c>
      <c r="G28" s="14"/>
      <c r="H28" s="14"/>
      <c r="I28" s="14"/>
      <c r="J28" s="14"/>
      <c r="O28" s="283"/>
    </row>
    <row r="29" spans="1:32" x14ac:dyDescent="0.35">
      <c r="A29" s="56"/>
      <c r="B29" s="276">
        <v>44197</v>
      </c>
      <c r="C29" s="224">
        <v>6.3</v>
      </c>
      <c r="D29" s="280"/>
      <c r="E29" s="42" t="s">
        <v>1748</v>
      </c>
      <c r="F29" s="56"/>
      <c r="G29" s="56"/>
      <c r="H29" s="73"/>
      <c r="I29" s="56"/>
      <c r="J29" s="73"/>
      <c r="O29" s="240"/>
    </row>
    <row r="30" spans="1:32" x14ac:dyDescent="0.35">
      <c r="A30" s="56"/>
      <c r="B30" s="276">
        <v>44228</v>
      </c>
      <c r="C30" s="224">
        <v>6.2</v>
      </c>
      <c r="D30" s="280"/>
      <c r="E30" s="128" t="s">
        <v>1814</v>
      </c>
      <c r="F30" s="180">
        <v>6.166666666666667</v>
      </c>
      <c r="G30" s="56"/>
      <c r="H30" s="73"/>
      <c r="I30" s="56"/>
      <c r="J30" s="73"/>
      <c r="O30" s="240"/>
    </row>
    <row r="31" spans="1:32" x14ac:dyDescent="0.35">
      <c r="A31" s="56"/>
      <c r="B31" s="276">
        <v>44256</v>
      </c>
      <c r="C31" s="224">
        <v>6</v>
      </c>
      <c r="D31" s="280"/>
      <c r="E31" s="128" t="s">
        <v>1815</v>
      </c>
      <c r="F31" s="180">
        <v>5.7666666666666657</v>
      </c>
      <c r="G31" s="56"/>
      <c r="H31" s="73"/>
      <c r="I31" s="56"/>
      <c r="J31" s="73"/>
      <c r="O31" s="240"/>
    </row>
    <row r="32" spans="1:32" x14ac:dyDescent="0.35">
      <c r="A32" s="56"/>
      <c r="B32" s="276">
        <v>44287</v>
      </c>
      <c r="C32" s="224">
        <v>6.1</v>
      </c>
      <c r="D32" s="280"/>
      <c r="E32" s="128" t="s">
        <v>1816</v>
      </c>
      <c r="F32" s="180">
        <v>5.1333333333333337</v>
      </c>
      <c r="G32" s="56"/>
      <c r="H32" s="73"/>
      <c r="I32" s="56"/>
      <c r="J32" s="73"/>
      <c r="O32" s="240"/>
    </row>
    <row r="33" spans="1:38" x14ac:dyDescent="0.35">
      <c r="A33" s="56"/>
      <c r="B33" s="276">
        <v>44317</v>
      </c>
      <c r="C33" s="224">
        <v>5.8</v>
      </c>
      <c r="D33" s="280"/>
      <c r="E33" s="128" t="s">
        <v>1817</v>
      </c>
      <c r="F33" s="180">
        <v>4.2333333333333334</v>
      </c>
      <c r="G33" s="56"/>
      <c r="H33" s="73"/>
      <c r="I33" s="56"/>
      <c r="J33" s="73"/>
      <c r="O33" s="240"/>
    </row>
    <row r="34" spans="1:38" x14ac:dyDescent="0.35">
      <c r="A34" s="56"/>
      <c r="B34" s="276">
        <v>44348</v>
      </c>
      <c r="C34" s="224">
        <v>5.4</v>
      </c>
      <c r="D34" s="280"/>
      <c r="E34" s="42" t="s">
        <v>1737</v>
      </c>
      <c r="F34" s="180"/>
      <c r="G34" s="56"/>
      <c r="H34" s="73"/>
      <c r="I34" s="56"/>
      <c r="J34" s="73"/>
      <c r="O34" s="240"/>
    </row>
    <row r="35" spans="1:38" x14ac:dyDescent="0.35">
      <c r="A35" s="56"/>
      <c r="B35" s="276">
        <v>44378</v>
      </c>
      <c r="C35" s="224">
        <v>5.4</v>
      </c>
      <c r="D35" s="280"/>
      <c r="E35" s="128" t="s">
        <v>1814</v>
      </c>
      <c r="F35" s="180">
        <v>3.8000000000000003</v>
      </c>
      <c r="G35" s="56"/>
      <c r="H35" s="73"/>
      <c r="I35" s="56"/>
      <c r="J35" s="73"/>
      <c r="O35" s="240"/>
    </row>
    <row r="36" spans="1:38" x14ac:dyDescent="0.35">
      <c r="A36" s="56"/>
      <c r="B36" s="276">
        <v>44409</v>
      </c>
      <c r="C36" s="224">
        <v>5.2</v>
      </c>
      <c r="D36" s="280"/>
      <c r="E36" s="128" t="s">
        <v>1815</v>
      </c>
      <c r="F36" s="180">
        <v>3.6</v>
      </c>
      <c r="G36" s="56"/>
      <c r="H36" s="73"/>
      <c r="I36" s="56"/>
      <c r="J36" s="73"/>
      <c r="O36" s="240"/>
    </row>
    <row r="37" spans="1:38" x14ac:dyDescent="0.35">
      <c r="A37" s="56"/>
      <c r="B37" s="276">
        <v>44440</v>
      </c>
      <c r="C37" s="224">
        <v>4.8</v>
      </c>
      <c r="D37" s="280"/>
      <c r="E37" s="128" t="s">
        <v>1816</v>
      </c>
      <c r="F37" s="180">
        <v>3.5666666666666664</v>
      </c>
      <c r="G37" s="56"/>
      <c r="H37" s="73"/>
      <c r="I37" s="56"/>
      <c r="J37" s="73"/>
      <c r="O37" s="240"/>
    </row>
    <row r="38" spans="1:38" x14ac:dyDescent="0.35">
      <c r="A38" s="56"/>
      <c r="B38" s="276">
        <v>44470</v>
      </c>
      <c r="C38" s="224">
        <v>4.5999999999999996</v>
      </c>
      <c r="D38" s="280"/>
      <c r="E38" s="128" t="s">
        <v>1817</v>
      </c>
      <c r="F38" s="180">
        <v>3.6</v>
      </c>
      <c r="G38" s="56"/>
      <c r="H38" s="73"/>
      <c r="I38" s="56"/>
      <c r="J38" s="73"/>
      <c r="O38" s="240"/>
    </row>
    <row r="39" spans="1:38" x14ac:dyDescent="0.35">
      <c r="A39" s="56"/>
      <c r="B39" s="276">
        <v>44501</v>
      </c>
      <c r="C39" s="224">
        <v>4.2</v>
      </c>
      <c r="D39" s="280"/>
      <c r="E39" s="42" t="s">
        <v>1819</v>
      </c>
      <c r="F39" s="180"/>
      <c r="G39" s="56"/>
      <c r="H39" s="73"/>
      <c r="I39" s="56"/>
      <c r="J39" s="73"/>
      <c r="O39" s="240"/>
      <c r="AD39" s="240"/>
      <c r="AE39" s="240"/>
      <c r="AF39" s="240"/>
      <c r="AG39" s="240"/>
      <c r="AH39" s="240"/>
      <c r="AI39" s="240"/>
      <c r="AJ39" s="240"/>
      <c r="AK39" s="240"/>
      <c r="AL39" s="240"/>
    </row>
    <row r="40" spans="1:38" x14ac:dyDescent="0.35">
      <c r="A40" s="56"/>
      <c r="B40" s="276">
        <v>44531</v>
      </c>
      <c r="C40" s="224">
        <v>3.9</v>
      </c>
      <c r="D40" s="280"/>
      <c r="E40" s="128" t="s">
        <v>1814</v>
      </c>
      <c r="F40" s="180">
        <v>3.5</v>
      </c>
      <c r="G40" s="56"/>
      <c r="H40" s="73"/>
      <c r="I40" s="56"/>
      <c r="J40" s="73"/>
      <c r="O40" s="240"/>
      <c r="AD40" s="240"/>
      <c r="AE40" s="240"/>
      <c r="AF40" s="240"/>
      <c r="AG40" s="240"/>
      <c r="AH40" s="240"/>
      <c r="AI40" s="240"/>
      <c r="AJ40" s="240"/>
      <c r="AK40" s="240"/>
      <c r="AL40" s="240"/>
    </row>
    <row r="41" spans="1:38" x14ac:dyDescent="0.35">
      <c r="A41" s="56"/>
      <c r="B41" s="276">
        <v>44562</v>
      </c>
      <c r="C41" s="224">
        <v>4</v>
      </c>
      <c r="D41" s="56"/>
      <c r="E41" s="128" t="s">
        <v>1815</v>
      </c>
      <c r="F41" s="180"/>
      <c r="G41" s="56"/>
      <c r="H41" s="73"/>
      <c r="I41" s="56"/>
      <c r="J41" s="73"/>
      <c r="O41" s="240"/>
    </row>
    <row r="42" spans="1:38" x14ac:dyDescent="0.35">
      <c r="A42" s="56"/>
      <c r="B42" s="276">
        <v>44593</v>
      </c>
      <c r="C42" s="224">
        <v>3.8</v>
      </c>
      <c r="D42" s="56"/>
      <c r="E42" s="128" t="s">
        <v>1816</v>
      </c>
      <c r="F42" s="180"/>
      <c r="G42" s="56"/>
      <c r="H42" s="73"/>
      <c r="I42" s="56"/>
      <c r="J42" s="73"/>
    </row>
    <row r="43" spans="1:38" x14ac:dyDescent="0.35">
      <c r="A43" s="56"/>
      <c r="B43" s="276">
        <v>44621</v>
      </c>
      <c r="C43" s="224">
        <v>3.6</v>
      </c>
      <c r="D43" s="56"/>
      <c r="E43" s="128" t="s">
        <v>1817</v>
      </c>
      <c r="F43" s="180"/>
      <c r="G43" s="56"/>
      <c r="H43" s="73"/>
      <c r="I43" s="56"/>
      <c r="J43" s="73"/>
    </row>
    <row r="44" spans="1:38" x14ac:dyDescent="0.35">
      <c r="A44" s="56"/>
      <c r="B44" s="276">
        <v>44652</v>
      </c>
      <c r="C44" s="224">
        <v>3.6</v>
      </c>
      <c r="D44" s="56"/>
      <c r="E44" s="42" t="s">
        <v>1820</v>
      </c>
      <c r="F44" s="180"/>
      <c r="G44" s="56"/>
      <c r="H44" s="73"/>
      <c r="I44" s="56"/>
      <c r="J44" s="73"/>
    </row>
    <row r="45" spans="1:38" x14ac:dyDescent="0.35">
      <c r="A45" s="56"/>
      <c r="B45" s="276">
        <v>44682</v>
      </c>
      <c r="C45" s="224">
        <v>3.6</v>
      </c>
      <c r="D45" s="56"/>
      <c r="E45" s="128" t="s">
        <v>1814</v>
      </c>
      <c r="F45" s="180"/>
      <c r="G45" s="56"/>
      <c r="H45" s="73"/>
      <c r="I45" s="56"/>
      <c r="J45" s="73"/>
    </row>
    <row r="46" spans="1:38" x14ac:dyDescent="0.35">
      <c r="A46" s="56"/>
      <c r="B46" s="276">
        <v>44713</v>
      </c>
      <c r="C46" s="224">
        <v>3.6</v>
      </c>
      <c r="D46" s="56"/>
      <c r="E46" s="128" t="s">
        <v>1815</v>
      </c>
      <c r="F46" s="180"/>
      <c r="G46" s="56"/>
      <c r="H46" s="73"/>
      <c r="I46" s="56"/>
      <c r="J46" s="73"/>
    </row>
    <row r="47" spans="1:38" x14ac:dyDescent="0.35">
      <c r="A47" s="56"/>
      <c r="B47" s="276">
        <v>44743</v>
      </c>
      <c r="C47" s="224">
        <v>3.5</v>
      </c>
      <c r="D47" s="56"/>
      <c r="E47" s="128" t="s">
        <v>1816</v>
      </c>
      <c r="F47" s="180"/>
      <c r="G47" s="56"/>
      <c r="H47" s="73"/>
      <c r="I47" s="56"/>
      <c r="J47" s="73"/>
    </row>
    <row r="48" spans="1:38" x14ac:dyDescent="0.35">
      <c r="A48" s="56"/>
      <c r="B48" s="276">
        <v>44774</v>
      </c>
      <c r="C48" s="224">
        <v>3.7</v>
      </c>
      <c r="D48" s="56"/>
      <c r="E48" s="128" t="s">
        <v>1817</v>
      </c>
      <c r="F48" s="180"/>
      <c r="G48" s="56"/>
      <c r="H48" s="73"/>
      <c r="I48" s="56"/>
      <c r="J48" s="73"/>
    </row>
    <row r="49" spans="2:10" x14ac:dyDescent="0.35">
      <c r="B49" s="276">
        <v>44805</v>
      </c>
      <c r="C49" s="224">
        <v>3.5</v>
      </c>
      <c r="D49" s="56"/>
      <c r="E49" s="42" t="s">
        <v>1821</v>
      </c>
      <c r="F49" s="180"/>
      <c r="G49" s="56"/>
      <c r="H49" s="56"/>
      <c r="I49" s="56"/>
      <c r="J49" s="56"/>
    </row>
    <row r="50" spans="2:10" x14ac:dyDescent="0.35">
      <c r="B50" s="276">
        <v>44835</v>
      </c>
      <c r="C50" s="224">
        <v>3.7</v>
      </c>
      <c r="D50" s="56"/>
      <c r="E50" s="128" t="s">
        <v>1814</v>
      </c>
      <c r="F50" s="180"/>
      <c r="G50" s="56"/>
      <c r="H50" s="56"/>
      <c r="I50" s="56"/>
      <c r="J50" s="56"/>
    </row>
    <row r="51" spans="2:10" x14ac:dyDescent="0.35">
      <c r="B51" s="276">
        <v>44866</v>
      </c>
      <c r="C51" s="224">
        <v>3.6</v>
      </c>
      <c r="D51" s="56"/>
      <c r="E51" s="128" t="s">
        <v>1815</v>
      </c>
      <c r="F51" s="180"/>
      <c r="G51" s="56"/>
      <c r="H51" s="56"/>
      <c r="I51" s="56"/>
      <c r="J51" s="56"/>
    </row>
    <row r="52" spans="2:10" x14ac:dyDescent="0.35">
      <c r="B52" s="276">
        <v>44896</v>
      </c>
      <c r="C52" s="224">
        <v>3.5</v>
      </c>
      <c r="D52" s="56"/>
      <c r="E52" s="128" t="s">
        <v>1816</v>
      </c>
      <c r="F52" s="180"/>
      <c r="G52" s="56"/>
      <c r="H52" s="56"/>
      <c r="I52" s="56"/>
      <c r="J52" s="56"/>
    </row>
    <row r="53" spans="2:10" x14ac:dyDescent="0.35">
      <c r="B53" s="276">
        <v>44927</v>
      </c>
      <c r="C53" s="224">
        <v>3.4</v>
      </c>
      <c r="D53" s="56"/>
      <c r="E53" s="128" t="s">
        <v>1817</v>
      </c>
      <c r="F53" s="180"/>
      <c r="G53" s="56"/>
      <c r="H53" s="56"/>
      <c r="I53" s="56"/>
      <c r="J53" s="56"/>
    </row>
    <row r="54" spans="2:10" x14ac:dyDescent="0.35">
      <c r="B54" s="276">
        <v>44958</v>
      </c>
      <c r="C54" s="224">
        <v>3.6</v>
      </c>
      <c r="D54" s="56"/>
      <c r="E54" s="42" t="s">
        <v>1822</v>
      </c>
      <c r="F54" s="180"/>
      <c r="G54" s="56"/>
      <c r="H54" s="56"/>
      <c r="I54" s="56"/>
      <c r="J54" s="56"/>
    </row>
    <row r="55" spans="2:10" x14ac:dyDescent="0.35">
      <c r="B55" s="276">
        <v>44986</v>
      </c>
      <c r="C55" s="224">
        <v>3.5</v>
      </c>
      <c r="D55" s="56"/>
      <c r="E55" s="128" t="s">
        <v>1814</v>
      </c>
      <c r="F55" s="180"/>
      <c r="G55" s="56"/>
      <c r="H55" s="56"/>
      <c r="I55" s="56"/>
      <c r="J55" s="56"/>
    </row>
    <row r="56" spans="2:10" x14ac:dyDescent="0.35">
      <c r="B56" s="276">
        <v>45017</v>
      </c>
      <c r="C56" s="224"/>
      <c r="D56" s="56"/>
      <c r="E56" s="128" t="s">
        <v>1815</v>
      </c>
      <c r="F56" s="180"/>
      <c r="G56" s="56"/>
      <c r="H56" s="56"/>
      <c r="I56" s="56"/>
      <c r="J56" s="56"/>
    </row>
    <row r="57" spans="2:10" x14ac:dyDescent="0.35">
      <c r="B57" s="276">
        <v>45047</v>
      </c>
      <c r="C57" s="224"/>
      <c r="D57" s="56"/>
      <c r="E57" s="128" t="s">
        <v>1816</v>
      </c>
      <c r="F57" s="180"/>
      <c r="G57" s="56"/>
      <c r="H57" s="56"/>
      <c r="I57" s="56"/>
      <c r="J57" s="56"/>
    </row>
    <row r="58" spans="2:10" x14ac:dyDescent="0.35">
      <c r="B58" s="276">
        <v>45078</v>
      </c>
      <c r="C58" s="224"/>
      <c r="D58" s="56"/>
      <c r="E58" s="128" t="s">
        <v>1817</v>
      </c>
      <c r="F58" s="180"/>
      <c r="G58" s="56"/>
      <c r="H58" s="56"/>
      <c r="I58" s="56"/>
      <c r="J58" s="56"/>
    </row>
    <row r="59" spans="2:10" x14ac:dyDescent="0.35">
      <c r="B59" s="276">
        <v>45108</v>
      </c>
      <c r="C59" s="224"/>
      <c r="D59" s="56"/>
      <c r="E59" s="56"/>
      <c r="F59" s="56"/>
      <c r="G59" s="56"/>
      <c r="H59" s="56"/>
      <c r="I59" s="56"/>
      <c r="J59" s="56"/>
    </row>
    <row r="60" spans="2:10" x14ac:dyDescent="0.35">
      <c r="B60" s="276">
        <v>45139</v>
      </c>
      <c r="C60" s="224"/>
      <c r="D60" s="56"/>
      <c r="E60" s="56"/>
      <c r="F60" s="56"/>
      <c r="G60" s="56"/>
      <c r="H60" s="56"/>
      <c r="I60" s="56"/>
      <c r="J60" s="56"/>
    </row>
    <row r="61" spans="2:10" x14ac:dyDescent="0.35">
      <c r="B61" s="276">
        <v>45170</v>
      </c>
      <c r="C61" s="224"/>
      <c r="D61" s="56"/>
      <c r="E61" s="56"/>
      <c r="F61" s="56"/>
      <c r="G61" s="56"/>
      <c r="H61" s="56"/>
      <c r="I61" s="56"/>
      <c r="J61" s="56"/>
    </row>
    <row r="62" spans="2:10" x14ac:dyDescent="0.35">
      <c r="B62" s="276">
        <v>45200</v>
      </c>
      <c r="C62" s="224"/>
      <c r="D62" s="56"/>
      <c r="E62" s="56"/>
      <c r="F62" s="56"/>
      <c r="G62" s="56"/>
      <c r="H62" s="56"/>
      <c r="I62" s="56"/>
      <c r="J62" s="56"/>
    </row>
    <row r="63" spans="2:10" x14ac:dyDescent="0.35">
      <c r="B63" s="276">
        <v>45231</v>
      </c>
      <c r="C63" s="224"/>
      <c r="D63" s="56"/>
      <c r="E63" s="56"/>
      <c r="F63" s="56"/>
      <c r="G63" s="56"/>
      <c r="H63" s="56"/>
      <c r="I63" s="56"/>
      <c r="J63" s="56"/>
    </row>
    <row r="64" spans="2:10" x14ac:dyDescent="0.35">
      <c r="B64" s="276">
        <v>45261</v>
      </c>
      <c r="C64" s="224"/>
      <c r="D64" s="56"/>
      <c r="E64" s="56"/>
      <c r="F64" s="56"/>
      <c r="G64" s="56"/>
      <c r="H64" s="56"/>
      <c r="I64" s="56"/>
      <c r="J64" s="56"/>
    </row>
    <row r="65" spans="2:10" x14ac:dyDescent="0.35">
      <c r="B65" s="276">
        <v>45292</v>
      </c>
      <c r="C65" s="224"/>
      <c r="D65" s="56"/>
      <c r="E65" s="56"/>
      <c r="F65" s="56"/>
      <c r="G65" s="56"/>
      <c r="H65" s="56"/>
      <c r="I65" s="56"/>
      <c r="J65" s="56"/>
    </row>
    <row r="66" spans="2:10" x14ac:dyDescent="0.35">
      <c r="B66" s="276">
        <v>45323</v>
      </c>
      <c r="C66" s="224"/>
      <c r="D66" s="56"/>
      <c r="E66" s="56"/>
      <c r="F66" s="56"/>
      <c r="G66" s="56"/>
      <c r="H66" s="56"/>
      <c r="I66" s="56"/>
      <c r="J66" s="56"/>
    </row>
    <row r="67" spans="2:10" x14ac:dyDescent="0.35">
      <c r="B67" s="276">
        <v>45352</v>
      </c>
      <c r="C67" s="224"/>
      <c r="D67" s="56"/>
      <c r="E67" s="56"/>
      <c r="F67" s="56"/>
      <c r="G67" s="56"/>
      <c r="H67" s="56"/>
      <c r="I67" s="56"/>
      <c r="J67" s="56"/>
    </row>
    <row r="68" spans="2:10" x14ac:dyDescent="0.35">
      <c r="B68" s="276">
        <v>45383</v>
      </c>
      <c r="C68" s="224"/>
      <c r="D68" s="56"/>
      <c r="E68" s="56"/>
      <c r="F68" s="56"/>
      <c r="G68" s="56"/>
      <c r="H68" s="56"/>
      <c r="I68" s="56"/>
      <c r="J68" s="56"/>
    </row>
    <row r="69" spans="2:10" x14ac:dyDescent="0.35">
      <c r="B69" s="276">
        <v>45413</v>
      </c>
      <c r="C69" s="224"/>
      <c r="D69" s="56"/>
      <c r="E69" s="56"/>
      <c r="F69" s="56"/>
      <c r="G69" s="56"/>
      <c r="H69" s="56"/>
      <c r="I69" s="56"/>
      <c r="J69" s="56"/>
    </row>
    <row r="70" spans="2:10" x14ac:dyDescent="0.35">
      <c r="B70" s="276">
        <v>45444</v>
      </c>
      <c r="C70" s="224"/>
      <c r="D70" s="56"/>
      <c r="E70" s="56"/>
      <c r="F70" s="56"/>
      <c r="G70" s="56"/>
      <c r="H70" s="56"/>
      <c r="I70" s="56"/>
      <c r="J70" s="56"/>
    </row>
    <row r="71" spans="2:10" x14ac:dyDescent="0.35">
      <c r="B71" s="276">
        <v>45474</v>
      </c>
      <c r="C71" s="224"/>
      <c r="D71" s="56"/>
      <c r="E71" s="56"/>
      <c r="F71" s="56"/>
      <c r="G71" s="56"/>
      <c r="H71" s="56"/>
      <c r="I71" s="56"/>
      <c r="J71" s="56"/>
    </row>
    <row r="72" spans="2:10" x14ac:dyDescent="0.35">
      <c r="B72" s="276">
        <v>45505</v>
      </c>
      <c r="C72" s="224"/>
      <c r="D72" s="56"/>
      <c r="E72" s="56"/>
      <c r="F72" s="56"/>
      <c r="G72" s="56"/>
      <c r="H72" s="56"/>
      <c r="I72" s="56"/>
      <c r="J72" s="56"/>
    </row>
    <row r="73" spans="2:10" x14ac:dyDescent="0.35">
      <c r="B73" s="276">
        <v>45536</v>
      </c>
      <c r="C73" s="224"/>
      <c r="D73" s="56"/>
      <c r="E73" s="56"/>
      <c r="F73" s="56"/>
      <c r="G73" s="56"/>
      <c r="H73" s="56"/>
      <c r="I73" s="56"/>
      <c r="J73" s="56"/>
    </row>
    <row r="74" spans="2:10" x14ac:dyDescent="0.35">
      <c r="B74" s="276">
        <v>45566</v>
      </c>
      <c r="C74" s="224"/>
      <c r="D74" s="56"/>
      <c r="E74" s="56"/>
      <c r="F74" s="56"/>
      <c r="G74" s="56"/>
      <c r="H74" s="56"/>
      <c r="I74" s="56"/>
      <c r="J74" s="56"/>
    </row>
    <row r="75" spans="2:10" x14ac:dyDescent="0.35">
      <c r="B75" s="276">
        <v>45597</v>
      </c>
      <c r="C75" s="224"/>
      <c r="D75" s="56"/>
      <c r="E75" s="56"/>
      <c r="F75" s="56"/>
      <c r="G75" s="56"/>
      <c r="H75" s="56"/>
      <c r="I75" s="56"/>
      <c r="J75" s="56"/>
    </row>
    <row r="76" spans="2:10" x14ac:dyDescent="0.35">
      <c r="B76" s="276">
        <v>45627</v>
      </c>
      <c r="C76" s="224"/>
      <c r="D76" s="56"/>
      <c r="E76" s="56"/>
      <c r="F76" s="56"/>
      <c r="G76" s="56"/>
      <c r="H76" s="56"/>
      <c r="I76" s="56"/>
      <c r="J76" s="56"/>
    </row>
    <row r="77" spans="2:10" x14ac:dyDescent="0.35">
      <c r="B77" s="276">
        <v>45658</v>
      </c>
      <c r="C77" s="224"/>
      <c r="D77" s="56"/>
      <c r="E77" s="56"/>
      <c r="F77" s="56"/>
      <c r="G77" s="56"/>
      <c r="H77" s="56"/>
      <c r="I77" s="56"/>
      <c r="J77" s="56"/>
    </row>
    <row r="78" spans="2:10" x14ac:dyDescent="0.35">
      <c r="B78" s="276">
        <v>45689</v>
      </c>
      <c r="C78" s="224"/>
      <c r="D78" s="56"/>
      <c r="E78" s="56"/>
      <c r="F78" s="56"/>
      <c r="G78" s="56"/>
      <c r="H78" s="56"/>
      <c r="I78" s="56"/>
      <c r="J78" s="56"/>
    </row>
    <row r="79" spans="2:10" x14ac:dyDescent="0.35">
      <c r="B79" s="276">
        <v>45717</v>
      </c>
      <c r="C79" s="224"/>
      <c r="D79" s="56"/>
      <c r="E79" s="56"/>
      <c r="F79" s="56"/>
      <c r="G79" s="56"/>
      <c r="H79" s="56"/>
      <c r="I79" s="56"/>
      <c r="J79" s="56"/>
    </row>
    <row r="80" spans="2:10" x14ac:dyDescent="0.35">
      <c r="B80" s="276">
        <v>45748</v>
      </c>
      <c r="C80" s="224"/>
      <c r="D80" s="56"/>
      <c r="E80" s="56"/>
      <c r="F80" s="56"/>
      <c r="G80" s="56"/>
      <c r="H80" s="56"/>
      <c r="I80" s="56"/>
      <c r="J80" s="56"/>
    </row>
    <row r="81" spans="2:10" x14ac:dyDescent="0.35">
      <c r="B81" s="276">
        <v>45778</v>
      </c>
      <c r="C81" s="224"/>
      <c r="D81" s="56"/>
      <c r="E81" s="56"/>
      <c r="F81" s="56"/>
      <c r="G81" s="56"/>
      <c r="H81" s="56"/>
      <c r="I81" s="56"/>
      <c r="J81" s="56"/>
    </row>
    <row r="82" spans="2:10" x14ac:dyDescent="0.35">
      <c r="B82" s="276">
        <v>45809</v>
      </c>
      <c r="C82" s="224"/>
      <c r="D82" s="56"/>
      <c r="E82" s="56"/>
      <c r="F82" s="56"/>
      <c r="G82" s="56"/>
      <c r="H82" s="56"/>
      <c r="I82" s="56"/>
      <c r="J82" s="56"/>
    </row>
    <row r="83" spans="2:10" x14ac:dyDescent="0.35">
      <c r="B83" s="276">
        <v>45839</v>
      </c>
      <c r="C83" s="224"/>
      <c r="D83" s="56"/>
      <c r="E83" s="56"/>
      <c r="F83" s="56"/>
      <c r="G83" s="56"/>
      <c r="H83" s="56"/>
      <c r="I83" s="56"/>
      <c r="J83" s="56"/>
    </row>
    <row r="84" spans="2:10" x14ac:dyDescent="0.35">
      <c r="B84" s="276">
        <v>45870</v>
      </c>
      <c r="C84" s="224"/>
      <c r="D84" s="56"/>
      <c r="E84" s="56"/>
      <c r="F84" s="56"/>
      <c r="G84" s="56"/>
      <c r="H84" s="56"/>
      <c r="I84" s="56"/>
      <c r="J84" s="56"/>
    </row>
    <row r="85" spans="2:10" x14ac:dyDescent="0.35">
      <c r="B85" s="276">
        <v>45901</v>
      </c>
      <c r="C85" s="224"/>
      <c r="D85" s="56"/>
      <c r="E85" s="56"/>
      <c r="F85" s="56"/>
      <c r="G85" s="56"/>
      <c r="H85" s="56"/>
      <c r="I85" s="56"/>
      <c r="J85" s="56"/>
    </row>
    <row r="86" spans="2:10" x14ac:dyDescent="0.35">
      <c r="B86" s="276">
        <v>45931</v>
      </c>
      <c r="C86" s="224"/>
      <c r="D86" s="56"/>
      <c r="E86" s="56"/>
      <c r="F86" s="56"/>
      <c r="G86" s="56"/>
      <c r="H86" s="56"/>
      <c r="I86" s="56"/>
      <c r="J86" s="56"/>
    </row>
    <row r="87" spans="2:10" x14ac:dyDescent="0.35">
      <c r="B87" s="276">
        <v>45962</v>
      </c>
      <c r="C87" s="224"/>
      <c r="D87" s="56"/>
      <c r="E87" s="56"/>
      <c r="F87" s="56"/>
      <c r="G87" s="56"/>
      <c r="H87" s="56"/>
      <c r="I87" s="56"/>
      <c r="J87" s="56"/>
    </row>
    <row r="88" spans="2:10" x14ac:dyDescent="0.35">
      <c r="B88" s="276">
        <v>45992</v>
      </c>
      <c r="C88" s="224"/>
      <c r="D88" s="56"/>
      <c r="E88" s="56"/>
      <c r="F88" s="56"/>
      <c r="G88" s="56"/>
      <c r="H88" s="56"/>
      <c r="I88" s="56"/>
      <c r="J88" s="56"/>
    </row>
    <row r="89" spans="2:10" x14ac:dyDescent="0.35">
      <c r="B89" s="276">
        <v>46023</v>
      </c>
      <c r="C89" s="224"/>
      <c r="D89" s="56"/>
      <c r="E89" s="56"/>
      <c r="F89" s="56"/>
      <c r="G89" s="56"/>
      <c r="H89" s="56"/>
      <c r="I89" s="56"/>
      <c r="J89" s="56"/>
    </row>
    <row r="90" spans="2:10" x14ac:dyDescent="0.35">
      <c r="B90" s="276">
        <v>46054</v>
      </c>
      <c r="C90" s="224"/>
      <c r="D90" s="56"/>
      <c r="E90" s="56"/>
      <c r="F90" s="56"/>
      <c r="G90" s="56"/>
      <c r="H90" s="56"/>
      <c r="I90" s="56"/>
      <c r="J90" s="56"/>
    </row>
    <row r="91" spans="2:10" x14ac:dyDescent="0.35">
      <c r="B91" s="276">
        <v>46082</v>
      </c>
      <c r="C91" s="224"/>
      <c r="D91" s="56"/>
      <c r="E91" s="56"/>
      <c r="F91" s="56"/>
      <c r="G91" s="56"/>
      <c r="H91" s="56"/>
      <c r="I91" s="56"/>
      <c r="J91" s="56"/>
    </row>
    <row r="92" spans="2:10" x14ac:dyDescent="0.35">
      <c r="B92" s="276">
        <v>46113</v>
      </c>
      <c r="C92" s="224"/>
      <c r="D92" s="56"/>
      <c r="E92" s="56"/>
      <c r="F92" s="56"/>
      <c r="G92" s="56"/>
      <c r="H92" s="56"/>
      <c r="I92" s="56"/>
      <c r="J92" s="56"/>
    </row>
    <row r="93" spans="2:10" x14ac:dyDescent="0.35">
      <c r="B93" s="276">
        <v>46143</v>
      </c>
      <c r="C93" s="224"/>
      <c r="D93" s="56"/>
      <c r="E93" s="56"/>
      <c r="F93" s="56"/>
      <c r="G93" s="56"/>
      <c r="H93" s="56"/>
      <c r="I93" s="56"/>
      <c r="J93" s="56"/>
    </row>
    <row r="94" spans="2:10" x14ac:dyDescent="0.35">
      <c r="B94" s="276">
        <v>46174</v>
      </c>
      <c r="C94" s="224"/>
      <c r="D94" s="56"/>
      <c r="E94" s="56"/>
      <c r="F94" s="56"/>
      <c r="G94" s="56"/>
      <c r="H94" s="56"/>
      <c r="I94" s="56"/>
      <c r="J94" s="56"/>
    </row>
    <row r="95" spans="2:10" x14ac:dyDescent="0.35">
      <c r="B95" s="276">
        <v>46204</v>
      </c>
      <c r="C95" s="224"/>
      <c r="D95" s="56"/>
      <c r="E95" s="56"/>
      <c r="F95" s="56"/>
      <c r="G95" s="56"/>
      <c r="H95" s="56"/>
      <c r="I95" s="56"/>
      <c r="J95" s="56"/>
    </row>
    <row r="96" spans="2:10" x14ac:dyDescent="0.35">
      <c r="B96" s="276">
        <v>46235</v>
      </c>
      <c r="C96" s="224"/>
      <c r="D96" s="56"/>
      <c r="E96" s="56"/>
      <c r="F96" s="56"/>
      <c r="G96" s="56"/>
      <c r="H96" s="56"/>
      <c r="I96" s="56"/>
      <c r="J96" s="56"/>
    </row>
    <row r="97" spans="2:10" x14ac:dyDescent="0.35">
      <c r="B97" s="276">
        <v>46266</v>
      </c>
      <c r="C97" s="224"/>
      <c r="D97" s="56"/>
      <c r="E97" s="56"/>
      <c r="F97" s="56"/>
      <c r="G97" s="56"/>
      <c r="H97" s="56"/>
      <c r="I97" s="56"/>
      <c r="J97" s="56"/>
    </row>
    <row r="98" spans="2:10" x14ac:dyDescent="0.35">
      <c r="B98" s="276">
        <v>46296</v>
      </c>
      <c r="C98" s="224"/>
      <c r="D98" s="56"/>
      <c r="E98" s="56"/>
      <c r="F98" s="56"/>
      <c r="G98" s="56"/>
      <c r="H98" s="56"/>
      <c r="I98" s="56"/>
      <c r="J98" s="56"/>
    </row>
    <row r="99" spans="2:10" x14ac:dyDescent="0.35">
      <c r="B99" s="276">
        <v>46327</v>
      </c>
      <c r="C99" s="224"/>
      <c r="D99" s="56"/>
      <c r="E99" s="56"/>
      <c r="F99" s="56"/>
      <c r="G99" s="56"/>
      <c r="H99" s="56"/>
      <c r="I99" s="56"/>
      <c r="J99" s="56"/>
    </row>
    <row r="100" spans="2:10" x14ac:dyDescent="0.35">
      <c r="B100" s="277">
        <v>46357</v>
      </c>
      <c r="C100" s="225"/>
      <c r="D100" s="56"/>
      <c r="E100" s="56"/>
      <c r="F100" s="56"/>
      <c r="G100" s="56"/>
      <c r="H100" s="56"/>
      <c r="I100" s="56"/>
      <c r="J100" s="56"/>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99"/>
  <sheetViews>
    <sheetView zoomScale="80" zoomScaleNormal="80" workbookViewId="0">
      <selection activeCell="A13" sqref="A13"/>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77" t="s">
        <v>192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212"/>
      <c r="AA1" s="212"/>
      <c r="AB1" s="212"/>
      <c r="AC1" s="212"/>
      <c r="AD1" s="212"/>
      <c r="AE1" s="212"/>
      <c r="AF1" s="212"/>
      <c r="AG1" s="212"/>
      <c r="AH1" s="200"/>
      <c r="AI1" s="200"/>
    </row>
    <row r="2" spans="2:38" ht="14.25" customHeight="1" x14ac:dyDescent="0.35">
      <c r="B2" s="1278" t="s">
        <v>332</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c r="AD2" s="213"/>
      <c r="AE2" s="213"/>
      <c r="AF2" s="213"/>
      <c r="AG2" s="213"/>
      <c r="AH2" s="213"/>
      <c r="AI2" s="213"/>
    </row>
    <row r="3" spans="2:38" ht="50.9" customHeight="1"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c r="AD3" s="213"/>
      <c r="AE3" s="213"/>
      <c r="AF3" s="213"/>
      <c r="AG3" s="213"/>
      <c r="AH3" s="213"/>
      <c r="AI3" s="213"/>
    </row>
    <row r="4" spans="2:38" ht="5.25" customHeight="1"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c r="AD4" s="213"/>
      <c r="AE4" s="213"/>
      <c r="AF4" s="213"/>
      <c r="AG4" s="213"/>
      <c r="AH4" s="213"/>
      <c r="AI4" s="213"/>
    </row>
    <row r="5" spans="2:38" x14ac:dyDescent="0.35">
      <c r="B5" s="399" t="s">
        <v>333</v>
      </c>
    </row>
    <row r="6" spans="2:38" ht="14.9" customHeight="1" x14ac:dyDescent="0.35">
      <c r="B6" s="1282" t="s">
        <v>334</v>
      </c>
      <c r="C6" s="1283"/>
      <c r="D6" s="1286" t="s">
        <v>280</v>
      </c>
      <c r="E6" s="1299"/>
      <c r="F6" s="1299"/>
      <c r="G6" s="1299"/>
      <c r="H6" s="1299"/>
      <c r="I6" s="1299"/>
      <c r="J6" s="1299"/>
      <c r="K6" s="1299"/>
      <c r="L6" s="1299"/>
      <c r="M6" s="1299"/>
      <c r="N6" s="1299"/>
      <c r="O6" s="1299"/>
      <c r="P6" s="1299"/>
      <c r="Q6" s="1299"/>
      <c r="R6" s="1299"/>
      <c r="S6" s="1299"/>
      <c r="T6" s="1299"/>
      <c r="U6" s="1300"/>
      <c r="V6" s="1285"/>
      <c r="W6" s="1328" t="s">
        <v>281</v>
      </c>
      <c r="X6" s="1297"/>
      <c r="Y6" s="1297"/>
      <c r="Z6" s="1297"/>
      <c r="AA6" s="1297"/>
      <c r="AB6" s="1297"/>
      <c r="AC6" s="1297"/>
      <c r="AD6" s="1297"/>
      <c r="AE6" s="1297"/>
      <c r="AF6" s="1297"/>
      <c r="AG6" s="1329"/>
      <c r="AH6" s="1324" t="s">
        <v>335</v>
      </c>
      <c r="AI6" s="1327" t="s">
        <v>336</v>
      </c>
    </row>
    <row r="7" spans="2:38" ht="24" customHeight="1" x14ac:dyDescent="0.35">
      <c r="B7" s="1284"/>
      <c r="C7" s="1285"/>
      <c r="D7" s="214">
        <v>2018</v>
      </c>
      <c r="E7" s="1279">
        <v>2019</v>
      </c>
      <c r="F7" s="1280"/>
      <c r="G7" s="1280"/>
      <c r="H7" s="1281"/>
      <c r="I7" s="1279">
        <v>2020</v>
      </c>
      <c r="J7" s="1280"/>
      <c r="K7" s="1280"/>
      <c r="L7" s="1280"/>
      <c r="M7" s="1279">
        <v>2021</v>
      </c>
      <c r="N7" s="1280"/>
      <c r="O7" s="1280"/>
      <c r="P7" s="1280"/>
      <c r="Q7" s="1291">
        <v>2022</v>
      </c>
      <c r="R7" s="1321"/>
      <c r="S7" s="1321"/>
      <c r="T7" s="1321"/>
      <c r="U7" s="335"/>
      <c r="V7" s="336">
        <v>2023</v>
      </c>
      <c r="W7" s="337"/>
      <c r="X7" s="338"/>
      <c r="Y7" s="1288">
        <v>2024</v>
      </c>
      <c r="Z7" s="1289"/>
      <c r="AA7" s="1289"/>
      <c r="AB7" s="1290"/>
      <c r="AC7" s="1288">
        <v>2025</v>
      </c>
      <c r="AD7" s="1289"/>
      <c r="AE7" s="1289"/>
      <c r="AF7" s="1290"/>
      <c r="AG7" s="251">
        <v>2026</v>
      </c>
      <c r="AH7" s="1325"/>
      <c r="AI7" s="1325"/>
    </row>
    <row r="8" spans="2:38" ht="14.25" customHeight="1" x14ac:dyDescent="0.35">
      <c r="B8" s="1286"/>
      <c r="C8" s="1287"/>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14" t="s">
        <v>283</v>
      </c>
      <c r="R8" s="215" t="s">
        <v>284</v>
      </c>
      <c r="S8" s="215" t="s">
        <v>238</v>
      </c>
      <c r="T8" s="215" t="s">
        <v>282</v>
      </c>
      <c r="U8" s="285" t="s">
        <v>283</v>
      </c>
      <c r="V8" s="286" t="s">
        <v>284</v>
      </c>
      <c r="W8" s="270" t="s">
        <v>238</v>
      </c>
      <c r="X8" s="271" t="s">
        <v>282</v>
      </c>
      <c r="Y8" s="269" t="s">
        <v>283</v>
      </c>
      <c r="Z8" s="267" t="s">
        <v>284</v>
      </c>
      <c r="AA8" s="270" t="s">
        <v>238</v>
      </c>
      <c r="AB8" s="271" t="s">
        <v>282</v>
      </c>
      <c r="AC8" s="269" t="s">
        <v>283</v>
      </c>
      <c r="AD8" s="267" t="s">
        <v>284</v>
      </c>
      <c r="AE8" s="270" t="s">
        <v>238</v>
      </c>
      <c r="AF8" s="271" t="s">
        <v>282</v>
      </c>
      <c r="AG8" s="272" t="s">
        <v>283</v>
      </c>
      <c r="AH8" s="1326"/>
      <c r="AI8" s="1326"/>
    </row>
    <row r="9" spans="2:38" ht="23.9" customHeight="1" x14ac:dyDescent="0.35">
      <c r="B9" s="351" t="s">
        <v>337</v>
      </c>
      <c r="C9" s="418" t="s">
        <v>338</v>
      </c>
      <c r="D9" s="366">
        <f>'Haver Pivoted'!GO32</f>
        <v>590.1</v>
      </c>
      <c r="E9" s="367">
        <f>'Haver Pivoted'!GP32</f>
        <v>593.1</v>
      </c>
      <c r="F9" s="367">
        <f>'Haver Pivoted'!GQ32</f>
        <v>610.70000000000005</v>
      </c>
      <c r="G9" s="367">
        <f>'Haver Pivoted'!GR32</f>
        <v>610.4</v>
      </c>
      <c r="H9" s="367">
        <f>'Haver Pivoted'!GS32</f>
        <v>621.79999999999995</v>
      </c>
      <c r="I9" s="367">
        <f>'Haver Pivoted'!GT32</f>
        <v>638.20000000000005</v>
      </c>
      <c r="J9" s="367">
        <f>'Haver Pivoted'!GU32</f>
        <v>1388.6</v>
      </c>
      <c r="K9" s="367">
        <f>'Haver Pivoted'!GV32</f>
        <v>737</v>
      </c>
      <c r="L9" s="367">
        <f>'Haver Pivoted'!GW32</f>
        <v>751.3</v>
      </c>
      <c r="M9" s="367">
        <f>'Haver Pivoted'!GX32</f>
        <v>781.8</v>
      </c>
      <c r="N9" s="367">
        <f>'Haver Pivoted'!GY32</f>
        <v>1645.9</v>
      </c>
      <c r="O9" s="367">
        <f>'Haver Pivoted'!GZ32</f>
        <v>1084.4000000000001</v>
      </c>
      <c r="P9" s="367">
        <f>'Haver Pivoted'!HA32</f>
        <v>929</v>
      </c>
      <c r="Q9" s="367">
        <f>'Haver Pivoted'!HB32</f>
        <v>937.5</v>
      </c>
      <c r="R9" s="367">
        <f>'Haver Pivoted'!HC32</f>
        <v>961.8</v>
      </c>
      <c r="S9" s="368">
        <f>'Haver Pivoted'!HD32</f>
        <v>950.2</v>
      </c>
      <c r="T9" s="368">
        <f>'Haver Pivoted'!HE32</f>
        <v>946.2</v>
      </c>
      <c r="U9" s="331">
        <f>'Haver Pivoted'!HF32</f>
        <v>974.6</v>
      </c>
      <c r="V9" s="331">
        <f>'Haver Pivoted'!HG32</f>
        <v>974.1</v>
      </c>
      <c r="W9" s="331">
        <f>'Haver Pivoted'!HH32</f>
        <v>918.5</v>
      </c>
      <c r="X9" s="331">
        <f>'Haver Pivoted'!HI32</f>
        <v>941.6</v>
      </c>
      <c r="Y9" s="331">
        <f>'Haver Pivoted'!HJ32</f>
        <v>928.4</v>
      </c>
      <c r="Z9" s="333">
        <f t="shared" ref="Z9:AB9" si="0">Z10+Z11</f>
        <v>950.20052848684838</v>
      </c>
      <c r="AA9" s="333">
        <f t="shared" si="0"/>
        <v>966.60735558123929</v>
      </c>
      <c r="AB9" s="333">
        <f t="shared" si="0"/>
        <v>960.05124485960278</v>
      </c>
      <c r="AC9" s="333">
        <f>AC10+AC11</f>
        <v>967.43023982913974</v>
      </c>
      <c r="AD9" s="333">
        <f>AD10+AD11</f>
        <v>295.93278461457794</v>
      </c>
      <c r="AE9" s="333"/>
      <c r="AF9" s="333"/>
      <c r="AG9" s="333"/>
      <c r="AH9" s="386"/>
      <c r="AI9" s="419"/>
    </row>
    <row r="10" spans="2:38" ht="27.65" customHeight="1" x14ac:dyDescent="0.35">
      <c r="B10" s="425" t="s">
        <v>133</v>
      </c>
      <c r="C10" s="230" t="s">
        <v>339</v>
      </c>
      <c r="D10" s="372">
        <f>'Haver Pivoted'!GO40</f>
        <v>391.92099999999999</v>
      </c>
      <c r="E10" s="54">
        <f>'Haver Pivoted'!GP40</f>
        <v>406.23</v>
      </c>
      <c r="F10" s="54">
        <f>'Haver Pivoted'!GQ40</f>
        <v>414.87200000000001</v>
      </c>
      <c r="G10" s="54">
        <f>'Haver Pivoted'!GR40</f>
        <v>418.36200000000002</v>
      </c>
      <c r="H10" s="54">
        <f>'Haver Pivoted'!GS40</f>
        <v>414.971</v>
      </c>
      <c r="I10" s="54">
        <f>'Haver Pivoted'!GT40</f>
        <v>424.089</v>
      </c>
      <c r="J10" s="54">
        <f>'Haver Pivoted'!GU40</f>
        <v>505.45</v>
      </c>
      <c r="K10" s="54">
        <f>'Haver Pivoted'!GV40</f>
        <v>483.86599999999999</v>
      </c>
      <c r="L10" s="54">
        <f>'Haver Pivoted'!GW40</f>
        <v>506.75599999999997</v>
      </c>
      <c r="M10" s="54">
        <f>'Haver Pivoted'!GX40</f>
        <v>501.459</v>
      </c>
      <c r="N10" s="54">
        <f>'Haver Pivoted'!GY40</f>
        <v>526.38599999999997</v>
      </c>
      <c r="O10" s="54">
        <f>'Haver Pivoted'!GZ40</f>
        <v>541.66800000000001</v>
      </c>
      <c r="P10" s="436">
        <f>'Haver Pivoted'!HA40</f>
        <v>563.64300000000003</v>
      </c>
      <c r="Q10" s="54">
        <f>'Haver Pivoted'!HB40</f>
        <v>594.56200000000001</v>
      </c>
      <c r="R10" s="54">
        <f>'Haver Pivoted'!HC40</f>
        <v>595.59299999999996</v>
      </c>
      <c r="S10" s="330">
        <f>'Haver Pivoted'!HD40</f>
        <v>607.94899999999996</v>
      </c>
      <c r="T10" s="330">
        <f>'Haver Pivoted'!HE40</f>
        <v>607.13699999999994</v>
      </c>
      <c r="U10" s="330">
        <f>'Haver Pivoted'!HF40</f>
        <v>630.96299999999997</v>
      </c>
      <c r="V10" s="330">
        <f>'Haver Pivoted'!HG40</f>
        <v>639.71100000000001</v>
      </c>
      <c r="W10" s="330">
        <f>'Haver Pivoted'!HH40</f>
        <v>590.947</v>
      </c>
      <c r="X10" s="330">
        <f>'Haver Pivoted'!HI40</f>
        <v>616.99699999999996</v>
      </c>
      <c r="Y10" s="330">
        <f>'Haver Pivoted'!HJ40</f>
        <v>613.56899999999996</v>
      </c>
      <c r="Z10" s="334">
        <f>Medicaid!Z29</f>
        <v>651.82462020360026</v>
      </c>
      <c r="AA10" s="334">
        <f>Medicaid!AA29</f>
        <v>665.66146299879847</v>
      </c>
      <c r="AB10" s="334">
        <f>Medicaid!AB29</f>
        <v>670.38604487784482</v>
      </c>
      <c r="AC10" s="334">
        <f>Medicaid!AC29</f>
        <v>675.14415982913965</v>
      </c>
      <c r="AD10" s="334">
        <f>Medicaid!AH29</f>
        <v>0</v>
      </c>
      <c r="AE10" s="334"/>
      <c r="AF10" s="334"/>
      <c r="AG10" s="334"/>
      <c r="AH10" s="356"/>
      <c r="AI10" s="406"/>
    </row>
    <row r="11" spans="2:38" ht="17.25" customHeight="1" x14ac:dyDescent="0.35">
      <c r="B11" s="248" t="s">
        <v>340</v>
      </c>
      <c r="C11" s="230"/>
      <c r="D11" s="372">
        <f t="shared" ref="D11:G11" si="1">D9-D10</f>
        <v>198.17900000000003</v>
      </c>
      <c r="E11" s="54">
        <f t="shared" si="1"/>
        <v>186.87</v>
      </c>
      <c r="F11" s="54">
        <f t="shared" si="1"/>
        <v>195.82800000000003</v>
      </c>
      <c r="G11" s="54">
        <f t="shared" si="1"/>
        <v>192.03799999999995</v>
      </c>
      <c r="H11" s="54">
        <f>H9-H10</f>
        <v>206.82899999999995</v>
      </c>
      <c r="I11" s="54">
        <f t="shared" ref="I11:N11" si="2">I9-I10</f>
        <v>214.11100000000005</v>
      </c>
      <c r="J11" s="54">
        <f t="shared" si="2"/>
        <v>883.14999999999986</v>
      </c>
      <c r="K11" s="54">
        <f t="shared" si="2"/>
        <v>253.13400000000001</v>
      </c>
      <c r="L11" s="54">
        <f t="shared" si="2"/>
        <v>244.54399999999998</v>
      </c>
      <c r="M11" s="54">
        <f t="shared" si="2"/>
        <v>280.34099999999995</v>
      </c>
      <c r="N11" s="54">
        <f t="shared" si="2"/>
        <v>1119.5140000000001</v>
      </c>
      <c r="O11" s="54">
        <f t="shared" ref="O11:T11" si="3">O9-O10</f>
        <v>542.73200000000008</v>
      </c>
      <c r="P11" s="436">
        <f t="shared" si="3"/>
        <v>365.35699999999997</v>
      </c>
      <c r="Q11" s="54">
        <f t="shared" si="3"/>
        <v>342.93799999999999</v>
      </c>
      <c r="R11" s="54">
        <f t="shared" si="3"/>
        <v>366.20699999999999</v>
      </c>
      <c r="S11" s="330">
        <f t="shared" si="3"/>
        <v>342.25100000000009</v>
      </c>
      <c r="T11" s="330">
        <f t="shared" si="3"/>
        <v>339.0630000000001</v>
      </c>
      <c r="U11" s="330">
        <f>U9-U10</f>
        <v>343.63700000000006</v>
      </c>
      <c r="V11" s="330">
        <f>V9-V10</f>
        <v>334.38900000000001</v>
      </c>
      <c r="W11" s="330">
        <f>W9-W10</f>
        <v>327.553</v>
      </c>
      <c r="X11" s="330">
        <f>X9-X10</f>
        <v>324.60300000000007</v>
      </c>
      <c r="Y11" s="330">
        <f>Y9-Y10</f>
        <v>314.83100000000002</v>
      </c>
      <c r="Z11" s="334">
        <f t="shared" ref="Z11:AB11" si="4">SUM(Z12:Z20)</f>
        <v>298.37590828324812</v>
      </c>
      <c r="AA11" s="334">
        <f t="shared" si="4"/>
        <v>300.94589258244082</v>
      </c>
      <c r="AB11" s="334">
        <f t="shared" si="4"/>
        <v>289.66519998175789</v>
      </c>
      <c r="AC11" s="334">
        <f>SUM(AC12:AC20)</f>
        <v>292.28608000000003</v>
      </c>
      <c r="AD11" s="334">
        <f>SUM(AD12:AD20)</f>
        <v>295.93278461457794</v>
      </c>
      <c r="AE11" s="334"/>
      <c r="AF11" s="334"/>
      <c r="AG11" s="334"/>
      <c r="AH11" s="356"/>
      <c r="AI11" s="406"/>
    </row>
    <row r="12" spans="2:38" ht="16.399999999999999" customHeight="1" x14ac:dyDescent="0.35">
      <c r="B12" s="363" t="s">
        <v>149</v>
      </c>
      <c r="C12" s="38" t="s">
        <v>341</v>
      </c>
      <c r="D12" s="430"/>
      <c r="E12" s="38"/>
      <c r="F12" s="38"/>
      <c r="G12" s="38"/>
      <c r="H12" s="54"/>
      <c r="I12" s="54"/>
      <c r="J12" s="54">
        <f>'Haver Pivoted'!GU56</f>
        <v>597.9</v>
      </c>
      <c r="K12" s="54"/>
      <c r="L12" s="54"/>
      <c r="M12" s="54"/>
      <c r="N12" s="54"/>
      <c r="O12" s="36">
        <v>0</v>
      </c>
      <c r="P12" s="231">
        <v>0</v>
      </c>
      <c r="Q12" s="36">
        <v>0</v>
      </c>
      <c r="R12" s="36">
        <v>0</v>
      </c>
      <c r="S12" s="36">
        <v>0</v>
      </c>
      <c r="T12" s="36">
        <v>0</v>
      </c>
      <c r="U12" s="36">
        <v>0</v>
      </c>
      <c r="V12" s="36">
        <v>0</v>
      </c>
      <c r="W12" s="36">
        <v>0</v>
      </c>
      <c r="X12" s="334">
        <v>0</v>
      </c>
      <c r="Y12" s="334">
        <v>0</v>
      </c>
      <c r="Z12" s="334">
        <v>0</v>
      </c>
      <c r="AA12" s="334">
        <v>0</v>
      </c>
      <c r="AB12" s="334">
        <v>0</v>
      </c>
      <c r="AC12" s="334">
        <v>0</v>
      </c>
      <c r="AD12" s="334">
        <v>0</v>
      </c>
      <c r="AE12" s="334"/>
      <c r="AF12" s="334"/>
      <c r="AG12" s="334"/>
      <c r="AH12" s="356">
        <f t="shared" ref="AH12:AH17" si="5">SUM(I12:Y12)/4</f>
        <v>149.47499999999999</v>
      </c>
      <c r="AI12" s="406">
        <f>AH26</f>
        <v>150</v>
      </c>
    </row>
    <row r="13" spans="2:38" x14ac:dyDescent="0.35">
      <c r="B13" s="363" t="s">
        <v>150</v>
      </c>
      <c r="C13" s="38" t="s">
        <v>342</v>
      </c>
      <c r="D13" s="430"/>
      <c r="E13" s="38"/>
      <c r="F13" s="38"/>
      <c r="G13" s="38"/>
      <c r="H13" s="54"/>
      <c r="I13" s="54"/>
      <c r="J13" s="54">
        <f>'Haver Pivoted'!GU57</f>
        <v>28.4</v>
      </c>
      <c r="K13" s="54">
        <f>'Haver Pivoted'!GV57</f>
        <v>15.8</v>
      </c>
      <c r="L13" s="54">
        <f>'Haver Pivoted'!GW57</f>
        <v>15.2</v>
      </c>
      <c r="M13" s="54">
        <f>'Haver Pivoted'!GX57</f>
        <v>28.9</v>
      </c>
      <c r="N13" s="54">
        <f>'Haver Pivoted'!GY57</f>
        <v>67.599999999999994</v>
      </c>
      <c r="O13" s="54">
        <f>'Haver Pivoted'!GZ57</f>
        <v>80.7</v>
      </c>
      <c r="P13" s="436">
        <f>'Haver Pivoted'!HA57</f>
        <v>87.2</v>
      </c>
      <c r="Q13" s="54">
        <f>'Haver Pivoted'!HB57</f>
        <v>72.400000000000006</v>
      </c>
      <c r="R13" s="54">
        <f>'Haver Pivoted'!HC57</f>
        <v>85.9</v>
      </c>
      <c r="S13" s="330">
        <f>'Haver Pivoted'!HD57</f>
        <v>68.3</v>
      </c>
      <c r="T13" s="330">
        <f>'Haver Pivoted'!HE57</f>
        <v>64</v>
      </c>
      <c r="U13" s="332">
        <f>U27+U31+U37</f>
        <v>60.929333333333297</v>
      </c>
      <c r="V13" s="332">
        <f t="shared" ref="V13:AD13" si="6">V27+V31+V37</f>
        <v>60.929333333333297</v>
      </c>
      <c r="W13" s="332">
        <f>W27+W31+W37</f>
        <v>60.929333333333297</v>
      </c>
      <c r="X13" s="332">
        <f t="shared" si="6"/>
        <v>54.244333333333302</v>
      </c>
      <c r="Y13" s="332">
        <f t="shared" si="6"/>
        <v>50.911000000000001</v>
      </c>
      <c r="Z13" s="332">
        <f t="shared" si="6"/>
        <v>31.911000000000001</v>
      </c>
      <c r="AA13" s="332">
        <f t="shared" si="6"/>
        <v>31.911000000000001</v>
      </c>
      <c r="AB13" s="332">
        <f t="shared" si="6"/>
        <v>23.099</v>
      </c>
      <c r="AC13" s="332">
        <f t="shared" si="6"/>
        <v>23.099</v>
      </c>
      <c r="AD13" s="332">
        <f t="shared" si="6"/>
        <v>23.099</v>
      </c>
      <c r="AE13" s="332"/>
      <c r="AF13" s="332"/>
      <c r="AG13" s="332"/>
      <c r="AH13" s="356">
        <f t="shared" si="5"/>
        <v>225.58583333333326</v>
      </c>
      <c r="AI13" s="406">
        <f>AH27+AH31+AH37</f>
        <v>225.76349999999994</v>
      </c>
      <c r="AJ13" s="42">
        <f>SUM(J13:R13)/4</f>
        <v>120.52500000000001</v>
      </c>
    </row>
    <row r="14" spans="2:38" x14ac:dyDescent="0.35">
      <c r="B14" s="363" t="s">
        <v>152</v>
      </c>
      <c r="C14" s="35" t="s">
        <v>307</v>
      </c>
      <c r="D14" s="359"/>
      <c r="E14" s="35"/>
      <c r="F14" s="35"/>
      <c r="G14" s="35"/>
      <c r="H14" s="54"/>
      <c r="I14" s="54"/>
      <c r="J14" s="54">
        <f>'Haver Pivoted'!GU58</f>
        <v>64.400000000000006</v>
      </c>
      <c r="K14" s="54">
        <f>'Haver Pivoted'!GV58</f>
        <v>23.4</v>
      </c>
      <c r="L14" s="54">
        <f>'Haver Pivoted'!GW58</f>
        <v>13.8</v>
      </c>
      <c r="M14" s="54">
        <f>'Haver Pivoted'!GX58</f>
        <v>12</v>
      </c>
      <c r="N14" s="54">
        <f>'Haver Pivoted'!GY58</f>
        <v>7.5</v>
      </c>
      <c r="O14" s="54">
        <f>'Haver Pivoted'!GZ58</f>
        <v>10.5</v>
      </c>
      <c r="P14" s="436">
        <f>'Haver Pivoted'!HA58</f>
        <v>18</v>
      </c>
      <c r="Q14" s="54">
        <f>'Haver Pivoted'!HB58</f>
        <v>15</v>
      </c>
      <c r="R14" s="54">
        <f>'Haver Pivoted'!HC58</f>
        <v>11.2</v>
      </c>
      <c r="S14" s="330">
        <f>'Haver Pivoted'!HD58</f>
        <v>7.5</v>
      </c>
      <c r="T14" s="330">
        <f>'Haver Pivoted'!HE58</f>
        <v>6.2</v>
      </c>
      <c r="U14" s="330">
        <f>'Haver Pivoted'!HF58</f>
        <v>0</v>
      </c>
      <c r="V14" s="330">
        <f>'Haver Pivoted'!HG58</f>
        <v>0</v>
      </c>
      <c r="W14" s="330">
        <f>'Haver Pivoted'!HH58</f>
        <v>0</v>
      </c>
      <c r="X14" s="330">
        <f>'Haver Pivoted'!HI58</f>
        <v>0</v>
      </c>
      <c r="Y14" s="330">
        <f>'Haver Pivoted'!HJ58</f>
        <v>0</v>
      </c>
      <c r="Z14" s="334">
        <f>'Provider Relief (expired)'!Z12</f>
        <v>0</v>
      </c>
      <c r="AA14" s="334">
        <f>'Provider Relief (expired)'!AA12</f>
        <v>0</v>
      </c>
      <c r="AB14" s="334">
        <f>'Provider Relief (expired)'!AB12</f>
        <v>0</v>
      </c>
      <c r="AC14" s="334">
        <f>'Provider Relief (expired)'!AC12</f>
        <v>0</v>
      </c>
      <c r="AD14" s="334">
        <f>'Provider Relief (expired)'!AD12</f>
        <v>0</v>
      </c>
      <c r="AE14" s="334"/>
      <c r="AF14" s="334"/>
      <c r="AG14" s="334"/>
      <c r="AH14" s="356">
        <f t="shared" si="5"/>
        <v>47.375</v>
      </c>
      <c r="AI14" s="406">
        <f>AH28+AH32+AH38</f>
        <v>34.125000000000007</v>
      </c>
    </row>
    <row r="15" spans="2:38" ht="15.75" customHeight="1" x14ac:dyDescent="0.35">
      <c r="B15" s="363" t="s">
        <v>343</v>
      </c>
      <c r="C15" s="35"/>
      <c r="D15" s="359"/>
      <c r="E15" s="35"/>
      <c r="F15" s="35"/>
      <c r="G15" s="35"/>
      <c r="H15" s="54"/>
      <c r="I15" s="54"/>
      <c r="J15" s="54"/>
      <c r="K15" s="54"/>
      <c r="L15" s="54"/>
      <c r="M15" s="54">
        <f>M30</f>
        <v>9.6666666666666661</v>
      </c>
      <c r="N15" s="36">
        <f t="shared" ref="N15:AC15" si="7">N30</f>
        <v>9.6666666666666661</v>
      </c>
      <c r="O15" s="36">
        <f t="shared" si="7"/>
        <v>9.6666666666666661</v>
      </c>
      <c r="P15" s="231">
        <f>P30</f>
        <v>9.6666666666666661</v>
      </c>
      <c r="Q15" s="36">
        <f>Q30</f>
        <v>9.6666666666666661</v>
      </c>
      <c r="R15" s="36">
        <f t="shared" si="7"/>
        <v>9.6666666666666661</v>
      </c>
      <c r="S15" s="36">
        <f t="shared" si="7"/>
        <v>9.6666666666666661</v>
      </c>
      <c r="T15" s="36">
        <f t="shared" si="7"/>
        <v>9.6666666666666661</v>
      </c>
      <c r="U15" s="36">
        <f t="shared" si="7"/>
        <v>9.6666666666666661</v>
      </c>
      <c r="V15" s="36">
        <f t="shared" si="7"/>
        <v>9.6666666666666661</v>
      </c>
      <c r="W15" s="36">
        <f t="shared" si="7"/>
        <v>9.6666666666666661</v>
      </c>
      <c r="X15" s="334">
        <f t="shared" si="7"/>
        <v>9.6666666666666661</v>
      </c>
      <c r="Y15" s="334">
        <f t="shared" si="7"/>
        <v>0</v>
      </c>
      <c r="Z15" s="334">
        <f t="shared" si="7"/>
        <v>0</v>
      </c>
      <c r="AA15" s="334">
        <f t="shared" si="7"/>
        <v>0</v>
      </c>
      <c r="AB15" s="334">
        <f t="shared" si="7"/>
        <v>0</v>
      </c>
      <c r="AC15" s="334">
        <f t="shared" si="7"/>
        <v>0</v>
      </c>
      <c r="AD15" s="334">
        <f t="shared" ref="AD15" si="8">AD30</f>
        <v>0</v>
      </c>
      <c r="AE15" s="334"/>
      <c r="AF15" s="334"/>
      <c r="AG15" s="334"/>
      <c r="AH15" s="356">
        <f t="shared" si="5"/>
        <v>29.000000000000004</v>
      </c>
      <c r="AI15" s="407">
        <f>AH30</f>
        <v>29.000000000000004</v>
      </c>
      <c r="AJ15" s="375" t="s">
        <v>344</v>
      </c>
      <c r="AK15" s="375"/>
      <c r="AL15" s="375"/>
    </row>
    <row r="16" spans="2:38" ht="31.4" customHeight="1" x14ac:dyDescent="0.35">
      <c r="B16" s="363" t="s">
        <v>345</v>
      </c>
      <c r="C16" s="35"/>
      <c r="D16" s="359"/>
      <c r="E16" s="35"/>
      <c r="F16" s="35"/>
      <c r="G16" s="35"/>
      <c r="H16" s="54"/>
      <c r="I16" s="54"/>
      <c r="J16" s="54"/>
      <c r="K16" s="54"/>
      <c r="L16" s="54"/>
      <c r="M16" s="54">
        <f>M34+M33</f>
        <v>12</v>
      </c>
      <c r="N16" s="36">
        <f>N34+N33</f>
        <v>12</v>
      </c>
      <c r="O16" s="36">
        <f>O34+O33</f>
        <v>12</v>
      </c>
      <c r="P16" s="231">
        <f t="shared" ref="P16:AC16" si="9">P34+P33</f>
        <v>12</v>
      </c>
      <c r="Q16" s="36">
        <f t="shared" si="9"/>
        <v>12</v>
      </c>
      <c r="R16" s="36">
        <f t="shared" si="9"/>
        <v>12</v>
      </c>
      <c r="S16" s="36">
        <f t="shared" si="9"/>
        <v>12</v>
      </c>
      <c r="T16" s="36">
        <f t="shared" si="9"/>
        <v>12</v>
      </c>
      <c r="U16" s="36">
        <f t="shared" si="9"/>
        <v>12</v>
      </c>
      <c r="V16" s="36">
        <f t="shared" si="9"/>
        <v>12</v>
      </c>
      <c r="W16" s="36">
        <f t="shared" si="9"/>
        <v>12</v>
      </c>
      <c r="X16" s="334">
        <f t="shared" si="9"/>
        <v>12</v>
      </c>
      <c r="Y16" s="334">
        <f t="shared" si="9"/>
        <v>0</v>
      </c>
      <c r="Z16" s="334">
        <f t="shared" si="9"/>
        <v>0</v>
      </c>
      <c r="AA16" s="334">
        <f t="shared" si="9"/>
        <v>0</v>
      </c>
      <c r="AB16" s="334">
        <f t="shared" si="9"/>
        <v>0</v>
      </c>
      <c r="AC16" s="334">
        <f t="shared" si="9"/>
        <v>0</v>
      </c>
      <c r="AD16" s="334">
        <f t="shared" ref="AD16" si="10">AD34+AD33</f>
        <v>0</v>
      </c>
      <c r="AE16" s="334"/>
      <c r="AF16" s="334"/>
      <c r="AG16" s="334"/>
      <c r="AH16" s="356">
        <f t="shared" si="5"/>
        <v>36</v>
      </c>
      <c r="AI16" s="406">
        <f>SUM(AH33:AH34)+AH39</f>
        <v>130.3365</v>
      </c>
      <c r="AJ16" s="375" t="s">
        <v>346</v>
      </c>
      <c r="AK16" s="375"/>
      <c r="AL16" s="375"/>
    </row>
    <row r="17" spans="1:38" x14ac:dyDescent="0.35">
      <c r="B17" s="363" t="s">
        <v>347</v>
      </c>
      <c r="C17" s="35"/>
      <c r="D17" s="359"/>
      <c r="E17" s="35"/>
      <c r="F17" s="35"/>
      <c r="G17" s="35"/>
      <c r="H17" s="54"/>
      <c r="I17" s="54"/>
      <c r="J17" s="54"/>
      <c r="K17" s="54"/>
      <c r="L17" s="54"/>
      <c r="M17" s="54"/>
      <c r="N17" s="36">
        <f>N39</f>
        <v>59.256</v>
      </c>
      <c r="O17" s="36">
        <f>O39</f>
        <v>59.256</v>
      </c>
      <c r="P17" s="231">
        <f>P39</f>
        <v>35.671000000000006</v>
      </c>
      <c r="Q17" s="36">
        <f>Q39</f>
        <v>35.671000000000006</v>
      </c>
      <c r="R17" s="36">
        <f t="shared" ref="R17:AC17" si="11">R39</f>
        <v>35.671000000000006</v>
      </c>
      <c r="S17" s="36">
        <f t="shared" si="11"/>
        <v>35.671000000000006</v>
      </c>
      <c r="T17" s="36">
        <f t="shared" si="11"/>
        <v>24.216000000000001</v>
      </c>
      <c r="U17" s="36">
        <f t="shared" si="11"/>
        <v>24.216000000000001</v>
      </c>
      <c r="V17" s="36">
        <f t="shared" si="11"/>
        <v>24.216000000000001</v>
      </c>
      <c r="W17" s="36">
        <f t="shared" si="11"/>
        <v>24.216000000000001</v>
      </c>
      <c r="X17" s="334">
        <f t="shared" si="11"/>
        <v>9.6430000000000007</v>
      </c>
      <c r="Y17" s="334">
        <f t="shared" si="11"/>
        <v>9.6430000000000007</v>
      </c>
      <c r="Z17" s="334">
        <f t="shared" si="11"/>
        <v>9.6430000000000007</v>
      </c>
      <c r="AA17" s="334">
        <f t="shared" si="11"/>
        <v>9.6430000000000007</v>
      </c>
      <c r="AB17" s="334">
        <f t="shared" si="11"/>
        <v>4.5789999999999997</v>
      </c>
      <c r="AC17" s="334">
        <f t="shared" si="11"/>
        <v>4.5789999999999997</v>
      </c>
      <c r="AD17" s="334">
        <f t="shared" ref="AD17" si="12">AD39</f>
        <v>4.5789999999999997</v>
      </c>
      <c r="AE17" s="334"/>
      <c r="AF17" s="334"/>
      <c r="AG17" s="334"/>
      <c r="AH17" s="356">
        <f t="shared" si="5"/>
        <v>94.336500000000001</v>
      </c>
      <c r="AI17" s="406"/>
      <c r="AJ17" s="375"/>
      <c r="AK17" s="375"/>
      <c r="AL17" s="375"/>
    </row>
    <row r="18" spans="1:38" ht="54" customHeight="1" x14ac:dyDescent="0.35">
      <c r="B18" s="413" t="s">
        <v>780</v>
      </c>
      <c r="C18" s="35"/>
      <c r="D18" s="359"/>
      <c r="E18" s="35"/>
      <c r="F18" s="35"/>
      <c r="G18" s="35"/>
      <c r="H18" s="54"/>
      <c r="I18" s="54"/>
      <c r="J18" s="54"/>
      <c r="K18" s="54"/>
      <c r="L18" s="54"/>
      <c r="M18" s="54"/>
      <c r="N18" s="36">
        <v>-40</v>
      </c>
      <c r="O18" s="36">
        <v>-40</v>
      </c>
      <c r="P18" s="231">
        <f>-51</f>
        <v>-51</v>
      </c>
      <c r="Q18" s="36">
        <f>-51</f>
        <v>-51</v>
      </c>
      <c r="R18" s="36">
        <v>-51</v>
      </c>
      <c r="S18" s="36">
        <f>-51</f>
        <v>-51</v>
      </c>
      <c r="T18" s="36">
        <v>0</v>
      </c>
      <c r="U18" s="36">
        <v>0</v>
      </c>
      <c r="V18" s="36">
        <v>0</v>
      </c>
      <c r="W18" s="36">
        <v>0</v>
      </c>
      <c r="X18" s="334">
        <v>-4</v>
      </c>
      <c r="Y18" s="334">
        <v>-4</v>
      </c>
      <c r="Z18" s="334">
        <v>-4</v>
      </c>
      <c r="AA18" s="334">
        <v>-4</v>
      </c>
      <c r="AB18" s="334">
        <v>-4</v>
      </c>
      <c r="AC18" s="334">
        <v>-4</v>
      </c>
      <c r="AD18" s="334">
        <v>-3</v>
      </c>
      <c r="AE18" s="334">
        <v>0</v>
      </c>
      <c r="AF18" s="334">
        <v>0</v>
      </c>
      <c r="AG18" s="334">
        <v>0</v>
      </c>
      <c r="AH18" s="356"/>
      <c r="AI18" s="406"/>
      <c r="AJ18" s="375"/>
      <c r="AK18" s="375"/>
      <c r="AL18" s="375"/>
    </row>
    <row r="19" spans="1:38" ht="15.75" customHeight="1" x14ac:dyDescent="0.35">
      <c r="B19" s="363" t="s">
        <v>348</v>
      </c>
      <c r="C19" s="38" t="s">
        <v>349</v>
      </c>
      <c r="D19" s="359"/>
      <c r="E19" s="35"/>
      <c r="F19" s="35"/>
      <c r="G19" s="35"/>
      <c r="H19" s="54"/>
      <c r="I19" s="54"/>
      <c r="J19" s="54"/>
      <c r="K19" s="54">
        <f>'Haver Pivoted'!GV56</f>
        <v>0</v>
      </c>
      <c r="L19" s="54">
        <f>'Haver Pivoted'!GW56</f>
        <v>0</v>
      </c>
      <c r="M19" s="54">
        <f>'Haver Pivoted'!GX56</f>
        <v>0</v>
      </c>
      <c r="N19" s="54">
        <f>'Haver Pivoted'!GY56</f>
        <v>785.9</v>
      </c>
      <c r="O19" s="54">
        <f>'Haver Pivoted'!GZ56</f>
        <v>187.9</v>
      </c>
      <c r="P19" s="436">
        <f>'Haver Pivoted'!HA56</f>
        <v>9.1999999999999993</v>
      </c>
      <c r="Q19" s="54">
        <f>'Haver Pivoted'!HB56</f>
        <v>0.6</v>
      </c>
      <c r="R19" s="54">
        <f>'Haver Pivoted'!HC56</f>
        <v>0</v>
      </c>
      <c r="S19" s="330">
        <f>'Haver Pivoted'!HD56</f>
        <v>0</v>
      </c>
      <c r="T19" s="330">
        <f>'Haver Pivoted'!HE56</f>
        <v>0</v>
      </c>
      <c r="U19" s="330">
        <f>'Haver Pivoted'!HF56</f>
        <v>0</v>
      </c>
      <c r="V19" s="330">
        <f>'Haver Pivoted'!HG56</f>
        <v>0</v>
      </c>
      <c r="W19" s="330">
        <f>'Haver Pivoted'!HH56</f>
        <v>0</v>
      </c>
      <c r="X19" s="330">
        <f>'Haver Pivoted'!HI56</f>
        <v>0</v>
      </c>
      <c r="Y19" s="330">
        <f>'Haver Pivoted'!HJ56</f>
        <v>0</v>
      </c>
      <c r="Z19" s="327">
        <f t="shared" ref="Z19:AC19" si="13">Z36</f>
        <v>0</v>
      </c>
      <c r="AA19" s="327">
        <f t="shared" si="13"/>
        <v>0</v>
      </c>
      <c r="AB19" s="327">
        <f t="shared" si="13"/>
        <v>0</v>
      </c>
      <c r="AC19" s="327">
        <f t="shared" si="13"/>
        <v>0</v>
      </c>
      <c r="AD19" s="327">
        <f t="shared" ref="AD19" si="14">AD36</f>
        <v>0</v>
      </c>
      <c r="AE19" s="327">
        <v>0</v>
      </c>
      <c r="AF19" s="327">
        <v>0</v>
      </c>
      <c r="AG19" s="327">
        <v>0</v>
      </c>
      <c r="AH19" s="356">
        <f>SUM(I19:Y19)/4</f>
        <v>245.9</v>
      </c>
      <c r="AI19" s="406">
        <f>AH36</f>
        <v>362.04999999999995</v>
      </c>
      <c r="AJ19" s="397"/>
      <c r="AL19" s="375"/>
    </row>
    <row r="20" spans="1:38" ht="15.75" customHeight="1" x14ac:dyDescent="0.35">
      <c r="A20" s="377"/>
      <c r="B20" s="376" t="s">
        <v>350</v>
      </c>
      <c r="C20" s="389"/>
      <c r="D20" s="387">
        <f t="shared" ref="D20:T20" si="15">D11-SUM(D12:D19)</f>
        <v>198.17900000000003</v>
      </c>
      <c r="E20" s="389">
        <f t="shared" si="15"/>
        <v>186.87</v>
      </c>
      <c r="F20" s="389">
        <f t="shared" si="15"/>
        <v>195.82800000000003</v>
      </c>
      <c r="G20" s="389">
        <f t="shared" si="15"/>
        <v>192.03799999999995</v>
      </c>
      <c r="H20" s="389">
        <f t="shared" si="15"/>
        <v>206.82899999999995</v>
      </c>
      <c r="I20" s="389">
        <f t="shared" si="15"/>
        <v>214.11100000000005</v>
      </c>
      <c r="J20" s="389">
        <f t="shared" si="15"/>
        <v>192.44999999999993</v>
      </c>
      <c r="K20" s="389">
        <f t="shared" si="15"/>
        <v>213.93400000000003</v>
      </c>
      <c r="L20" s="389">
        <f t="shared" si="15"/>
        <v>215.54399999999998</v>
      </c>
      <c r="M20" s="389">
        <f t="shared" si="15"/>
        <v>217.77433333333329</v>
      </c>
      <c r="N20" s="389">
        <f t="shared" si="15"/>
        <v>217.59133333333352</v>
      </c>
      <c r="O20" s="389">
        <f t="shared" si="15"/>
        <v>222.7093333333334</v>
      </c>
      <c r="P20" s="314">
        <f t="shared" si="15"/>
        <v>244.61933333333332</v>
      </c>
      <c r="Q20" s="389">
        <f t="shared" si="15"/>
        <v>248.60033333333331</v>
      </c>
      <c r="R20" s="389">
        <f t="shared" si="15"/>
        <v>262.76933333333329</v>
      </c>
      <c r="S20" s="365">
        <f t="shared" si="15"/>
        <v>260.1133333333334</v>
      </c>
      <c r="T20" s="365">
        <f t="shared" si="15"/>
        <v>222.98033333333342</v>
      </c>
      <c r="U20" s="365">
        <f>U11-SUM(U12:U19)</f>
        <v>236.8250000000001</v>
      </c>
      <c r="V20" s="365">
        <f>V11-SUM(V12:V19)</f>
        <v>227.57700000000006</v>
      </c>
      <c r="W20" s="365">
        <f>W11-SUM(W12:W19)</f>
        <v>220.74100000000004</v>
      </c>
      <c r="X20" s="365">
        <f>X11-SUM(X12:X19)</f>
        <v>243.04900000000009</v>
      </c>
      <c r="Y20" s="365">
        <f>Y11-SUM(Y12:Y19)</f>
        <v>258.27700000000004</v>
      </c>
      <c r="Z20" s="267">
        <f t="shared" ref="Z20:AC20" si="16">Y20*(1.04)^0.25</f>
        <v>260.82190828324809</v>
      </c>
      <c r="AA20" s="267">
        <f t="shared" si="16"/>
        <v>263.39189258244079</v>
      </c>
      <c r="AB20" s="267">
        <f t="shared" si="16"/>
        <v>265.9871999817579</v>
      </c>
      <c r="AC20" s="267">
        <f t="shared" si="16"/>
        <v>268.60808000000003</v>
      </c>
      <c r="AD20" s="267">
        <f>AC20*(1.04)^0.25</f>
        <v>271.25478461457794</v>
      </c>
      <c r="AE20" s="267">
        <f t="shared" ref="AE20:AG20" si="17">AD20*(1.04)^0.25</f>
        <v>273.92756828573835</v>
      </c>
      <c r="AF20" s="267">
        <f t="shared" si="17"/>
        <v>276.62668798102817</v>
      </c>
      <c r="AG20" s="267">
        <f t="shared" si="17"/>
        <v>279.35240319999997</v>
      </c>
      <c r="AH20" s="411"/>
      <c r="AI20" s="408"/>
      <c r="AJ20" s="375" t="s">
        <v>351</v>
      </c>
      <c r="AK20" s="375"/>
      <c r="AL20" s="375"/>
    </row>
    <row r="21" spans="1:38" ht="15.75" customHeight="1" x14ac:dyDescent="0.35">
      <c r="A21" s="8"/>
      <c r="B21" s="342"/>
      <c r="C21" s="35"/>
      <c r="D21" s="35"/>
      <c r="E21" s="35"/>
      <c r="F21" s="35"/>
      <c r="G21" s="35"/>
      <c r="H21" s="35"/>
      <c r="I21" s="35"/>
      <c r="J21" s="35"/>
      <c r="K21" s="35"/>
      <c r="L21" s="35"/>
      <c r="M21" s="35"/>
      <c r="AA21" s="231"/>
      <c r="AB21" s="231"/>
      <c r="AC21" s="231"/>
      <c r="AD21" s="231"/>
      <c r="AE21" s="231"/>
      <c r="AF21" s="231"/>
      <c r="AG21" s="231"/>
      <c r="AH21" s="231"/>
      <c r="AI21" s="380"/>
      <c r="AJ21" s="375"/>
      <c r="AK21" s="375"/>
      <c r="AL21" s="375"/>
    </row>
    <row r="22" spans="1:38" x14ac:dyDescent="0.35">
      <c r="C22" s="35"/>
      <c r="D22" s="35"/>
      <c r="E22" s="381"/>
      <c r="F22" s="35"/>
      <c r="G22" s="35"/>
      <c r="H22" s="35"/>
      <c r="I22" s="35"/>
      <c r="J22" s="35"/>
      <c r="K22" s="35"/>
      <c r="L22" s="35"/>
      <c r="M22" s="35"/>
      <c r="N22" s="35"/>
      <c r="P22" s="380"/>
      <c r="Q22" s="35"/>
      <c r="R22" s="35"/>
      <c r="S22" s="35"/>
      <c r="T22" s="35"/>
      <c r="U22" s="35"/>
      <c r="V22" s="35"/>
      <c r="W22" s="35"/>
      <c r="X22" s="35"/>
      <c r="Y22" s="35"/>
      <c r="Z22" s="35"/>
      <c r="AA22" s="35"/>
      <c r="AB22" s="35"/>
      <c r="AC22" s="35"/>
      <c r="AD22" s="35"/>
      <c r="AE22" s="35"/>
      <c r="AF22" s="35"/>
      <c r="AG22" s="35"/>
      <c r="AH22" s="35"/>
      <c r="AI22" s="35"/>
    </row>
    <row r="23" spans="1:38" x14ac:dyDescent="0.35">
      <c r="B23" s="403" t="s">
        <v>352</v>
      </c>
      <c r="C23" s="35"/>
      <c r="D23" s="35"/>
      <c r="E23" s="35"/>
      <c r="F23" s="35"/>
      <c r="G23" s="35"/>
      <c r="H23" s="35"/>
      <c r="I23" s="35"/>
      <c r="J23" s="35"/>
      <c r="K23" s="35"/>
      <c r="L23" s="35"/>
      <c r="M23" s="35"/>
      <c r="N23" s="35"/>
      <c r="O23" s="35"/>
      <c r="P23" s="380"/>
      <c r="Q23" s="35"/>
      <c r="R23" s="35"/>
      <c r="S23" s="35"/>
      <c r="T23" s="35"/>
      <c r="U23" s="35"/>
      <c r="V23" s="35"/>
      <c r="W23" s="35"/>
      <c r="X23" s="35"/>
      <c r="Y23" s="35"/>
      <c r="Z23" s="35"/>
      <c r="AA23" s="35"/>
      <c r="AB23" s="35"/>
      <c r="AC23" s="35"/>
      <c r="AD23" s="35"/>
      <c r="AE23" s="35"/>
      <c r="AF23" s="35"/>
      <c r="AG23" s="35"/>
      <c r="AH23" s="35"/>
      <c r="AI23" s="35"/>
    </row>
    <row r="24" spans="1:38" ht="27" customHeight="1" x14ac:dyDescent="0.35">
      <c r="B24" s="1315" t="s">
        <v>353</v>
      </c>
      <c r="C24" s="1316"/>
      <c r="D24" s="1317"/>
      <c r="E24" s="1317"/>
      <c r="F24" s="1317"/>
      <c r="G24" s="1317"/>
      <c r="H24" s="1317"/>
      <c r="I24" s="1317"/>
      <c r="J24" s="1317"/>
      <c r="K24" s="1317"/>
      <c r="L24" s="1317"/>
      <c r="M24" s="1317"/>
      <c r="N24" s="1317"/>
      <c r="O24" s="1317"/>
      <c r="P24" s="1317"/>
      <c r="Q24" s="1317"/>
      <c r="R24" s="1317"/>
      <c r="S24" s="1317"/>
      <c r="T24" s="1317"/>
      <c r="U24" s="1317"/>
      <c r="V24" s="1317"/>
      <c r="W24" s="1317"/>
      <c r="X24" s="1317"/>
      <c r="Y24" s="1317"/>
      <c r="Z24" s="1317"/>
      <c r="AA24" s="1317"/>
      <c r="AB24" s="1317"/>
      <c r="AC24" s="1318"/>
      <c r="AD24" s="348"/>
      <c r="AE24" s="348"/>
      <c r="AF24" s="348"/>
      <c r="AG24" s="348"/>
      <c r="AH24" s="347" t="s">
        <v>335</v>
      </c>
      <c r="AI24" s="409"/>
    </row>
    <row r="25" spans="1:38" ht="17.899999999999999" customHeight="1" x14ac:dyDescent="0.35">
      <c r="B25" s="416" t="s">
        <v>354</v>
      </c>
      <c r="C25" s="35"/>
      <c r="D25" s="427"/>
      <c r="E25" s="417"/>
      <c r="F25" s="417"/>
      <c r="G25" s="417"/>
      <c r="H25" s="414"/>
      <c r="I25" s="414"/>
      <c r="J25" s="373">
        <f>SUM(J26:J28)</f>
        <v>692.8</v>
      </c>
      <c r="K25" s="373">
        <f t="shared" ref="K25:P25" si="18">SUM(K26:K28)</f>
        <v>39.200000000000003</v>
      </c>
      <c r="L25" s="373">
        <f t="shared" si="18"/>
        <v>29</v>
      </c>
      <c r="M25" s="373">
        <f t="shared" si="18"/>
        <v>27</v>
      </c>
      <c r="N25" s="373">
        <f t="shared" si="18"/>
        <v>18</v>
      </c>
      <c r="O25" s="373">
        <f t="shared" si="18"/>
        <v>0</v>
      </c>
      <c r="P25" s="315">
        <f t="shared" si="18"/>
        <v>0</v>
      </c>
      <c r="Q25" s="373"/>
      <c r="R25" s="373"/>
      <c r="S25" s="373"/>
      <c r="T25" s="412"/>
      <c r="U25" s="412"/>
      <c r="V25" s="412"/>
      <c r="W25" s="412"/>
      <c r="X25" s="412"/>
      <c r="Y25" s="412"/>
      <c r="Z25" s="412"/>
      <c r="AA25" s="412"/>
      <c r="AB25" s="412"/>
      <c r="AC25" s="345"/>
      <c r="AD25" s="327"/>
      <c r="AE25" s="327"/>
      <c r="AF25" s="327"/>
      <c r="AG25" s="327"/>
      <c r="AH25" s="356">
        <f t="shared" ref="AH25:AH39" si="19">SUM(I25:Y25)/4</f>
        <v>201.5</v>
      </c>
      <c r="AI25" s="1313" t="s">
        <v>355</v>
      </c>
      <c r="AJ25" s="1314"/>
    </row>
    <row r="26" spans="1:38" x14ac:dyDescent="0.35">
      <c r="B26" s="378" t="s">
        <v>149</v>
      </c>
      <c r="C26" s="35"/>
      <c r="D26" s="359"/>
      <c r="E26" s="35"/>
      <c r="F26" s="35"/>
      <c r="G26" s="35"/>
      <c r="H26" s="36"/>
      <c r="I26" s="36"/>
      <c r="J26" s="320">
        <f>C46*4</f>
        <v>600</v>
      </c>
      <c r="K26" s="320"/>
      <c r="L26" s="320"/>
      <c r="M26" s="320"/>
      <c r="N26" s="320"/>
      <c r="O26" s="320"/>
      <c r="P26" s="227"/>
      <c r="Q26" s="320"/>
      <c r="R26" s="320"/>
      <c r="S26" s="320"/>
      <c r="T26" s="327"/>
      <c r="U26" s="327"/>
      <c r="V26" s="327"/>
      <c r="W26" s="327"/>
      <c r="X26" s="327"/>
      <c r="Y26" s="327"/>
      <c r="Z26" s="327"/>
      <c r="AA26" s="327"/>
      <c r="AB26" s="327"/>
      <c r="AC26" s="327"/>
      <c r="AD26" s="327"/>
      <c r="AE26" s="327"/>
      <c r="AF26" s="327"/>
      <c r="AG26" s="327"/>
      <c r="AH26" s="356">
        <f t="shared" si="19"/>
        <v>150</v>
      </c>
      <c r="AI26" s="320"/>
    </row>
    <row r="27" spans="1:38" ht="15" customHeight="1" x14ac:dyDescent="0.35">
      <c r="B27" s="378" t="s">
        <v>150</v>
      </c>
      <c r="C27" s="35"/>
      <c r="D27" s="359"/>
      <c r="E27" s="35"/>
      <c r="F27" s="35"/>
      <c r="G27" s="35"/>
      <c r="H27" s="36"/>
      <c r="I27" s="36"/>
      <c r="J27" s="320">
        <v>28.4</v>
      </c>
      <c r="K27" s="320">
        <v>15.8</v>
      </c>
      <c r="L27" s="320">
        <v>15.2</v>
      </c>
      <c r="M27" s="320">
        <v>10.9</v>
      </c>
      <c r="N27" s="320">
        <v>18</v>
      </c>
      <c r="O27" s="320"/>
      <c r="P27" s="227"/>
      <c r="Q27" s="320"/>
      <c r="R27" s="320"/>
      <c r="S27" s="320">
        <v>20</v>
      </c>
      <c r="T27" s="374">
        <v>10</v>
      </c>
      <c r="U27" s="327"/>
      <c r="V27" s="327"/>
      <c r="W27" s="327"/>
      <c r="X27" s="327"/>
      <c r="Y27" s="327"/>
      <c r="Z27" s="327"/>
      <c r="AA27" s="327"/>
      <c r="AB27" s="327"/>
      <c r="AC27" s="327"/>
      <c r="AD27" s="327"/>
      <c r="AE27" s="327"/>
      <c r="AF27" s="327"/>
      <c r="AG27" s="327"/>
      <c r="AH27" s="356">
        <f t="shared" si="19"/>
        <v>29.575000000000003</v>
      </c>
      <c r="AI27" s="320"/>
    </row>
    <row r="28" spans="1:38" x14ac:dyDescent="0.35">
      <c r="B28" s="378" t="s">
        <v>152</v>
      </c>
      <c r="C28" s="35"/>
      <c r="D28" s="359"/>
      <c r="E28" s="35"/>
      <c r="F28" s="35"/>
      <c r="G28" s="35"/>
      <c r="H28" s="36"/>
      <c r="I28" s="36"/>
      <c r="J28" s="230">
        <v>64.400000000000006</v>
      </c>
      <c r="K28" s="230">
        <v>23.4</v>
      </c>
      <c r="L28" s="230">
        <v>13.8</v>
      </c>
      <c r="M28" s="230">
        <v>16.100000000000001</v>
      </c>
      <c r="N28" s="320"/>
      <c r="O28" s="320"/>
      <c r="P28" s="227"/>
      <c r="Q28" s="320"/>
      <c r="R28" s="320"/>
      <c r="S28" s="320"/>
      <c r="T28" s="327"/>
      <c r="U28" s="327"/>
      <c r="V28" s="327"/>
      <c r="W28" s="327"/>
      <c r="X28" s="327"/>
      <c r="Y28" s="327"/>
      <c r="Z28" s="327"/>
      <c r="AA28" s="327"/>
      <c r="AB28" s="327"/>
      <c r="AC28" s="327"/>
      <c r="AD28" s="327"/>
      <c r="AE28" s="327"/>
      <c r="AF28" s="327"/>
      <c r="AG28" s="327"/>
      <c r="AH28" s="356">
        <f t="shared" si="19"/>
        <v>29.425000000000004</v>
      </c>
      <c r="AI28" s="320"/>
    </row>
    <row r="29" spans="1:38" ht="16.5" customHeight="1" x14ac:dyDescent="0.35">
      <c r="B29" s="416" t="s">
        <v>356</v>
      </c>
      <c r="C29" s="35"/>
      <c r="D29" s="359"/>
      <c r="E29" s="35"/>
      <c r="F29" s="35"/>
      <c r="G29" s="35"/>
      <c r="H29" s="36"/>
      <c r="I29" s="36"/>
      <c r="J29" s="36"/>
      <c r="K29" s="36"/>
      <c r="L29" s="36"/>
      <c r="M29" s="320">
        <f>SUM(M30:M34)</f>
        <v>43</v>
      </c>
      <c r="N29" s="320">
        <f t="shared" ref="N29:AD29" si="20">SUM(N30:N34)</f>
        <v>70</v>
      </c>
      <c r="O29" s="320">
        <f t="shared" si="20"/>
        <v>59.999999999999964</v>
      </c>
      <c r="P29" s="227">
        <f t="shared" si="20"/>
        <v>50</v>
      </c>
      <c r="Q29" s="320">
        <f t="shared" si="20"/>
        <v>44.999999999999964</v>
      </c>
      <c r="R29" s="320">
        <f t="shared" si="20"/>
        <v>44.999999999999964</v>
      </c>
      <c r="S29" s="320">
        <f t="shared" si="20"/>
        <v>44.999999999999964</v>
      </c>
      <c r="T29" s="327">
        <f t="shared" si="20"/>
        <v>44.999999999999964</v>
      </c>
      <c r="U29" s="327">
        <f t="shared" si="20"/>
        <v>44.999999999999964</v>
      </c>
      <c r="V29" s="327">
        <f t="shared" si="20"/>
        <v>44.999999999999964</v>
      </c>
      <c r="W29" s="327">
        <f t="shared" si="20"/>
        <v>44.999999999999964</v>
      </c>
      <c r="X29" s="327">
        <f>SUM(X30:X34)</f>
        <v>44.999999999999964</v>
      </c>
      <c r="Y29" s="327">
        <f t="shared" si="20"/>
        <v>19</v>
      </c>
      <c r="Z29" s="327">
        <f t="shared" si="20"/>
        <v>0</v>
      </c>
      <c r="AA29" s="327">
        <f t="shared" si="20"/>
        <v>0</v>
      </c>
      <c r="AB29" s="327">
        <f t="shared" si="20"/>
        <v>0</v>
      </c>
      <c r="AC29" s="327">
        <f t="shared" si="20"/>
        <v>0</v>
      </c>
      <c r="AD29" s="327">
        <f t="shared" si="20"/>
        <v>0</v>
      </c>
      <c r="AE29" s="327"/>
      <c r="AF29" s="327"/>
      <c r="AG29" s="327"/>
      <c r="AH29" s="356">
        <f t="shared" si="19"/>
        <v>150.49999999999991</v>
      </c>
      <c r="AI29" s="1313" t="s">
        <v>357</v>
      </c>
      <c r="AJ29" s="1314"/>
    </row>
    <row r="30" spans="1:38" x14ac:dyDescent="0.35">
      <c r="B30" s="378" t="s">
        <v>343</v>
      </c>
      <c r="C30" s="35"/>
      <c r="D30" s="359"/>
      <c r="E30" s="35"/>
      <c r="F30" s="35"/>
      <c r="G30" s="35"/>
      <c r="H30" s="36"/>
      <c r="I30" s="36"/>
      <c r="J30" s="36"/>
      <c r="K30" s="36"/>
      <c r="L30" s="36"/>
      <c r="M30" s="320">
        <f>C49/12*4</f>
        <v>9.6666666666666661</v>
      </c>
      <c r="N30" s="320">
        <f>M30</f>
        <v>9.6666666666666661</v>
      </c>
      <c r="O30" s="320">
        <f t="shared" ref="O30:X30" si="21">N30</f>
        <v>9.6666666666666661</v>
      </c>
      <c r="P30" s="227">
        <f t="shared" si="21"/>
        <v>9.6666666666666661</v>
      </c>
      <c r="Q30" s="320">
        <f t="shared" si="21"/>
        <v>9.6666666666666661</v>
      </c>
      <c r="R30" s="320">
        <f t="shared" si="21"/>
        <v>9.6666666666666661</v>
      </c>
      <c r="S30" s="320">
        <f t="shared" si="21"/>
        <v>9.6666666666666661</v>
      </c>
      <c r="T30" s="327">
        <f t="shared" si="21"/>
        <v>9.6666666666666661</v>
      </c>
      <c r="U30" s="327">
        <f t="shared" si="21"/>
        <v>9.6666666666666661</v>
      </c>
      <c r="V30" s="327">
        <f t="shared" si="21"/>
        <v>9.6666666666666661</v>
      </c>
      <c r="W30" s="327">
        <f t="shared" si="21"/>
        <v>9.6666666666666661</v>
      </c>
      <c r="X30" s="327">
        <f t="shared" si="21"/>
        <v>9.6666666666666661</v>
      </c>
      <c r="Y30" s="334"/>
      <c r="Z30" s="334"/>
      <c r="AA30" s="334"/>
      <c r="AB30" s="334"/>
      <c r="AC30" s="334"/>
      <c r="AD30" s="334"/>
      <c r="AE30" s="334"/>
      <c r="AF30" s="334"/>
      <c r="AG30" s="334"/>
      <c r="AH30" s="356">
        <f t="shared" si="19"/>
        <v>29.000000000000004</v>
      </c>
      <c r="AI30" s="1313"/>
      <c r="AJ30" s="1314"/>
    </row>
    <row r="31" spans="1:38" ht="41.9" customHeight="1" x14ac:dyDescent="0.35">
      <c r="B31" s="378" t="s">
        <v>150</v>
      </c>
      <c r="C31" s="35"/>
      <c r="D31" s="359"/>
      <c r="E31" s="35"/>
      <c r="F31" s="35"/>
      <c r="G31" s="35"/>
      <c r="H31" s="36"/>
      <c r="I31" s="36"/>
      <c r="J31" s="36"/>
      <c r="K31" s="36"/>
      <c r="L31" s="36"/>
      <c r="M31" s="401">
        <f>C60/12*4 - 7</f>
        <v>20.333333333333332</v>
      </c>
      <c r="N31" s="401">
        <f>C60/12*4 + 20</f>
        <v>47.333333333333329</v>
      </c>
      <c r="O31" s="401">
        <v>37.3333333333333</v>
      </c>
      <c r="P31" s="316">
        <v>27.333333333333332</v>
      </c>
      <c r="Q31" s="401">
        <v>22.3333333333333</v>
      </c>
      <c r="R31" s="401">
        <v>22.3333333333333</v>
      </c>
      <c r="S31" s="401">
        <v>22.3333333333333</v>
      </c>
      <c r="T31" s="346">
        <v>22.3333333333333</v>
      </c>
      <c r="U31" s="346">
        <v>22.3333333333333</v>
      </c>
      <c r="V31" s="346">
        <v>22.3333333333333</v>
      </c>
      <c r="W31" s="346">
        <v>22.3333333333333</v>
      </c>
      <c r="X31" s="346">
        <v>22.3333333333333</v>
      </c>
      <c r="Y31" s="346">
        <v>19</v>
      </c>
      <c r="Z31" s="346"/>
      <c r="AA31" s="346"/>
      <c r="AB31" s="346"/>
      <c r="AC31" s="346"/>
      <c r="AD31" s="346"/>
      <c r="AE31" s="346"/>
      <c r="AF31" s="346"/>
      <c r="AG31" s="346"/>
      <c r="AH31" s="356">
        <f t="shared" si="19"/>
        <v>82.499999999999943</v>
      </c>
      <c r="AI31" s="423" t="s">
        <v>358</v>
      </c>
    </row>
    <row r="32" spans="1:38" x14ac:dyDescent="0.35">
      <c r="B32" s="378" t="s">
        <v>152</v>
      </c>
      <c r="C32" s="35"/>
      <c r="D32" s="359"/>
      <c r="E32" s="35"/>
      <c r="F32" s="35"/>
      <c r="G32" s="35"/>
      <c r="H32" s="36"/>
      <c r="I32" s="36"/>
      <c r="J32" s="36"/>
      <c r="K32" s="36"/>
      <c r="L32" s="36"/>
      <c r="M32" s="320">
        <f>C61/12*4</f>
        <v>1</v>
      </c>
      <c r="N32" s="320">
        <f>C61/12*4</f>
        <v>1</v>
      </c>
      <c r="O32" s="320">
        <f t="shared" ref="O32:X32" si="22">$C$61/12*4</f>
        <v>1</v>
      </c>
      <c r="P32" s="227">
        <f t="shared" si="22"/>
        <v>1</v>
      </c>
      <c r="Q32" s="320">
        <f t="shared" si="22"/>
        <v>1</v>
      </c>
      <c r="R32" s="320">
        <f t="shared" si="22"/>
        <v>1</v>
      </c>
      <c r="S32" s="320">
        <f t="shared" si="22"/>
        <v>1</v>
      </c>
      <c r="T32" s="327">
        <f t="shared" si="22"/>
        <v>1</v>
      </c>
      <c r="U32" s="327">
        <f t="shared" si="22"/>
        <v>1</v>
      </c>
      <c r="V32" s="327">
        <f t="shared" si="22"/>
        <v>1</v>
      </c>
      <c r="W32" s="327">
        <f t="shared" si="22"/>
        <v>1</v>
      </c>
      <c r="X32" s="327">
        <f t="shared" si="22"/>
        <v>1</v>
      </c>
      <c r="Y32" s="334"/>
      <c r="Z32" s="334"/>
      <c r="AA32" s="334"/>
      <c r="AB32" s="334"/>
      <c r="AC32" s="334"/>
      <c r="AD32" s="334"/>
      <c r="AE32" s="334"/>
      <c r="AF32" s="334"/>
      <c r="AG32" s="334"/>
      <c r="AH32" s="356">
        <f t="shared" si="19"/>
        <v>3</v>
      </c>
      <c r="AI32" s="36"/>
    </row>
    <row r="33" spans="1:92" ht="13.4" customHeight="1" x14ac:dyDescent="0.35">
      <c r="B33" s="378" t="s">
        <v>359</v>
      </c>
      <c r="C33" s="35"/>
      <c r="D33" s="359"/>
      <c r="E33" s="35"/>
      <c r="F33" s="35"/>
      <c r="G33" s="35"/>
      <c r="H33" s="36"/>
      <c r="I33" s="36"/>
      <c r="J33" s="36"/>
      <c r="K33" s="36"/>
      <c r="L33" s="36"/>
      <c r="M33" s="320">
        <f t="shared" ref="M33:X33" si="23">$C$62/12*4</f>
        <v>11.333333333333334</v>
      </c>
      <c r="N33" s="320">
        <f t="shared" si="23"/>
        <v>11.333333333333334</v>
      </c>
      <c r="O33" s="320">
        <f t="shared" si="23"/>
        <v>11.333333333333334</v>
      </c>
      <c r="P33" s="227">
        <f t="shared" si="23"/>
        <v>11.333333333333334</v>
      </c>
      <c r="Q33" s="320">
        <f t="shared" si="23"/>
        <v>11.333333333333334</v>
      </c>
      <c r="R33" s="320">
        <f t="shared" si="23"/>
        <v>11.333333333333334</v>
      </c>
      <c r="S33" s="320">
        <f t="shared" si="23"/>
        <v>11.333333333333334</v>
      </c>
      <c r="T33" s="327">
        <f t="shared" si="23"/>
        <v>11.333333333333334</v>
      </c>
      <c r="U33" s="327">
        <f t="shared" si="23"/>
        <v>11.333333333333334</v>
      </c>
      <c r="V33" s="327">
        <f t="shared" si="23"/>
        <v>11.333333333333334</v>
      </c>
      <c r="W33" s="327">
        <f t="shared" si="23"/>
        <v>11.333333333333334</v>
      </c>
      <c r="X33" s="327">
        <f t="shared" si="23"/>
        <v>11.333333333333334</v>
      </c>
      <c r="Y33" s="334"/>
      <c r="Z33" s="334"/>
      <c r="AA33" s="334"/>
      <c r="AB33" s="334"/>
      <c r="AC33" s="334"/>
      <c r="AD33" s="334"/>
      <c r="AE33" s="334"/>
      <c r="AF33" s="334"/>
      <c r="AG33" s="334"/>
      <c r="AH33" s="356">
        <f t="shared" si="19"/>
        <v>33.999999999999993</v>
      </c>
      <c r="AI33" s="36"/>
    </row>
    <row r="34" spans="1:92" ht="29.25" customHeight="1" x14ac:dyDescent="0.35">
      <c r="B34" s="378" t="s">
        <v>360</v>
      </c>
      <c r="C34" s="35"/>
      <c r="D34" s="359"/>
      <c r="E34" s="35"/>
      <c r="F34" s="35"/>
      <c r="G34" s="35"/>
      <c r="H34" s="36"/>
      <c r="I34" s="36"/>
      <c r="J34" s="36"/>
      <c r="K34" s="36"/>
      <c r="L34" s="36"/>
      <c r="M34" s="320">
        <f t="shared" ref="M34:X34" si="24">$C$63/12*4</f>
        <v>0.66666666666666663</v>
      </c>
      <c r="N34" s="320">
        <f t="shared" si="24"/>
        <v>0.66666666666666663</v>
      </c>
      <c r="O34" s="320">
        <f t="shared" si="24"/>
        <v>0.66666666666666663</v>
      </c>
      <c r="P34" s="227">
        <f t="shared" si="24"/>
        <v>0.66666666666666663</v>
      </c>
      <c r="Q34" s="320">
        <f t="shared" si="24"/>
        <v>0.66666666666666663</v>
      </c>
      <c r="R34" s="320">
        <f t="shared" si="24"/>
        <v>0.66666666666666663</v>
      </c>
      <c r="S34" s="320">
        <f t="shared" si="24"/>
        <v>0.66666666666666663</v>
      </c>
      <c r="T34" s="327">
        <f t="shared" si="24"/>
        <v>0.66666666666666663</v>
      </c>
      <c r="U34" s="327">
        <f t="shared" si="24"/>
        <v>0.66666666666666663</v>
      </c>
      <c r="V34" s="327">
        <f t="shared" si="24"/>
        <v>0.66666666666666663</v>
      </c>
      <c r="W34" s="327">
        <f t="shared" si="24"/>
        <v>0.66666666666666663</v>
      </c>
      <c r="X34" s="327">
        <f t="shared" si="24"/>
        <v>0.66666666666666663</v>
      </c>
      <c r="Y34" s="334"/>
      <c r="Z34" s="334"/>
      <c r="AA34" s="334"/>
      <c r="AB34" s="334"/>
      <c r="AC34" s="334"/>
      <c r="AD34" s="334"/>
      <c r="AE34" s="334"/>
      <c r="AF34" s="334"/>
      <c r="AG34" s="334"/>
      <c r="AH34" s="356">
        <f t="shared" si="19"/>
        <v>2</v>
      </c>
      <c r="AI34" s="36"/>
    </row>
    <row r="35" spans="1:92" ht="44.25" customHeight="1" x14ac:dyDescent="0.35">
      <c r="B35" s="416" t="s">
        <v>361</v>
      </c>
      <c r="C35" s="35"/>
      <c r="D35" s="359"/>
      <c r="E35" s="35"/>
      <c r="F35" s="35"/>
      <c r="G35" s="35"/>
      <c r="H35" s="36"/>
      <c r="I35" s="36"/>
      <c r="J35" s="36"/>
      <c r="K35" s="36"/>
      <c r="L35" s="36"/>
      <c r="M35" s="320"/>
      <c r="N35" s="320">
        <f t="shared" ref="N35:AD35" si="25">SUM(N36:N40)</f>
        <v>954.03959999999972</v>
      </c>
      <c r="O35" s="320">
        <f t="shared" si="25"/>
        <v>85.500399999999999</v>
      </c>
      <c r="P35" s="227">
        <f t="shared" si="25"/>
        <v>83.481000000000009</v>
      </c>
      <c r="Q35" s="320">
        <f t="shared" si="25"/>
        <v>662.76099999999997</v>
      </c>
      <c r="R35" s="320">
        <f t="shared" si="25"/>
        <v>83.481000000000009</v>
      </c>
      <c r="S35" s="320">
        <f t="shared" si="25"/>
        <v>83.481000000000009</v>
      </c>
      <c r="T35" s="327">
        <f t="shared" si="25"/>
        <v>62.811999999999998</v>
      </c>
      <c r="U35" s="327">
        <f t="shared" si="25"/>
        <v>62.811999999999998</v>
      </c>
      <c r="V35" s="327">
        <f t="shared" si="25"/>
        <v>62.811999999999998</v>
      </c>
      <c r="W35" s="327">
        <f t="shared" si="25"/>
        <v>62.811999999999998</v>
      </c>
      <c r="X35" s="327">
        <f t="shared" si="25"/>
        <v>41.554000000000002</v>
      </c>
      <c r="Y35" s="327">
        <f t="shared" si="25"/>
        <v>41.554000000000002</v>
      </c>
      <c r="Z35" s="327">
        <f t="shared" si="25"/>
        <v>41.554000000000002</v>
      </c>
      <c r="AA35" s="327">
        <f t="shared" si="25"/>
        <v>41.554000000000002</v>
      </c>
      <c r="AB35" s="327">
        <f t="shared" si="25"/>
        <v>27.678000000000001</v>
      </c>
      <c r="AC35" s="327">
        <f t="shared" si="25"/>
        <v>27.678000000000001</v>
      </c>
      <c r="AD35" s="327">
        <f t="shared" si="25"/>
        <v>27.678000000000001</v>
      </c>
      <c r="AE35" s="327"/>
      <c r="AF35" s="327"/>
      <c r="AG35" s="327"/>
      <c r="AH35" s="356">
        <f t="shared" si="19"/>
        <v>571.77499999999986</v>
      </c>
      <c r="AI35" s="1313" t="s">
        <v>362</v>
      </c>
      <c r="AJ35" s="1314"/>
    </row>
    <row r="36" spans="1:92" ht="17.899999999999999" customHeight="1" x14ac:dyDescent="0.35">
      <c r="B36" s="378" t="s">
        <v>348</v>
      </c>
      <c r="C36" s="35"/>
      <c r="D36" s="359"/>
      <c r="E36" s="35"/>
      <c r="F36" s="35"/>
      <c r="G36" s="35"/>
      <c r="H36" s="36"/>
      <c r="I36" s="36"/>
      <c r="J36" s="36"/>
      <c r="K36" s="36"/>
      <c r="L36" s="36"/>
      <c r="M36" s="320"/>
      <c r="N36" s="320">
        <f>0.6*C65*4</f>
        <v>868.91999999999985</v>
      </c>
      <c r="O36" s="320"/>
      <c r="P36" s="227"/>
      <c r="Q36" s="320">
        <f>0.4*C65*4</f>
        <v>579.28</v>
      </c>
      <c r="R36" s="320"/>
      <c r="S36" s="320"/>
      <c r="T36" s="327"/>
      <c r="U36" s="327"/>
      <c r="V36" s="327"/>
      <c r="W36" s="327"/>
      <c r="X36" s="327"/>
      <c r="Y36" s="327"/>
      <c r="Z36" s="327"/>
      <c r="AA36" s="327"/>
      <c r="AB36" s="327"/>
      <c r="AC36" s="327"/>
      <c r="AD36" s="327"/>
      <c r="AE36" s="327"/>
      <c r="AF36" s="327"/>
      <c r="AG36" s="327"/>
      <c r="AH36" s="356">
        <f t="shared" si="19"/>
        <v>362.04999999999995</v>
      </c>
      <c r="AI36" s="397" t="s">
        <v>363</v>
      </c>
      <c r="AJ36" s="397"/>
    </row>
    <row r="37" spans="1:92" x14ac:dyDescent="0.35">
      <c r="B37" s="378" t="s">
        <v>150</v>
      </c>
      <c r="C37" s="35"/>
      <c r="D37" s="359"/>
      <c r="E37" s="35"/>
      <c r="F37" s="35"/>
      <c r="G37" s="35"/>
      <c r="H37" s="36"/>
      <c r="I37" s="36"/>
      <c r="J37" s="36"/>
      <c r="K37" s="36"/>
      <c r="L37" s="36"/>
      <c r="M37" s="320"/>
      <c r="N37" s="320">
        <f>'ARP Quarterly'!D9</f>
        <v>24.693999999999999</v>
      </c>
      <c r="O37" s="320">
        <f>'ARP Quarterly'!E9</f>
        <v>24.693999999999999</v>
      </c>
      <c r="P37" s="227">
        <f>'ARP Quarterly'!F9</f>
        <v>46.79</v>
      </c>
      <c r="Q37" s="320">
        <f>'ARP Quarterly'!G9</f>
        <v>46.79</v>
      </c>
      <c r="R37" s="320">
        <f>'ARP Quarterly'!H9</f>
        <v>46.79</v>
      </c>
      <c r="S37" s="320">
        <f>'ARP Quarterly'!I9</f>
        <v>46.79</v>
      </c>
      <c r="T37" s="327">
        <f>'ARP Quarterly'!J9</f>
        <v>38.595999999999997</v>
      </c>
      <c r="U37" s="327">
        <f>'ARP Quarterly'!K9</f>
        <v>38.595999999999997</v>
      </c>
      <c r="V37" s="327">
        <f>'ARP Quarterly'!L9</f>
        <v>38.595999999999997</v>
      </c>
      <c r="W37" s="327">
        <f>'ARP Quarterly'!M9</f>
        <v>38.595999999999997</v>
      </c>
      <c r="X37" s="327">
        <f>'ARP Quarterly'!N9</f>
        <v>31.911000000000001</v>
      </c>
      <c r="Y37" s="327">
        <f>'ARP Quarterly'!O9</f>
        <v>31.911000000000001</v>
      </c>
      <c r="Z37" s="327">
        <f>'ARP Quarterly'!P9</f>
        <v>31.911000000000001</v>
      </c>
      <c r="AA37" s="327">
        <f>'ARP Quarterly'!Q9</f>
        <v>31.911000000000001</v>
      </c>
      <c r="AB37" s="327">
        <f>'ARP Quarterly'!R9</f>
        <v>23.099</v>
      </c>
      <c r="AC37" s="327">
        <f>'ARP Quarterly'!S9</f>
        <v>23.099</v>
      </c>
      <c r="AD37" s="327">
        <f>'ARP Quarterly'!T9</f>
        <v>23.099</v>
      </c>
      <c r="AE37" s="327"/>
      <c r="AF37" s="327"/>
      <c r="AG37" s="327"/>
      <c r="AH37" s="356">
        <f t="shared" si="19"/>
        <v>113.68849999999999</v>
      </c>
      <c r="AI37" s="320"/>
    </row>
    <row r="38" spans="1:92" x14ac:dyDescent="0.35">
      <c r="B38" s="378" t="s">
        <v>152</v>
      </c>
      <c r="C38" s="35"/>
      <c r="D38" s="359"/>
      <c r="E38" s="35"/>
      <c r="F38" s="35"/>
      <c r="G38" s="35"/>
      <c r="H38" s="36"/>
      <c r="I38" s="36"/>
      <c r="J38" s="36"/>
      <c r="K38" s="36"/>
      <c r="L38" s="36"/>
      <c r="M38" s="320"/>
      <c r="N38" s="320">
        <f>'ARP Quarterly'!D14</f>
        <v>1.1696</v>
      </c>
      <c r="O38" s="320">
        <f>'ARP Quarterly'!E14</f>
        <v>1.5503999999999998</v>
      </c>
      <c r="P38" s="227">
        <f>'ARP Quarterly'!F14</f>
        <v>1.02</v>
      </c>
      <c r="Q38" s="320">
        <f>'ARP Quarterly'!G14</f>
        <v>1.02</v>
      </c>
      <c r="R38" s="320">
        <f>'ARP Quarterly'!H14</f>
        <v>1.02</v>
      </c>
      <c r="S38" s="320">
        <f>'ARP Quarterly'!I14</f>
        <v>1.02</v>
      </c>
      <c r="T38" s="327">
        <f>'ARP Quarterly'!J14</f>
        <v>0</v>
      </c>
      <c r="U38" s="327">
        <f>'ARP Quarterly'!K14</f>
        <v>0</v>
      </c>
      <c r="V38" s="327">
        <f>'ARP Quarterly'!L14</f>
        <v>0</v>
      </c>
      <c r="W38" s="327">
        <f>'ARP Quarterly'!M14</f>
        <v>0</v>
      </c>
      <c r="X38" s="327">
        <f>'ARP Quarterly'!N14</f>
        <v>0</v>
      </c>
      <c r="Y38" s="327">
        <f>'ARP Quarterly'!O14</f>
        <v>0</v>
      </c>
      <c r="Z38" s="327">
        <f>'ARP Quarterly'!P14</f>
        <v>0</v>
      </c>
      <c r="AA38" s="327">
        <f>'ARP Quarterly'!Q14</f>
        <v>0</v>
      </c>
      <c r="AB38" s="327">
        <f>'ARP Quarterly'!R14</f>
        <v>0</v>
      </c>
      <c r="AC38" s="327">
        <f>'ARP Quarterly'!S14</f>
        <v>0</v>
      </c>
      <c r="AD38" s="327">
        <f>'ARP Quarterly'!T14</f>
        <v>0</v>
      </c>
      <c r="AE38" s="327"/>
      <c r="AF38" s="327"/>
      <c r="AG38" s="327"/>
      <c r="AH38" s="356">
        <f t="shared" si="19"/>
        <v>1.6999999999999997</v>
      </c>
      <c r="AI38" s="320"/>
    </row>
    <row r="39" spans="1:92" x14ac:dyDescent="0.35">
      <c r="B39" s="378" t="s">
        <v>364</v>
      </c>
      <c r="C39" s="35"/>
      <c r="D39" s="359"/>
      <c r="E39" s="35"/>
      <c r="F39" s="35"/>
      <c r="G39" s="35"/>
      <c r="H39" s="36"/>
      <c r="I39" s="36"/>
      <c r="J39" s="36"/>
      <c r="K39" s="36"/>
      <c r="L39" s="36"/>
      <c r="M39" s="320"/>
      <c r="N39" s="320">
        <f>'ARP Quarterly'!D10</f>
        <v>59.256</v>
      </c>
      <c r="O39" s="320">
        <f>'ARP Quarterly'!E10</f>
        <v>59.256</v>
      </c>
      <c r="P39" s="227">
        <f>'ARP Quarterly'!F10</f>
        <v>35.671000000000006</v>
      </c>
      <c r="Q39" s="320">
        <f>'ARP Quarterly'!G10</f>
        <v>35.671000000000006</v>
      </c>
      <c r="R39" s="320">
        <f>'ARP Quarterly'!H10</f>
        <v>35.671000000000006</v>
      </c>
      <c r="S39" s="320">
        <f>'ARP Quarterly'!I10</f>
        <v>35.671000000000006</v>
      </c>
      <c r="T39" s="327">
        <f>'ARP Quarterly'!J10</f>
        <v>24.216000000000001</v>
      </c>
      <c r="U39" s="327">
        <f>'ARP Quarterly'!K10</f>
        <v>24.216000000000001</v>
      </c>
      <c r="V39" s="327">
        <f>'ARP Quarterly'!L10</f>
        <v>24.216000000000001</v>
      </c>
      <c r="W39" s="327">
        <f>'ARP Quarterly'!M10</f>
        <v>24.216000000000001</v>
      </c>
      <c r="X39" s="327">
        <f>'ARP Quarterly'!N10</f>
        <v>9.6430000000000007</v>
      </c>
      <c r="Y39" s="327">
        <f>'ARP Quarterly'!O10</f>
        <v>9.6430000000000007</v>
      </c>
      <c r="Z39" s="327">
        <f>'ARP Quarterly'!P10</f>
        <v>9.6430000000000007</v>
      </c>
      <c r="AA39" s="327">
        <f>'ARP Quarterly'!Q10</f>
        <v>9.6430000000000007</v>
      </c>
      <c r="AB39" s="327">
        <f>'ARP Quarterly'!R10</f>
        <v>4.5789999999999997</v>
      </c>
      <c r="AC39" s="327">
        <f>'ARP Quarterly'!S10</f>
        <v>4.5789999999999997</v>
      </c>
      <c r="AD39" s="327">
        <f>'ARP Quarterly'!T10</f>
        <v>4.5789999999999997</v>
      </c>
      <c r="AE39" s="327"/>
      <c r="AF39" s="327"/>
      <c r="AG39" s="327"/>
      <c r="AH39" s="356">
        <f t="shared" si="19"/>
        <v>94.336500000000001</v>
      </c>
      <c r="AI39" s="320"/>
    </row>
    <row r="40" spans="1:92" x14ac:dyDescent="0.35">
      <c r="A40" s="8"/>
      <c r="B40" s="392"/>
      <c r="C40" s="389"/>
      <c r="D40" s="387"/>
      <c r="E40" s="389"/>
      <c r="F40" s="389"/>
      <c r="G40" s="389"/>
      <c r="H40" s="394"/>
      <c r="I40" s="394"/>
      <c r="J40" s="394"/>
      <c r="K40" s="394"/>
      <c r="L40" s="394"/>
      <c r="M40" s="321"/>
      <c r="N40" s="321"/>
      <c r="O40" s="321"/>
      <c r="P40" s="317"/>
      <c r="Q40" s="321"/>
      <c r="R40" s="321"/>
      <c r="S40" s="321"/>
      <c r="T40" s="398"/>
      <c r="U40" s="398"/>
      <c r="V40" s="398"/>
      <c r="W40" s="398"/>
      <c r="X40" s="398"/>
      <c r="Y40" s="398"/>
      <c r="Z40" s="398"/>
      <c r="AA40" s="398"/>
      <c r="AB40" s="398"/>
      <c r="AC40" s="398"/>
      <c r="AD40" s="327"/>
      <c r="AE40" s="327"/>
      <c r="AF40" s="327"/>
      <c r="AG40" s="327"/>
      <c r="AH40" s="410"/>
      <c r="AI40" s="320"/>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row>
    <row r="41" spans="1:92" x14ac:dyDescent="0.35">
      <c r="B41" s="342"/>
      <c r="C41" s="35"/>
      <c r="D41" s="35"/>
      <c r="E41" s="35"/>
      <c r="F41" s="35"/>
      <c r="G41" s="35"/>
      <c r="H41" s="35"/>
      <c r="I41" s="35"/>
      <c r="J41" s="35"/>
      <c r="K41" s="35"/>
      <c r="L41" s="35"/>
      <c r="M41" s="35"/>
      <c r="N41" s="35"/>
      <c r="O41" s="35"/>
      <c r="P41" s="380"/>
      <c r="Q41" s="35"/>
      <c r="R41" s="35"/>
      <c r="S41" s="35"/>
      <c r="T41" s="35"/>
      <c r="U41" s="35"/>
      <c r="V41" s="35"/>
      <c r="W41" s="35"/>
      <c r="X41" s="35"/>
      <c r="Y41" s="35"/>
      <c r="Z41" s="35"/>
      <c r="AA41" s="35"/>
      <c r="AB41" s="35"/>
      <c r="AC41" s="35"/>
      <c r="AD41" s="35"/>
      <c r="AE41" s="35"/>
      <c r="AF41" s="35"/>
      <c r="AG41" s="35"/>
      <c r="AH41" s="35"/>
      <c r="AI41" s="35"/>
    </row>
    <row r="42" spans="1:92" x14ac:dyDescent="0.35">
      <c r="B42" s="342"/>
      <c r="C42" s="35"/>
      <c r="D42" s="35"/>
      <c r="E42" s="35"/>
      <c r="F42" s="35"/>
      <c r="G42" s="35"/>
      <c r="H42" s="35"/>
      <c r="I42" s="35"/>
      <c r="J42" s="35"/>
      <c r="K42" s="35"/>
      <c r="L42" s="35"/>
      <c r="M42" s="35"/>
      <c r="N42" s="35"/>
      <c r="O42" s="35"/>
      <c r="P42" s="380"/>
      <c r="Q42" s="35"/>
      <c r="R42" s="35"/>
      <c r="S42" s="35"/>
      <c r="T42" s="35"/>
      <c r="U42" s="35"/>
      <c r="V42" s="35"/>
      <c r="W42" s="35"/>
      <c r="X42" s="35"/>
      <c r="Y42" s="35"/>
      <c r="Z42" s="35"/>
      <c r="AA42" s="35"/>
      <c r="AB42" s="35"/>
      <c r="AC42" s="35"/>
      <c r="AD42" s="35"/>
      <c r="AE42" s="35"/>
      <c r="AF42" s="35"/>
      <c r="AG42" s="35"/>
      <c r="AH42" s="35"/>
      <c r="AI42" s="35"/>
    </row>
    <row r="43" spans="1:92" ht="17.899999999999999" customHeight="1" x14ac:dyDescent="0.35">
      <c r="B43" s="399" t="s">
        <v>365</v>
      </c>
      <c r="H43" s="36"/>
      <c r="I43" s="36"/>
      <c r="J43" s="36"/>
      <c r="K43" s="36"/>
      <c r="L43" s="36"/>
      <c r="M43" s="36"/>
      <c r="N43" s="36"/>
      <c r="O43" s="36"/>
      <c r="P43" s="231"/>
      <c r="Q43" s="36"/>
      <c r="R43" s="36"/>
      <c r="S43" s="36"/>
      <c r="T43" s="36"/>
      <c r="U43" s="36"/>
      <c r="V43" s="36"/>
      <c r="W43" s="36"/>
      <c r="X43" s="36"/>
      <c r="Y43" s="36"/>
      <c r="Z43" s="36"/>
      <c r="AA43" s="36"/>
      <c r="AB43" s="36"/>
      <c r="AC43" s="36"/>
      <c r="AD43" s="36"/>
      <c r="AE43" s="36"/>
      <c r="AF43" s="36"/>
      <c r="AG43" s="36"/>
      <c r="AH43" s="36"/>
      <c r="AI43" s="36"/>
    </row>
    <row r="44" spans="1:92" ht="29.9" customHeight="1" x14ac:dyDescent="0.35">
      <c r="B44" s="420" t="s">
        <v>366</v>
      </c>
      <c r="C44" s="421" t="s">
        <v>367</v>
      </c>
      <c r="D44" s="422" t="s">
        <v>368</v>
      </c>
      <c r="E44" s="405" t="s">
        <v>369</v>
      </c>
      <c r="F44" s="36"/>
      <c r="G44" s="36"/>
      <c r="H44" s="36"/>
      <c r="I44" s="36"/>
      <c r="J44" s="36"/>
      <c r="K44" s="36"/>
      <c r="L44" s="36"/>
      <c r="M44" s="36"/>
      <c r="N44" s="36"/>
      <c r="O44" s="36"/>
      <c r="P44" s="231"/>
      <c r="Q44" s="36"/>
      <c r="R44" s="36"/>
      <c r="S44" s="36"/>
      <c r="T44" s="36"/>
      <c r="U44" s="36"/>
      <c r="V44" s="36"/>
      <c r="W44" s="36"/>
    </row>
    <row r="45" spans="1:92" ht="18.75" customHeight="1" x14ac:dyDescent="0.35">
      <c r="B45" s="426" t="s">
        <v>370</v>
      </c>
      <c r="C45" s="395">
        <f>SUM(C46:C51)</f>
        <v>898.11599999999999</v>
      </c>
      <c r="D45" s="36">
        <f>SUM(D46:D50)</f>
        <v>202.36666666666667</v>
      </c>
      <c r="E45" s="364">
        <f>SUM(E46:E50)</f>
        <v>650.35233333333326</v>
      </c>
      <c r="F45" s="36"/>
      <c r="G45" s="36"/>
      <c r="H45" s="36"/>
      <c r="I45" s="36"/>
      <c r="J45" s="36"/>
      <c r="K45" s="36"/>
      <c r="L45" s="36"/>
      <c r="M45" s="36"/>
      <c r="N45" s="36"/>
      <c r="O45" s="36"/>
      <c r="P45" s="231"/>
      <c r="Q45" s="36"/>
      <c r="R45" s="36"/>
      <c r="S45" s="36"/>
      <c r="T45" s="36"/>
      <c r="U45" s="36"/>
      <c r="V45" s="36"/>
      <c r="W45" s="36"/>
    </row>
    <row r="46" spans="1:92" x14ac:dyDescent="0.35">
      <c r="B46" s="425" t="s">
        <v>149</v>
      </c>
      <c r="C46" s="395">
        <f>C55</f>
        <v>150</v>
      </c>
      <c r="D46" s="36">
        <f>SUM(H12:M12)/4</f>
        <v>149.47499999999999</v>
      </c>
      <c r="E46" s="356">
        <f>C46-D46</f>
        <v>0.52500000000000568</v>
      </c>
      <c r="F46" s="36"/>
      <c r="G46" s="36"/>
      <c r="H46" s="36"/>
      <c r="I46" s="385"/>
      <c r="J46" s="385"/>
      <c r="K46" s="385"/>
      <c r="L46" s="385"/>
      <c r="M46" s="385"/>
      <c r="N46" s="385"/>
      <c r="O46" s="385"/>
      <c r="P46" s="435"/>
      <c r="Q46" s="36"/>
      <c r="R46" s="36"/>
      <c r="S46" s="36"/>
      <c r="T46" s="36"/>
      <c r="U46" s="36"/>
      <c r="V46" s="36"/>
      <c r="W46" s="36"/>
    </row>
    <row r="47" spans="1:92" x14ac:dyDescent="0.35">
      <c r="B47" s="425" t="s">
        <v>150</v>
      </c>
      <c r="C47" s="428">
        <f>C56+C60+C66</f>
        <v>273.16899999999998</v>
      </c>
      <c r="D47" s="36">
        <f>SUM(H13:M13)/4</f>
        <v>22.075000000000003</v>
      </c>
      <c r="E47" s="356">
        <f>C47-D47</f>
        <v>251.09399999999999</v>
      </c>
      <c r="F47" s="36"/>
      <c r="G47" s="36"/>
      <c r="H47" s="36"/>
      <c r="I47" s="385"/>
      <c r="J47" s="385"/>
      <c r="K47" s="385"/>
      <c r="L47" s="385"/>
      <c r="M47" s="385"/>
      <c r="N47" s="385"/>
      <c r="O47" s="385"/>
      <c r="P47" s="435"/>
      <c r="Q47" s="36"/>
      <c r="R47" s="36"/>
      <c r="S47" s="36"/>
      <c r="T47" s="36"/>
      <c r="U47" s="36"/>
      <c r="V47" s="36"/>
      <c r="W47" s="36"/>
    </row>
    <row r="48" spans="1:92" x14ac:dyDescent="0.35">
      <c r="B48" s="425" t="s">
        <v>152</v>
      </c>
      <c r="C48" s="274">
        <f>C57+C67+C61</f>
        <v>38.5</v>
      </c>
      <c r="D48" s="36">
        <f>SUM(H14:M14)/4</f>
        <v>28.400000000000002</v>
      </c>
      <c r="E48" s="356">
        <f>C48-D48</f>
        <v>10.099999999999998</v>
      </c>
      <c r="F48" s="36"/>
      <c r="G48" s="36"/>
      <c r="H48" s="36"/>
      <c r="I48" s="385"/>
      <c r="J48" s="385"/>
      <c r="K48" s="385"/>
      <c r="L48" s="385"/>
      <c r="M48" s="385"/>
      <c r="N48" s="385"/>
      <c r="O48" s="385"/>
      <c r="P48" s="435"/>
      <c r="Q48" s="1319"/>
      <c r="R48" s="1319"/>
      <c r="S48" s="1319"/>
      <c r="T48" s="1319"/>
      <c r="U48" s="1319"/>
      <c r="V48" s="1319"/>
      <c r="W48" s="1319"/>
      <c r="X48" s="1319"/>
      <c r="Y48" s="1319"/>
      <c r="Z48" s="1319"/>
      <c r="AA48" s="1319"/>
      <c r="AB48" s="1319"/>
      <c r="AC48" s="1319"/>
      <c r="AD48" s="1319"/>
      <c r="AE48" s="1319"/>
      <c r="AF48" s="1319"/>
      <c r="AG48" s="1319"/>
      <c r="AH48" s="1319"/>
      <c r="AI48" s="1319"/>
      <c r="AJ48" s="1319"/>
      <c r="AK48" s="1319"/>
      <c r="AL48" s="1319"/>
    </row>
    <row r="49" spans="1:38" ht="17.25" customHeight="1" x14ac:dyDescent="0.35">
      <c r="B49" s="425" t="s">
        <v>371</v>
      </c>
      <c r="C49" s="274">
        <f>C59</f>
        <v>29</v>
      </c>
      <c r="D49" s="36">
        <f>SUM(H15:M15)/4</f>
        <v>2.4166666666666665</v>
      </c>
      <c r="E49" s="356">
        <f>C49-D49</f>
        <v>26.583333333333332</v>
      </c>
      <c r="F49" s="36"/>
      <c r="G49" s="36"/>
      <c r="H49" s="36"/>
      <c r="I49" s="385"/>
      <c r="J49" s="385"/>
      <c r="K49" s="385"/>
      <c r="L49" s="385"/>
      <c r="M49" s="385"/>
      <c r="N49" s="385"/>
      <c r="O49" s="385"/>
      <c r="P49" s="435"/>
      <c r="Q49" s="1320"/>
      <c r="R49" s="1320"/>
      <c r="S49" s="1320"/>
      <c r="T49" s="1320"/>
      <c r="U49" s="1320"/>
      <c r="V49" s="1320"/>
      <c r="W49" s="1320"/>
      <c r="X49" s="1320"/>
      <c r="Y49" s="1320"/>
      <c r="Z49" s="234"/>
      <c r="AA49" s="234"/>
      <c r="AB49" s="234"/>
      <c r="AC49" s="234"/>
      <c r="AD49" s="234"/>
      <c r="AE49" s="234"/>
      <c r="AF49" s="234"/>
      <c r="AG49" s="234"/>
      <c r="AH49" s="1320"/>
      <c r="AI49" s="1320"/>
      <c r="AJ49" s="1320"/>
      <c r="AK49" s="1320"/>
      <c r="AL49" s="234"/>
    </row>
    <row r="50" spans="1:38" ht="15.75" customHeight="1" x14ac:dyDescent="0.35">
      <c r="B50" s="425" t="s">
        <v>348</v>
      </c>
      <c r="C50" s="274">
        <f>C65</f>
        <v>362.04999999999995</v>
      </c>
      <c r="D50" s="36">
        <v>0</v>
      </c>
      <c r="E50" s="356">
        <f>C50-D50</f>
        <v>362.04999999999995</v>
      </c>
      <c r="F50" s="36"/>
      <c r="G50" s="36"/>
      <c r="H50" s="36"/>
      <c r="I50" s="385"/>
      <c r="J50" s="385"/>
      <c r="K50" s="385"/>
      <c r="L50" s="385"/>
      <c r="M50" s="385"/>
      <c r="N50" s="385"/>
      <c r="O50" s="385"/>
      <c r="P50" s="435"/>
      <c r="Q50" s="234"/>
      <c r="R50" s="234"/>
      <c r="S50" s="234"/>
      <c r="T50" s="234"/>
      <c r="U50" s="234"/>
      <c r="V50" s="234"/>
      <c r="W50" s="234"/>
      <c r="X50" s="234"/>
      <c r="Y50" s="234"/>
      <c r="Z50" s="234"/>
      <c r="AA50" s="234"/>
      <c r="AB50" s="234"/>
      <c r="AC50" s="234"/>
      <c r="AD50" s="234"/>
      <c r="AE50" s="234"/>
      <c r="AF50" s="234"/>
      <c r="AG50" s="234"/>
      <c r="AH50" s="234"/>
      <c r="AI50" s="234"/>
      <c r="AJ50" s="234"/>
      <c r="AK50" s="234"/>
      <c r="AL50" s="234"/>
    </row>
    <row r="51" spans="1:38" ht="15" customHeight="1" x14ac:dyDescent="0.35">
      <c r="B51" s="424" t="s">
        <v>372</v>
      </c>
      <c r="C51" s="395">
        <f>C68+C69+C62+C63</f>
        <v>45.396999999999998</v>
      </c>
      <c r="D51" s="36"/>
      <c r="E51" s="356"/>
      <c r="F51" s="36"/>
      <c r="G51" s="36"/>
      <c r="H51" s="36"/>
      <c r="I51" s="385"/>
      <c r="J51" s="385"/>
      <c r="K51" s="385"/>
      <c r="L51" s="385"/>
      <c r="M51" s="385"/>
      <c r="N51" s="385"/>
      <c r="O51" s="385"/>
      <c r="P51" s="435"/>
      <c r="Q51" s="36"/>
      <c r="R51" s="36"/>
      <c r="S51" s="36"/>
      <c r="T51" s="36"/>
      <c r="U51" s="36"/>
      <c r="V51" s="36"/>
      <c r="W51" s="36"/>
    </row>
    <row r="52" spans="1:38" ht="5.25" customHeight="1" x14ac:dyDescent="0.35">
      <c r="B52" s="424"/>
      <c r="C52" s="395"/>
      <c r="D52" s="36"/>
      <c r="E52" s="356"/>
      <c r="F52" s="36"/>
      <c r="G52" s="36"/>
      <c r="H52" s="36"/>
      <c r="I52" s="385"/>
      <c r="J52" s="385"/>
      <c r="K52" s="385"/>
      <c r="L52" s="385"/>
      <c r="M52" s="385"/>
      <c r="N52" s="385"/>
      <c r="O52" s="385"/>
      <c r="P52" s="435"/>
      <c r="Q52" s="36"/>
      <c r="R52" s="36"/>
      <c r="S52" s="36"/>
      <c r="T52" s="36"/>
      <c r="U52" s="36"/>
      <c r="V52" s="36"/>
      <c r="W52" s="36"/>
    </row>
    <row r="53" spans="1:38" ht="18.75" customHeight="1" x14ac:dyDescent="0.35">
      <c r="B53" s="426" t="s">
        <v>373</v>
      </c>
      <c r="C53" s="274">
        <f>C54+C58+C64</f>
        <v>898.11599999999999</v>
      </c>
      <c r="D53" s="36"/>
      <c r="E53" s="356"/>
      <c r="F53" s="36"/>
      <c r="G53" s="36"/>
      <c r="H53" s="36"/>
      <c r="I53" s="385"/>
      <c r="J53" s="385"/>
      <c r="K53" s="385"/>
      <c r="L53" s="385"/>
      <c r="M53" s="385"/>
      <c r="N53" s="385"/>
      <c r="O53" s="385"/>
      <c r="P53" s="435"/>
      <c r="Q53" s="36"/>
      <c r="R53" s="36"/>
      <c r="S53" s="36"/>
      <c r="T53" s="36"/>
      <c r="U53" s="36"/>
      <c r="V53" s="36"/>
      <c r="W53" s="36"/>
    </row>
    <row r="54" spans="1:38" ht="16.399999999999999" customHeight="1" x14ac:dyDescent="0.35">
      <c r="B54" s="416" t="s">
        <v>354</v>
      </c>
      <c r="C54" s="274">
        <f>SUM(C55:C57)</f>
        <v>199</v>
      </c>
      <c r="D54" s="36"/>
      <c r="E54" s="356"/>
      <c r="F54" s="36"/>
      <c r="G54" s="36"/>
      <c r="H54" s="36"/>
      <c r="I54" s="385"/>
      <c r="J54" s="385"/>
      <c r="K54" s="385"/>
      <c r="L54" s="385"/>
      <c r="M54" s="385"/>
      <c r="N54" s="385"/>
      <c r="O54" s="385"/>
      <c r="P54" s="435"/>
      <c r="Q54" s="36"/>
      <c r="R54" s="36"/>
      <c r="S54" s="36"/>
      <c r="T54" s="36"/>
      <c r="U54" s="36"/>
      <c r="V54" s="36"/>
      <c r="W54" s="36"/>
    </row>
    <row r="55" spans="1:38" ht="20.9" customHeight="1" x14ac:dyDescent="0.35">
      <c r="B55" s="378" t="s">
        <v>149</v>
      </c>
      <c r="C55" s="274">
        <v>150</v>
      </c>
      <c r="D55" s="36"/>
      <c r="E55" s="356"/>
      <c r="F55" s="36"/>
      <c r="G55" s="36"/>
      <c r="H55" s="36"/>
      <c r="I55" s="385"/>
      <c r="J55" s="385"/>
      <c r="K55" s="385"/>
      <c r="L55" s="385"/>
      <c r="M55" s="385"/>
      <c r="N55" s="385"/>
      <c r="O55" s="385"/>
      <c r="P55" s="435"/>
      <c r="Q55" s="36"/>
      <c r="R55" s="36"/>
      <c r="S55" s="36"/>
      <c r="T55" s="36"/>
      <c r="U55" s="36"/>
      <c r="V55" s="36"/>
      <c r="W55" s="36"/>
    </row>
    <row r="56" spans="1:38" ht="16.5" customHeight="1" x14ac:dyDescent="0.35">
      <c r="B56" s="378" t="s">
        <v>150</v>
      </c>
      <c r="C56" s="428">
        <v>22</v>
      </c>
      <c r="D56" s="230"/>
      <c r="E56" s="356"/>
      <c r="F56" s="36"/>
      <c r="G56" s="36"/>
      <c r="H56" s="36"/>
      <c r="I56" s="385"/>
      <c r="J56" s="385"/>
      <c r="K56" s="385"/>
      <c r="L56" s="385"/>
      <c r="M56" s="385"/>
      <c r="N56" s="385"/>
      <c r="O56" s="385"/>
      <c r="P56" s="435"/>
      <c r="Q56" s="36"/>
      <c r="R56" s="36"/>
      <c r="S56" s="36"/>
      <c r="T56" s="36"/>
      <c r="U56" s="36"/>
      <c r="V56" s="36"/>
      <c r="W56" s="36"/>
    </row>
    <row r="57" spans="1:38" x14ac:dyDescent="0.35">
      <c r="B57" s="378" t="s">
        <v>152</v>
      </c>
      <c r="C57" s="274">
        <v>27</v>
      </c>
      <c r="D57" s="36"/>
      <c r="E57" s="356"/>
      <c r="F57" s="35"/>
      <c r="G57" s="36"/>
      <c r="H57" s="36"/>
      <c r="I57" s="385"/>
      <c r="J57" s="385"/>
      <c r="K57" s="385"/>
      <c r="L57" s="385"/>
      <c r="M57" s="385"/>
      <c r="N57" s="385"/>
      <c r="P57" s="435"/>
      <c r="Q57" s="36"/>
      <c r="R57" s="36"/>
      <c r="S57" s="36"/>
      <c r="T57" s="36"/>
      <c r="U57" s="36"/>
      <c r="V57" s="36"/>
      <c r="W57" s="36"/>
    </row>
    <row r="58" spans="1:38" ht="15" customHeight="1" x14ac:dyDescent="0.35">
      <c r="B58" s="416" t="s">
        <v>356</v>
      </c>
      <c r="C58" s="274">
        <f>SUM(C59:C63)</f>
        <v>150</v>
      </c>
      <c r="D58" s="36"/>
      <c r="E58" s="356"/>
      <c r="F58" s="36"/>
      <c r="G58" s="36"/>
      <c r="H58" s="36"/>
      <c r="I58" s="36"/>
      <c r="J58" s="36"/>
      <c r="K58" s="36"/>
      <c r="L58" s="36"/>
      <c r="M58" s="36"/>
      <c r="N58" s="36"/>
      <c r="P58" s="231"/>
      <c r="Q58" s="36"/>
      <c r="R58" s="36"/>
      <c r="S58" s="36"/>
      <c r="T58" s="36"/>
      <c r="U58" s="36"/>
      <c r="V58" s="36"/>
      <c r="W58" s="36"/>
    </row>
    <row r="59" spans="1:38" ht="17.25" customHeight="1" x14ac:dyDescent="0.35">
      <c r="B59" s="378" t="s">
        <v>343</v>
      </c>
      <c r="C59" s="274">
        <f>'Response and Relief Act Score'!F7</f>
        <v>29</v>
      </c>
      <c r="D59" s="36"/>
      <c r="E59" s="356"/>
      <c r="F59" s="36"/>
      <c r="G59" s="36"/>
      <c r="H59" s="36"/>
      <c r="I59" s="36"/>
    </row>
    <row r="60" spans="1:38" x14ac:dyDescent="0.35">
      <c r="B60" s="378" t="s">
        <v>150</v>
      </c>
      <c r="C60" s="274">
        <f>'Response and Relief Act Score'!F5</f>
        <v>82</v>
      </c>
      <c r="D60" s="36"/>
      <c r="E60" s="356"/>
      <c r="F60" s="36"/>
      <c r="G60" s="36"/>
      <c r="H60" s="36"/>
      <c r="I60" s="36"/>
      <c r="J60" s="36"/>
      <c r="K60" s="36"/>
      <c r="L60" s="36"/>
      <c r="M60" s="36"/>
      <c r="N60" s="36"/>
      <c r="P60" s="231"/>
      <c r="Q60" s="36"/>
      <c r="R60" s="36"/>
      <c r="S60" s="36"/>
      <c r="T60" s="36"/>
      <c r="U60" s="36"/>
      <c r="V60" s="36"/>
      <c r="W60" s="36"/>
    </row>
    <row r="61" spans="1:38" x14ac:dyDescent="0.35">
      <c r="B61" s="378" t="s">
        <v>152</v>
      </c>
      <c r="C61" s="274">
        <f>'Response and Relief Act Score'!F6</f>
        <v>3</v>
      </c>
      <c r="D61" s="36"/>
      <c r="E61" s="356"/>
      <c r="F61" s="36"/>
      <c r="G61" s="36"/>
      <c r="H61" s="36"/>
      <c r="I61" s="36"/>
      <c r="J61" s="36"/>
      <c r="K61" s="36"/>
      <c r="L61" s="36"/>
      <c r="M61" s="36"/>
      <c r="N61" s="36"/>
      <c r="P61" s="231"/>
      <c r="Q61" s="36"/>
      <c r="R61" s="36"/>
      <c r="S61" s="36"/>
      <c r="T61" s="36"/>
      <c r="U61" s="36"/>
      <c r="V61" s="36"/>
      <c r="W61" s="36"/>
    </row>
    <row r="62" spans="1:38" ht="29.25" customHeight="1" x14ac:dyDescent="0.35">
      <c r="B62" s="378" t="s">
        <v>359</v>
      </c>
      <c r="C62" s="274">
        <f>'Response and Relief Act Score'!F9</f>
        <v>34</v>
      </c>
      <c r="D62" s="36"/>
      <c r="E62" s="356"/>
      <c r="F62" s="36"/>
      <c r="G62" s="36"/>
      <c r="H62" s="36"/>
      <c r="I62" s="400"/>
      <c r="J62" s="36"/>
      <c r="K62" s="36"/>
      <c r="L62" s="36"/>
      <c r="M62" s="36"/>
      <c r="N62" s="36"/>
      <c r="O62" s="385"/>
      <c r="P62" s="231"/>
      <c r="Q62" s="36"/>
      <c r="R62" s="36"/>
      <c r="S62" s="36"/>
      <c r="T62" s="36"/>
      <c r="U62" s="36"/>
      <c r="V62" s="36"/>
      <c r="W62" s="36"/>
    </row>
    <row r="63" spans="1:38" ht="12.75" customHeight="1" x14ac:dyDescent="0.35">
      <c r="B63" s="378" t="s">
        <v>360</v>
      </c>
      <c r="C63" s="274">
        <f>'Response and Relief Act Score'!F8</f>
        <v>2</v>
      </c>
      <c r="D63" s="36"/>
      <c r="E63" s="356"/>
      <c r="F63" s="36"/>
      <c r="G63" s="36"/>
      <c r="H63" s="36"/>
      <c r="I63" s="36"/>
      <c r="J63" s="36"/>
      <c r="K63" s="36"/>
      <c r="L63" s="36"/>
      <c r="M63" s="36"/>
      <c r="N63" s="36"/>
      <c r="O63" s="36"/>
      <c r="P63" s="231"/>
      <c r="Q63" s="36"/>
      <c r="R63" s="36"/>
      <c r="S63" s="36"/>
      <c r="T63" s="36"/>
      <c r="U63" s="36"/>
      <c r="V63" s="36"/>
      <c r="W63" s="36"/>
    </row>
    <row r="64" spans="1:38" x14ac:dyDescent="0.35">
      <c r="A64" s="391"/>
      <c r="B64" s="388" t="s">
        <v>361</v>
      </c>
      <c r="C64" s="395">
        <f>SUM(C65:C69)</f>
        <v>549.11599999999999</v>
      </c>
      <c r="D64" s="36"/>
      <c r="E64" s="356"/>
      <c r="F64" s="36"/>
      <c r="G64" s="36"/>
      <c r="H64" s="36"/>
      <c r="I64" s="36"/>
      <c r="J64" s="36"/>
      <c r="K64" s="36"/>
      <c r="L64" s="36"/>
      <c r="M64" s="36"/>
      <c r="N64" s="36"/>
      <c r="P64" s="231"/>
      <c r="Q64" s="36"/>
      <c r="R64" s="36"/>
      <c r="S64" s="36"/>
      <c r="T64" s="36"/>
      <c r="U64" s="36"/>
      <c r="V64" s="36"/>
      <c r="W64" s="36"/>
    </row>
    <row r="65" spans="1:35" ht="16.399999999999999" customHeight="1" x14ac:dyDescent="0.35">
      <c r="A65" s="391"/>
      <c r="B65" s="390" t="s">
        <v>348</v>
      </c>
      <c r="C65" s="395">
        <f>'ARP Score'!AJ16</f>
        <v>362.04999999999995</v>
      </c>
      <c r="D65" s="36"/>
      <c r="E65" s="356"/>
      <c r="F65" s="36"/>
      <c r="G65" s="36"/>
      <c r="H65" s="36"/>
      <c r="I65" s="36"/>
      <c r="J65" s="36"/>
      <c r="K65" s="36"/>
      <c r="L65" s="36"/>
      <c r="M65" s="36"/>
      <c r="N65" s="36"/>
      <c r="O65" s="36"/>
      <c r="P65" s="231"/>
      <c r="Q65" s="36"/>
      <c r="R65" s="36"/>
      <c r="S65" s="36"/>
      <c r="T65" s="36"/>
      <c r="U65" s="36"/>
      <c r="V65" s="36"/>
      <c r="W65" s="36"/>
    </row>
    <row r="66" spans="1:35" ht="15" customHeight="1" x14ac:dyDescent="0.35">
      <c r="A66" s="1310"/>
      <c r="B66" s="390" t="s">
        <v>150</v>
      </c>
      <c r="C66" s="395">
        <f>'ARP Score'!AL16</f>
        <v>169.16899999999998</v>
      </c>
      <c r="D66" s="36"/>
      <c r="E66" s="356"/>
      <c r="F66" s="36"/>
      <c r="G66" s="36"/>
      <c r="H66" s="36"/>
      <c r="I66" s="36"/>
      <c r="J66" s="36"/>
      <c r="K66" s="36"/>
      <c r="L66" s="36"/>
      <c r="M66" s="36"/>
      <c r="N66" s="36"/>
      <c r="O66" s="36"/>
      <c r="P66" s="231"/>
      <c r="Q66" s="393"/>
      <c r="R66" s="36"/>
      <c r="S66" s="36"/>
      <c r="T66" s="36"/>
      <c r="U66" s="36"/>
      <c r="V66" s="36"/>
      <c r="W66" s="36"/>
    </row>
    <row r="67" spans="1:35" x14ac:dyDescent="0.35">
      <c r="A67" s="1310"/>
      <c r="B67" s="390" t="s">
        <v>152</v>
      </c>
      <c r="C67" s="395">
        <f>'ARP Score'!AK16</f>
        <v>8.5</v>
      </c>
      <c r="D67" s="36"/>
      <c r="E67" s="356"/>
      <c r="F67" s="36"/>
      <c r="G67" s="36"/>
      <c r="H67" s="36"/>
      <c r="I67" s="36"/>
      <c r="J67" s="36"/>
      <c r="K67" s="36"/>
      <c r="L67" s="36"/>
      <c r="M67" s="36"/>
      <c r="N67" s="36"/>
      <c r="O67" s="36"/>
      <c r="P67" s="231"/>
      <c r="Q67" s="36"/>
      <c r="R67" s="36"/>
      <c r="S67" s="36"/>
      <c r="T67" s="36"/>
      <c r="U67" s="36"/>
      <c r="V67" s="36"/>
      <c r="W67" s="36"/>
    </row>
    <row r="68" spans="1:35" ht="17.25" customHeight="1" x14ac:dyDescent="0.35">
      <c r="A68" s="391"/>
      <c r="B68" s="390" t="s">
        <v>364</v>
      </c>
      <c r="C68" s="395">
        <f>'ARP Score'!AM16</f>
        <v>0.79700000000000004</v>
      </c>
      <c r="D68" s="36"/>
      <c r="E68" s="356"/>
      <c r="F68" s="36"/>
      <c r="G68" s="36"/>
      <c r="H68" s="36"/>
      <c r="I68" s="36"/>
      <c r="J68" s="36"/>
      <c r="K68" s="36"/>
      <c r="L68" s="36"/>
      <c r="M68" s="36"/>
      <c r="N68" s="36"/>
      <c r="O68" s="36"/>
      <c r="P68" s="231"/>
      <c r="Q68" s="36"/>
      <c r="R68" s="36"/>
      <c r="S68" s="36"/>
      <c r="T68" s="36"/>
      <c r="U68" s="36"/>
      <c r="V68" s="36"/>
      <c r="W68" s="36"/>
    </row>
    <row r="69" spans="1:35" ht="17.25" customHeight="1" x14ac:dyDescent="0.35">
      <c r="A69" s="391"/>
      <c r="B69" s="392" t="s">
        <v>374</v>
      </c>
      <c r="C69" s="396">
        <f>'ARP Score'!AN16</f>
        <v>8.6</v>
      </c>
      <c r="D69" s="394"/>
      <c r="E69" s="382"/>
      <c r="F69" s="36"/>
      <c r="G69" s="36"/>
      <c r="H69" s="36"/>
      <c r="I69" s="36"/>
      <c r="J69" s="36"/>
      <c r="K69" s="36"/>
      <c r="L69" s="36"/>
      <c r="M69" s="36"/>
      <c r="N69" s="36"/>
      <c r="O69" s="36"/>
      <c r="P69" s="231"/>
      <c r="Q69" s="36"/>
      <c r="R69" s="36"/>
      <c r="S69" s="36"/>
      <c r="T69" s="36"/>
      <c r="U69" s="36"/>
      <c r="V69" s="36"/>
      <c r="W69" s="36"/>
    </row>
    <row r="70" spans="1:35" ht="17.25" customHeight="1" x14ac:dyDescent="0.35">
      <c r="B70" s="390"/>
      <c r="C70" s="55"/>
      <c r="D70" s="55"/>
      <c r="E70" s="55"/>
      <c r="F70" s="55"/>
      <c r="G70" s="55"/>
      <c r="H70" s="36"/>
      <c r="I70" s="36"/>
      <c r="J70" s="36"/>
      <c r="K70" s="36"/>
      <c r="L70" s="36"/>
      <c r="M70" s="36"/>
      <c r="N70" s="36"/>
      <c r="O70" s="36"/>
      <c r="P70" s="231"/>
      <c r="Q70" s="36"/>
      <c r="R70" s="36"/>
      <c r="S70" s="36"/>
      <c r="T70" s="36"/>
      <c r="U70" s="36"/>
      <c r="V70" s="36"/>
      <c r="W70" s="36"/>
      <c r="X70" s="36"/>
      <c r="Y70" s="36"/>
      <c r="Z70" s="36"/>
      <c r="AA70" s="36"/>
      <c r="AB70" s="36"/>
      <c r="AC70" s="36"/>
      <c r="AD70" s="36"/>
      <c r="AE70" s="36"/>
      <c r="AF70" s="36"/>
      <c r="AG70" s="36"/>
      <c r="AH70" s="36"/>
      <c r="AI70" s="36"/>
    </row>
    <row r="71" spans="1:35" ht="17.25" customHeight="1" x14ac:dyDescent="0.35">
      <c r="B71" s="379" t="s">
        <v>375</v>
      </c>
      <c r="C71" s="55"/>
      <c r="D71" s="55"/>
      <c r="E71" s="55"/>
      <c r="F71" s="55"/>
      <c r="G71" s="55"/>
      <c r="H71" s="36"/>
      <c r="I71" s="36"/>
      <c r="J71" s="36"/>
      <c r="K71" s="36"/>
      <c r="L71" s="36"/>
      <c r="M71" s="36"/>
      <c r="N71" s="36"/>
      <c r="O71" s="36"/>
      <c r="P71" s="231"/>
      <c r="Q71" s="36"/>
      <c r="R71" s="36"/>
      <c r="S71" s="36"/>
      <c r="T71" s="36"/>
      <c r="U71" s="36"/>
      <c r="V71" s="36"/>
      <c r="W71" s="36"/>
      <c r="X71" s="36"/>
      <c r="Y71" s="36"/>
      <c r="Z71" s="36"/>
      <c r="AA71" s="36"/>
      <c r="AB71" s="36"/>
      <c r="AC71" s="36"/>
      <c r="AD71" s="36"/>
      <c r="AE71" s="36"/>
      <c r="AF71" s="36"/>
      <c r="AG71" s="36"/>
      <c r="AH71" s="36"/>
      <c r="AI71" s="36"/>
    </row>
    <row r="72" spans="1:35" ht="14.9" customHeight="1" x14ac:dyDescent="0.35">
      <c r="B72" s="1282" t="s">
        <v>376</v>
      </c>
      <c r="C72" s="1283"/>
      <c r="D72" s="1286" t="s">
        <v>280</v>
      </c>
      <c r="E72" s="1299"/>
      <c r="F72" s="1299"/>
      <c r="G72" s="1299"/>
      <c r="H72" s="1299"/>
      <c r="I72" s="1299"/>
      <c r="J72" s="1299"/>
      <c r="K72" s="1299"/>
      <c r="L72" s="1299"/>
      <c r="M72" s="1299"/>
      <c r="N72" s="1299"/>
      <c r="O72" s="1299"/>
      <c r="P72" s="1299"/>
      <c r="Q72" s="1299"/>
      <c r="R72" s="1299"/>
      <c r="S72" s="1299"/>
      <c r="T72" s="1299"/>
      <c r="U72" s="1299"/>
      <c r="V72" s="1287"/>
      <c r="W72" s="1311" t="s">
        <v>281</v>
      </c>
      <c r="X72" s="1312"/>
      <c r="Y72" s="1312"/>
      <c r="Z72" s="1312"/>
      <c r="AA72" s="1312"/>
      <c r="AB72" s="1312"/>
      <c r="AC72" s="1312"/>
      <c r="AD72" s="1312"/>
      <c r="AE72" s="1312"/>
      <c r="AF72" s="1312"/>
      <c r="AG72" s="1312"/>
      <c r="AH72" s="200"/>
      <c r="AI72" s="200"/>
    </row>
    <row r="73" spans="1:35" x14ac:dyDescent="0.35">
      <c r="B73" s="1284"/>
      <c r="C73" s="1285"/>
      <c r="D73" s="219">
        <v>2018</v>
      </c>
      <c r="E73" s="1291">
        <v>2019</v>
      </c>
      <c r="F73" s="1292"/>
      <c r="G73" s="1292"/>
      <c r="H73" s="1293"/>
      <c r="I73" s="1291">
        <v>2020</v>
      </c>
      <c r="J73" s="1292"/>
      <c r="K73" s="1292"/>
      <c r="L73" s="1292"/>
      <c r="M73" s="1291">
        <v>2021</v>
      </c>
      <c r="N73" s="1292"/>
      <c r="O73" s="1292"/>
      <c r="P73" s="1292"/>
      <c r="Q73" s="1308">
        <v>2022</v>
      </c>
      <c r="R73" s="1309"/>
      <c r="S73" s="288"/>
      <c r="T73" s="288"/>
      <c r="U73" s="239"/>
      <c r="V73" s="288">
        <v>2023</v>
      </c>
      <c r="W73" s="289"/>
      <c r="X73" s="260"/>
      <c r="Y73" s="1289">
        <v>2024</v>
      </c>
      <c r="Z73" s="1301"/>
      <c r="AA73" s="1301"/>
      <c r="AB73" s="1290"/>
      <c r="AC73" s="1288">
        <v>2025</v>
      </c>
      <c r="AD73" s="1289"/>
      <c r="AE73" s="1289"/>
      <c r="AF73" s="1290"/>
      <c r="AG73" s="340">
        <v>2026</v>
      </c>
      <c r="AH73" s="240"/>
      <c r="AI73" s="240"/>
    </row>
    <row r="74" spans="1:35" x14ac:dyDescent="0.35">
      <c r="B74" s="1286"/>
      <c r="C74" s="1287"/>
      <c r="D74" s="214" t="s">
        <v>282</v>
      </c>
      <c r="E74" s="214" t="s">
        <v>283</v>
      </c>
      <c r="F74" s="215" t="s">
        <v>284</v>
      </c>
      <c r="G74" s="215" t="s">
        <v>238</v>
      </c>
      <c r="H74" s="216" t="s">
        <v>282</v>
      </c>
      <c r="I74" s="215" t="s">
        <v>283</v>
      </c>
      <c r="J74" s="215" t="s">
        <v>284</v>
      </c>
      <c r="K74" s="215" t="s">
        <v>238</v>
      </c>
      <c r="L74" s="215" t="s">
        <v>282</v>
      </c>
      <c r="M74" s="214" t="s">
        <v>283</v>
      </c>
      <c r="N74" s="215" t="s">
        <v>284</v>
      </c>
      <c r="O74" s="215" t="s">
        <v>238</v>
      </c>
      <c r="P74" s="215" t="s">
        <v>282</v>
      </c>
      <c r="Q74" s="214" t="s">
        <v>283</v>
      </c>
      <c r="R74" s="215" t="s">
        <v>284</v>
      </c>
      <c r="S74" s="215" t="s">
        <v>238</v>
      </c>
      <c r="T74" s="215" t="s">
        <v>282</v>
      </c>
      <c r="U74" s="285" t="s">
        <v>283</v>
      </c>
      <c r="V74" s="286" t="s">
        <v>284</v>
      </c>
      <c r="W74" s="270" t="s">
        <v>238</v>
      </c>
      <c r="X74" s="271" t="s">
        <v>282</v>
      </c>
      <c r="Y74" s="270" t="s">
        <v>283</v>
      </c>
      <c r="Z74" s="267" t="s">
        <v>284</v>
      </c>
      <c r="AA74" s="270" t="s">
        <v>238</v>
      </c>
      <c r="AB74" s="270" t="s">
        <v>282</v>
      </c>
      <c r="AC74" s="269" t="s">
        <v>283</v>
      </c>
      <c r="AD74" s="267" t="s">
        <v>284</v>
      </c>
      <c r="AE74" s="270" t="s">
        <v>238</v>
      </c>
      <c r="AF74" s="271" t="s">
        <v>282</v>
      </c>
      <c r="AG74" s="341" t="s">
        <v>283</v>
      </c>
      <c r="AH74" s="56"/>
      <c r="AI74" s="56"/>
    </row>
    <row r="75" spans="1:35" ht="29.25" customHeight="1" x14ac:dyDescent="0.35">
      <c r="B75" s="351" t="s">
        <v>377</v>
      </c>
      <c r="C75" s="418"/>
      <c r="D75" s="352"/>
      <c r="E75" s="353"/>
      <c r="F75" s="353"/>
      <c r="G75" s="353"/>
      <c r="H75" s="354">
        <f t="shared" ref="H75:O75" si="26">SUM(H77:H85)</f>
        <v>206.82899999999995</v>
      </c>
      <c r="I75" s="354">
        <f t="shared" si="26"/>
        <v>214.11100000000005</v>
      </c>
      <c r="J75" s="354">
        <f t="shared" si="26"/>
        <v>320.24999999999989</v>
      </c>
      <c r="K75" s="354">
        <f t="shared" si="26"/>
        <v>298.13400000000001</v>
      </c>
      <c r="L75" s="354">
        <f t="shared" si="26"/>
        <v>289.54399999999998</v>
      </c>
      <c r="M75" s="354">
        <f t="shared" si="26"/>
        <v>320.34099999999995</v>
      </c>
      <c r="N75" s="354">
        <f t="shared" si="26"/>
        <v>354.35800000000017</v>
      </c>
      <c r="O75" s="354">
        <f t="shared" si="26"/>
        <v>375.57600000000008</v>
      </c>
      <c r="P75" s="434">
        <f>SUM(P77:P86)</f>
        <v>396.106852</v>
      </c>
      <c r="Q75" s="354">
        <f>SUM(Q77:Q86)</f>
        <v>433.66327480000001</v>
      </c>
      <c r="R75" s="354">
        <f>SUM(R77:R86)</f>
        <v>500.88603199999994</v>
      </c>
      <c r="S75" s="354">
        <f>SUM(S77:S86)</f>
        <v>486.87586800000008</v>
      </c>
      <c r="T75" s="373">
        <f t="shared" ref="T75:AF75" si="27">SUM(T77:T86)</f>
        <v>445.45392800000008</v>
      </c>
      <c r="U75" s="320">
        <f>SUM(U77:U86)</f>
        <v>439.61154320000009</v>
      </c>
      <c r="V75" s="320">
        <f>SUM(V77:V86)</f>
        <v>429.15772000000004</v>
      </c>
      <c r="W75" s="320">
        <f>SUM(W77:W86)</f>
        <v>415.61894400000006</v>
      </c>
      <c r="X75" s="320">
        <f t="shared" si="27"/>
        <v>427.53694400000006</v>
      </c>
      <c r="Y75" s="412">
        <f t="shared" si="27"/>
        <v>427.26494400000001</v>
      </c>
      <c r="Z75" s="412">
        <f t="shared" si="27"/>
        <v>418.03001728324807</v>
      </c>
      <c r="AA75" s="412">
        <f t="shared" si="27"/>
        <v>422.5102225824408</v>
      </c>
      <c r="AB75" s="412">
        <f t="shared" si="27"/>
        <v>427.2815256817579</v>
      </c>
      <c r="AC75" s="327">
        <f t="shared" si="27"/>
        <v>410.47107700000004</v>
      </c>
      <c r="AD75" s="327">
        <f t="shared" si="27"/>
        <v>405.8184041145779</v>
      </c>
      <c r="AE75" s="327">
        <f>SUM(AE77:AE86)</f>
        <v>408.36749628573835</v>
      </c>
      <c r="AF75" s="327">
        <f t="shared" si="27"/>
        <v>407.0560067810282</v>
      </c>
      <c r="AG75" s="325">
        <f>SUM(AG77:AG86)</f>
        <v>409.781722</v>
      </c>
      <c r="AH75" s="339"/>
      <c r="AI75" s="339"/>
    </row>
    <row r="76" spans="1:35" ht="19.399999999999999" customHeight="1" x14ac:dyDescent="0.35">
      <c r="B76" s="426" t="s">
        <v>378</v>
      </c>
      <c r="C76" s="230"/>
      <c r="D76" s="274"/>
      <c r="E76" s="230"/>
      <c r="F76" s="230"/>
      <c r="G76" s="230"/>
      <c r="H76" s="320"/>
      <c r="I76" s="320"/>
      <c r="J76" s="320"/>
      <c r="K76" s="320"/>
      <c r="L76" s="320"/>
      <c r="M76" s="320"/>
      <c r="N76" s="320"/>
      <c r="O76" s="320"/>
      <c r="P76" s="226"/>
      <c r="Q76" s="320"/>
      <c r="R76" s="320"/>
      <c r="S76" s="320"/>
      <c r="T76" s="320"/>
      <c r="U76" s="320"/>
      <c r="V76" s="320"/>
      <c r="W76" s="320"/>
      <c r="X76" s="320"/>
      <c r="Y76" s="328"/>
      <c r="Z76" s="328"/>
      <c r="AA76" s="328"/>
      <c r="AB76" s="328"/>
      <c r="AC76" s="328"/>
      <c r="AD76" s="328"/>
      <c r="AE76" s="328"/>
      <c r="AF76" s="328"/>
      <c r="AG76" s="328"/>
      <c r="AH76" s="339"/>
      <c r="AI76" s="339"/>
    </row>
    <row r="77" spans="1:35" x14ac:dyDescent="0.35">
      <c r="B77" s="363" t="s">
        <v>152</v>
      </c>
      <c r="C77" s="35"/>
      <c r="D77" s="359"/>
      <c r="E77" s="35"/>
      <c r="F77" s="35"/>
      <c r="G77" s="35"/>
      <c r="H77" s="320"/>
      <c r="I77" s="320"/>
      <c r="J77" s="320">
        <f t="shared" ref="J77:AG77" si="28">J14</f>
        <v>64.400000000000006</v>
      </c>
      <c r="K77" s="320">
        <f t="shared" si="28"/>
        <v>23.4</v>
      </c>
      <c r="L77" s="320">
        <f t="shared" si="28"/>
        <v>13.8</v>
      </c>
      <c r="M77" s="320">
        <f t="shared" si="28"/>
        <v>12</v>
      </c>
      <c r="N77" s="320">
        <f t="shared" si="28"/>
        <v>7.5</v>
      </c>
      <c r="O77" s="320">
        <f t="shared" si="28"/>
        <v>10.5</v>
      </c>
      <c r="P77" s="226">
        <f t="shared" si="28"/>
        <v>18</v>
      </c>
      <c r="Q77" s="320">
        <f t="shared" si="28"/>
        <v>15</v>
      </c>
      <c r="R77" s="320">
        <f t="shared" si="28"/>
        <v>11.2</v>
      </c>
      <c r="S77" s="320">
        <f t="shared" si="28"/>
        <v>7.5</v>
      </c>
      <c r="T77" s="320">
        <f t="shared" si="28"/>
        <v>6.2</v>
      </c>
      <c r="U77" s="320">
        <f t="shared" si="28"/>
        <v>0</v>
      </c>
      <c r="V77" s="320">
        <f t="shared" si="28"/>
        <v>0</v>
      </c>
      <c r="W77" s="320">
        <f t="shared" si="28"/>
        <v>0</v>
      </c>
      <c r="X77" s="320">
        <f t="shared" si="28"/>
        <v>0</v>
      </c>
      <c r="Y77" s="328">
        <f t="shared" si="28"/>
        <v>0</v>
      </c>
      <c r="Z77" s="328">
        <f t="shared" si="28"/>
        <v>0</v>
      </c>
      <c r="AA77" s="328">
        <f t="shared" si="28"/>
        <v>0</v>
      </c>
      <c r="AB77" s="328">
        <f t="shared" si="28"/>
        <v>0</v>
      </c>
      <c r="AC77" s="328">
        <f t="shared" si="28"/>
        <v>0</v>
      </c>
      <c r="AD77" s="328">
        <f t="shared" si="28"/>
        <v>0</v>
      </c>
      <c r="AE77" s="328">
        <f t="shared" si="28"/>
        <v>0</v>
      </c>
      <c r="AF77" s="328">
        <f t="shared" si="28"/>
        <v>0</v>
      </c>
      <c r="AG77" s="328">
        <f t="shared" si="28"/>
        <v>0</v>
      </c>
      <c r="AH77" s="320"/>
      <c r="AI77" s="320"/>
    </row>
    <row r="78" spans="1:35" x14ac:dyDescent="0.35">
      <c r="B78" s="363" t="s">
        <v>343</v>
      </c>
      <c r="C78" s="35"/>
      <c r="D78" s="359"/>
      <c r="E78" s="35"/>
      <c r="F78" s="35"/>
      <c r="G78" s="35"/>
      <c r="H78" s="320"/>
      <c r="I78" s="320"/>
      <c r="J78" s="320"/>
      <c r="K78" s="320"/>
      <c r="L78" s="320"/>
      <c r="M78" s="320">
        <f>M30</f>
        <v>9.6666666666666661</v>
      </c>
      <c r="N78" s="320">
        <f t="shared" ref="N78:AC78" si="29">N30</f>
        <v>9.6666666666666661</v>
      </c>
      <c r="O78" s="320">
        <f t="shared" si="29"/>
        <v>9.6666666666666661</v>
      </c>
      <c r="P78" s="226">
        <f t="shared" si="29"/>
        <v>9.6666666666666661</v>
      </c>
      <c r="Q78" s="320">
        <f>Q30</f>
        <v>9.6666666666666661</v>
      </c>
      <c r="R78" s="320">
        <f>R30</f>
        <v>9.6666666666666661</v>
      </c>
      <c r="S78" s="320">
        <f>S30</f>
        <v>9.6666666666666661</v>
      </c>
      <c r="T78" s="320">
        <f t="shared" si="29"/>
        <v>9.6666666666666661</v>
      </c>
      <c r="U78" s="320">
        <f t="shared" si="29"/>
        <v>9.6666666666666661</v>
      </c>
      <c r="V78" s="320">
        <f t="shared" si="29"/>
        <v>9.6666666666666661</v>
      </c>
      <c r="W78" s="320">
        <f t="shared" si="29"/>
        <v>9.6666666666666661</v>
      </c>
      <c r="X78" s="320">
        <f t="shared" si="29"/>
        <v>9.6666666666666661</v>
      </c>
      <c r="Y78" s="328">
        <f t="shared" si="29"/>
        <v>0</v>
      </c>
      <c r="Z78" s="328">
        <f t="shared" si="29"/>
        <v>0</v>
      </c>
      <c r="AA78" s="328">
        <f t="shared" si="29"/>
        <v>0</v>
      </c>
      <c r="AB78" s="328">
        <f t="shared" si="29"/>
        <v>0</v>
      </c>
      <c r="AC78" s="328">
        <f t="shared" si="29"/>
        <v>0</v>
      </c>
      <c r="AD78" s="328">
        <f t="shared" ref="AD78:AG78" si="30">AD30</f>
        <v>0</v>
      </c>
      <c r="AE78" s="328">
        <f t="shared" si="30"/>
        <v>0</v>
      </c>
      <c r="AF78" s="328">
        <f t="shared" si="30"/>
        <v>0</v>
      </c>
      <c r="AG78" s="328">
        <f t="shared" si="30"/>
        <v>0</v>
      </c>
      <c r="AH78" s="320"/>
      <c r="AI78" s="320"/>
    </row>
    <row r="79" spans="1:35" x14ac:dyDescent="0.35">
      <c r="B79" s="363" t="s">
        <v>379</v>
      </c>
      <c r="C79" s="35"/>
      <c r="D79" s="359"/>
      <c r="E79" s="35"/>
      <c r="F79" s="35"/>
      <c r="G79" s="35"/>
      <c r="H79" s="320"/>
      <c r="I79" s="320"/>
      <c r="J79" s="320"/>
      <c r="K79" s="320"/>
      <c r="L79" s="320"/>
      <c r="M79" s="320">
        <f t="shared" ref="M79:AG79" si="31">M16</f>
        <v>12</v>
      </c>
      <c r="N79" s="320">
        <f t="shared" si="31"/>
        <v>12</v>
      </c>
      <c r="O79" s="320">
        <f t="shared" si="31"/>
        <v>12</v>
      </c>
      <c r="P79" s="226">
        <f t="shared" si="31"/>
        <v>12</v>
      </c>
      <c r="Q79" s="320">
        <f t="shared" si="31"/>
        <v>12</v>
      </c>
      <c r="R79" s="320">
        <f t="shared" si="31"/>
        <v>12</v>
      </c>
      <c r="S79" s="320">
        <f t="shared" si="31"/>
        <v>12</v>
      </c>
      <c r="T79" s="320">
        <f t="shared" si="31"/>
        <v>12</v>
      </c>
      <c r="U79" s="320">
        <f t="shared" si="31"/>
        <v>12</v>
      </c>
      <c r="V79" s="320">
        <f t="shared" si="31"/>
        <v>12</v>
      </c>
      <c r="W79" s="320">
        <f t="shared" si="31"/>
        <v>12</v>
      </c>
      <c r="X79" s="320">
        <f t="shared" si="31"/>
        <v>12</v>
      </c>
      <c r="Y79" s="328">
        <f t="shared" si="31"/>
        <v>0</v>
      </c>
      <c r="Z79" s="328">
        <f t="shared" si="31"/>
        <v>0</v>
      </c>
      <c r="AA79" s="328">
        <f t="shared" si="31"/>
        <v>0</v>
      </c>
      <c r="AB79" s="328">
        <f t="shared" si="31"/>
        <v>0</v>
      </c>
      <c r="AC79" s="328">
        <f t="shared" si="31"/>
        <v>0</v>
      </c>
      <c r="AD79" s="328">
        <f t="shared" si="31"/>
        <v>0</v>
      </c>
      <c r="AE79" s="328">
        <f t="shared" si="31"/>
        <v>0</v>
      </c>
      <c r="AF79" s="328">
        <f t="shared" si="31"/>
        <v>0</v>
      </c>
      <c r="AG79" s="328">
        <f t="shared" si="31"/>
        <v>0</v>
      </c>
      <c r="AH79" s="320"/>
      <c r="AI79" s="320"/>
    </row>
    <row r="80" spans="1:35" x14ac:dyDescent="0.35">
      <c r="B80" s="363" t="s">
        <v>380</v>
      </c>
      <c r="C80" s="35"/>
      <c r="D80" s="359"/>
      <c r="E80" s="35"/>
      <c r="F80" s="35"/>
      <c r="G80" s="35"/>
      <c r="H80" s="38">
        <f t="shared" ref="H80:AG80" si="32">H20</f>
        <v>206.82899999999995</v>
      </c>
      <c r="I80" s="38">
        <f t="shared" si="32"/>
        <v>214.11100000000005</v>
      </c>
      <c r="J80" s="38">
        <f t="shared" si="32"/>
        <v>192.44999999999993</v>
      </c>
      <c r="K80" s="38">
        <f t="shared" si="32"/>
        <v>213.93400000000003</v>
      </c>
      <c r="L80" s="38">
        <f t="shared" si="32"/>
        <v>215.54399999999998</v>
      </c>
      <c r="M80" s="38">
        <f t="shared" si="32"/>
        <v>217.77433333333329</v>
      </c>
      <c r="N80" s="38">
        <f t="shared" si="32"/>
        <v>217.59133333333352</v>
      </c>
      <c r="O80" s="38">
        <f t="shared" si="32"/>
        <v>222.7093333333334</v>
      </c>
      <c r="P80" s="318">
        <f t="shared" si="32"/>
        <v>244.61933333333332</v>
      </c>
      <c r="Q80" s="38">
        <f t="shared" si="32"/>
        <v>248.60033333333331</v>
      </c>
      <c r="R80" s="38">
        <f t="shared" si="32"/>
        <v>262.76933333333329</v>
      </c>
      <c r="S80" s="38">
        <f t="shared" si="32"/>
        <v>260.1133333333334</v>
      </c>
      <c r="T80" s="38">
        <f t="shared" si="32"/>
        <v>222.98033333333342</v>
      </c>
      <c r="U80" s="349">
        <f t="shared" si="32"/>
        <v>236.8250000000001</v>
      </c>
      <c r="V80" s="38">
        <f t="shared" si="32"/>
        <v>227.57700000000006</v>
      </c>
      <c r="W80" s="38">
        <f t="shared" si="32"/>
        <v>220.74100000000004</v>
      </c>
      <c r="X80" s="38">
        <f t="shared" si="32"/>
        <v>243.04900000000009</v>
      </c>
      <c r="Y80" s="329">
        <f t="shared" si="32"/>
        <v>258.27700000000004</v>
      </c>
      <c r="Z80" s="329">
        <f t="shared" si="32"/>
        <v>260.82190828324809</v>
      </c>
      <c r="AA80" s="329">
        <f t="shared" si="32"/>
        <v>263.39189258244079</v>
      </c>
      <c r="AB80" s="329">
        <f t="shared" si="32"/>
        <v>265.9871999817579</v>
      </c>
      <c r="AC80" s="329">
        <f t="shared" si="32"/>
        <v>268.60808000000003</v>
      </c>
      <c r="AD80" s="329">
        <f t="shared" si="32"/>
        <v>271.25478461457794</v>
      </c>
      <c r="AE80" s="329">
        <f t="shared" si="32"/>
        <v>273.92756828573835</v>
      </c>
      <c r="AF80" s="329">
        <f t="shared" si="32"/>
        <v>276.62668798102817</v>
      </c>
      <c r="AG80" s="329">
        <f t="shared" si="32"/>
        <v>279.35240319999997</v>
      </c>
      <c r="AH80" s="38"/>
      <c r="AI80" s="38"/>
    </row>
    <row r="81" spans="2:35" x14ac:dyDescent="0.35">
      <c r="B81" s="363" t="s">
        <v>1185</v>
      </c>
      <c r="C81" s="35"/>
      <c r="D81" s="359"/>
      <c r="E81" s="35"/>
      <c r="F81" s="35"/>
      <c r="G81" s="35"/>
      <c r="H81" s="38"/>
      <c r="I81" s="38"/>
      <c r="J81" s="38"/>
      <c r="K81" s="38"/>
      <c r="L81" s="38"/>
      <c r="M81" s="38"/>
      <c r="N81" s="38"/>
      <c r="O81" s="38"/>
      <c r="P81" s="318"/>
      <c r="Q81" s="38"/>
      <c r="R81" s="38"/>
      <c r="S81" s="322">
        <f>'IRA and CHIPS'!E184</f>
        <v>0</v>
      </c>
      <c r="T81" s="322">
        <f>'IRA and CHIPS'!F184</f>
        <v>6.8000000000000005E-2</v>
      </c>
      <c r="U81" s="322">
        <f>'IRA and CHIPS'!G184</f>
        <v>6.8000000000000005E-2</v>
      </c>
      <c r="V81" s="322">
        <f>'IRA and CHIPS'!H184</f>
        <v>6.8000000000000005E-2</v>
      </c>
      <c r="W81" s="322">
        <f>'IRA and CHIPS'!I184</f>
        <v>6.8000000000000005E-2</v>
      </c>
      <c r="X81" s="322">
        <f>'IRA and CHIPS'!J184</f>
        <v>1.363</v>
      </c>
      <c r="Y81" s="344">
        <f>'IRA and CHIPS'!K184</f>
        <v>1.363</v>
      </c>
      <c r="Z81" s="344">
        <f>'IRA and CHIPS'!L184</f>
        <v>1.363</v>
      </c>
      <c r="AA81" s="344">
        <f>'IRA and CHIPS'!M184</f>
        <v>1.363</v>
      </c>
      <c r="AB81" s="344">
        <f>'IRA and CHIPS'!N184</f>
        <v>2.4329999999999998</v>
      </c>
      <c r="AC81" s="344">
        <f>'IRA and CHIPS'!O184</f>
        <v>2.4329999999999998</v>
      </c>
      <c r="AD81" s="344">
        <f>'IRA and CHIPS'!P184</f>
        <v>2.4329999999999998</v>
      </c>
      <c r="AE81" s="344">
        <f>'IRA and CHIPS'!Q184</f>
        <v>2.4329999999999998</v>
      </c>
      <c r="AF81" s="344">
        <f>'IRA and CHIPS'!R184</f>
        <v>2.8029999999999999</v>
      </c>
      <c r="AG81" s="344">
        <f>'IRA and CHIPS'!S184</f>
        <v>2.8029999999999999</v>
      </c>
      <c r="AH81" s="38"/>
      <c r="AI81" s="38"/>
    </row>
    <row r="82" spans="2:35" ht="14.9" customHeight="1" x14ac:dyDescent="0.35">
      <c r="B82" s="404" t="s">
        <v>381</v>
      </c>
      <c r="C82" s="35"/>
      <c r="D82" s="359"/>
      <c r="E82" s="35"/>
      <c r="F82" s="35"/>
      <c r="G82" s="35"/>
      <c r="H82" s="320"/>
      <c r="I82" s="320"/>
      <c r="J82" s="320"/>
      <c r="K82" s="320"/>
      <c r="L82" s="320"/>
      <c r="M82" s="320"/>
      <c r="N82" s="320"/>
      <c r="O82" s="320"/>
      <c r="P82" s="226"/>
      <c r="Q82" s="320"/>
      <c r="R82" s="320"/>
      <c r="S82" s="320"/>
      <c r="T82" s="320"/>
      <c r="U82" s="320"/>
      <c r="V82" s="320"/>
      <c r="W82" s="320"/>
      <c r="X82" s="320"/>
      <c r="Y82" s="328"/>
      <c r="Z82" s="328"/>
      <c r="AA82" s="328"/>
      <c r="AB82" s="328"/>
      <c r="AC82" s="328"/>
      <c r="AD82" s="328"/>
      <c r="AE82" s="328"/>
      <c r="AF82" s="328"/>
      <c r="AG82" s="328"/>
      <c r="AH82" s="320"/>
      <c r="AI82" s="320"/>
    </row>
    <row r="83" spans="2:35" ht="14.9" customHeight="1" x14ac:dyDescent="0.35">
      <c r="B83" s="363" t="s">
        <v>150</v>
      </c>
      <c r="C83" s="35"/>
      <c r="D83" s="359"/>
      <c r="E83" s="35"/>
      <c r="F83" s="35"/>
      <c r="G83" s="35"/>
      <c r="H83" s="320"/>
      <c r="I83" s="320"/>
      <c r="J83" s="320">
        <f t="shared" ref="J83:Y83" si="33">J13</f>
        <v>28.4</v>
      </c>
      <c r="K83" s="320">
        <f t="shared" si="33"/>
        <v>15.8</v>
      </c>
      <c r="L83" s="320">
        <f t="shared" si="33"/>
        <v>15.2</v>
      </c>
      <c r="M83" s="320">
        <f t="shared" si="33"/>
        <v>28.9</v>
      </c>
      <c r="N83" s="320">
        <f t="shared" si="33"/>
        <v>67.599999999999994</v>
      </c>
      <c r="O83" s="320">
        <f t="shared" si="33"/>
        <v>80.7</v>
      </c>
      <c r="P83" s="226">
        <f t="shared" si="33"/>
        <v>87.2</v>
      </c>
      <c r="Q83" s="320">
        <f t="shared" si="33"/>
        <v>72.400000000000006</v>
      </c>
      <c r="R83" s="320">
        <f t="shared" si="33"/>
        <v>85.9</v>
      </c>
      <c r="S83" s="355">
        <f t="shared" si="33"/>
        <v>68.3</v>
      </c>
      <c r="T83" s="355">
        <f t="shared" si="33"/>
        <v>64</v>
      </c>
      <c r="U83" s="355">
        <f t="shared" si="33"/>
        <v>60.929333333333297</v>
      </c>
      <c r="V83" s="355">
        <f t="shared" si="33"/>
        <v>60.929333333333297</v>
      </c>
      <c r="W83" s="355">
        <f t="shared" si="33"/>
        <v>60.929333333333297</v>
      </c>
      <c r="X83" s="355">
        <f t="shared" si="33"/>
        <v>54.244333333333302</v>
      </c>
      <c r="Y83" s="355">
        <f t="shared" si="33"/>
        <v>50.911000000000001</v>
      </c>
      <c r="Z83" s="328">
        <f>Z27+Z31+'ARP Quarterly'!P28</f>
        <v>44.428388999999996</v>
      </c>
      <c r="AA83" s="328">
        <f>AA27+AA31+'ARP Quarterly'!Q28</f>
        <v>46.338610000000003</v>
      </c>
      <c r="AB83" s="328">
        <f>AB27+AB31+'ARP Quarterly'!R28</f>
        <v>47.279744500000007</v>
      </c>
      <c r="AC83" s="328">
        <f>AC27+AC31+'ARP Quarterly'!S28</f>
        <v>46.283419000000009</v>
      </c>
      <c r="AD83" s="328">
        <f>AD27+AD31+'ARP Quarterly'!T28</f>
        <v>45.578489500000011</v>
      </c>
      <c r="AE83" s="328">
        <f>AE27+AE31+'ARP Quarterly'!U28</f>
        <v>45.454798000000011</v>
      </c>
      <c r="AF83" s="328">
        <f>AF27+AF31+'ARP Quarterly'!V28</f>
        <v>45.360580000000013</v>
      </c>
      <c r="AG83" s="325">
        <f>AF83</f>
        <v>45.360580000000013</v>
      </c>
      <c r="AH83" s="342"/>
      <c r="AI83" s="320"/>
    </row>
    <row r="84" spans="2:35" x14ac:dyDescent="0.35">
      <c r="B84" s="363" t="s">
        <v>149</v>
      </c>
      <c r="C84" s="38"/>
      <c r="D84" s="430"/>
      <c r="E84" s="38"/>
      <c r="F84" s="38"/>
      <c r="G84" s="38"/>
      <c r="H84" s="320"/>
      <c r="I84" s="320"/>
      <c r="J84" s="320">
        <v>35</v>
      </c>
      <c r="K84" s="320">
        <v>45</v>
      </c>
      <c r="L84" s="320">
        <v>45</v>
      </c>
      <c r="M84" s="320">
        <v>40</v>
      </c>
      <c r="N84" s="320">
        <v>40</v>
      </c>
      <c r="O84" s="320">
        <v>40</v>
      </c>
      <c r="P84" s="226">
        <v>40</v>
      </c>
      <c r="Q84" s="320">
        <v>50</v>
      </c>
      <c r="R84" s="320">
        <v>50</v>
      </c>
      <c r="S84" s="320">
        <v>50</v>
      </c>
      <c r="T84" s="320">
        <v>50</v>
      </c>
      <c r="U84" s="350">
        <v>40</v>
      </c>
      <c r="V84" s="320">
        <v>30</v>
      </c>
      <c r="W84" s="320">
        <v>20</v>
      </c>
      <c r="X84" s="320">
        <v>15</v>
      </c>
      <c r="Y84" s="328">
        <v>10</v>
      </c>
      <c r="Z84" s="328">
        <v>0</v>
      </c>
      <c r="AA84" s="328">
        <v>0</v>
      </c>
      <c r="AB84" s="328">
        <v>0</v>
      </c>
      <c r="AC84" s="328">
        <v>0</v>
      </c>
      <c r="AD84" s="328">
        <v>0</v>
      </c>
      <c r="AE84" s="328">
        <v>0</v>
      </c>
      <c r="AF84" s="328">
        <v>0</v>
      </c>
      <c r="AG84" s="328">
        <v>0</v>
      </c>
      <c r="AH84" s="94"/>
    </row>
    <row r="85" spans="2:35" ht="28.5" customHeight="1" x14ac:dyDescent="0.35">
      <c r="B85" s="376" t="s">
        <v>382</v>
      </c>
      <c r="C85" s="389"/>
      <c r="D85" s="359"/>
      <c r="E85" s="35"/>
      <c r="F85" s="35"/>
      <c r="G85" s="35"/>
      <c r="H85" s="320"/>
      <c r="I85" s="320"/>
      <c r="J85" s="320"/>
      <c r="K85" s="320"/>
      <c r="L85" s="320"/>
      <c r="M85" s="320"/>
      <c r="N85" s="320">
        <f>'ARP Quarterly'!D47</f>
        <v>0</v>
      </c>
      <c r="O85" s="320">
        <f>'ARP Quarterly'!E47</f>
        <v>0</v>
      </c>
      <c r="P85" s="226">
        <f>'ARP Quarterly'!F47</f>
        <v>34.620851999999999</v>
      </c>
      <c r="Q85" s="320">
        <f>'ARP Quarterly'!G47</f>
        <v>50.996274799999995</v>
      </c>
      <c r="R85" s="320">
        <f>'ARP Quarterly'!H47</f>
        <v>69.350031999999999</v>
      </c>
      <c r="S85" s="320">
        <f>'ARP Quarterly'!I47</f>
        <v>79.295867999999999</v>
      </c>
      <c r="T85" s="320">
        <f>'ARP Quarterly'!J47</f>
        <v>80.538927999999999</v>
      </c>
      <c r="U85" s="320">
        <f>'ARP Quarterly'!K47</f>
        <v>80.122543199999996</v>
      </c>
      <c r="V85" s="320">
        <f>'ARP Quarterly'!L47</f>
        <v>88.916719999999998</v>
      </c>
      <c r="W85" s="321">
        <f>'ARP Quarterly'!M47</f>
        <v>92.213943999999998</v>
      </c>
      <c r="X85" s="321">
        <f>'ARP Quarterly'!N47</f>
        <v>92.213943999999998</v>
      </c>
      <c r="Y85" s="415">
        <f>'ARP Quarterly'!O47</f>
        <v>94.213943999999998</v>
      </c>
      <c r="Z85" s="415">
        <f>'ARP Quarterly'!P47</f>
        <v>98.916719999999998</v>
      </c>
      <c r="AA85" s="415">
        <f>'ARP Quarterly'!Q47</f>
        <v>98.916719999999998</v>
      </c>
      <c r="AB85" s="415">
        <f>'ARP Quarterly'!R47</f>
        <v>99.081581199999988</v>
      </c>
      <c r="AC85" s="328">
        <f>'ARP Quarterly'!S47</f>
        <v>93.146578000000005</v>
      </c>
      <c r="AD85" s="328">
        <f>'ARP Quarterly'!T47</f>
        <v>86.552129999999991</v>
      </c>
      <c r="AE85" s="328">
        <f>'ARP Quarterly'!U47</f>
        <v>86.552129999999991</v>
      </c>
      <c r="AF85" s="328">
        <f>'ARP Quarterly'!V47</f>
        <v>82.265738799999994</v>
      </c>
      <c r="AG85" s="325">
        <f>AF85</f>
        <v>82.265738799999994</v>
      </c>
      <c r="AH85" s="402"/>
    </row>
    <row r="86" spans="2:35" ht="55.4" customHeight="1" x14ac:dyDescent="0.35">
      <c r="B86" s="383" t="s">
        <v>829</v>
      </c>
      <c r="C86" s="384"/>
      <c r="D86" s="357"/>
      <c r="E86" s="358"/>
      <c r="F86" s="358"/>
      <c r="G86" s="358"/>
      <c r="H86" s="358"/>
      <c r="I86" s="384"/>
      <c r="J86" s="384"/>
      <c r="K86" s="384"/>
      <c r="L86" s="384"/>
      <c r="M86" s="384"/>
      <c r="N86" s="384"/>
      <c r="O86" s="384"/>
      <c r="P86" s="384">
        <v>-50</v>
      </c>
      <c r="Q86" s="384">
        <v>-25</v>
      </c>
      <c r="R86" s="384"/>
      <c r="S86" s="384"/>
      <c r="T86" s="384"/>
      <c r="U86" s="431"/>
      <c r="V86" s="358"/>
      <c r="W86" s="384"/>
      <c r="X86" s="384"/>
      <c r="Y86" s="384">
        <v>12.5</v>
      </c>
      <c r="Z86" s="384">
        <v>12.5</v>
      </c>
      <c r="AA86" s="384">
        <v>12.5</v>
      </c>
      <c r="AB86" s="384">
        <v>12.5</v>
      </c>
      <c r="AC86" s="431"/>
      <c r="AD86" s="240"/>
      <c r="AE86" s="240"/>
      <c r="AF86" s="240"/>
      <c r="AG86" s="240"/>
    </row>
    <row r="87" spans="2:35" x14ac:dyDescent="0.35">
      <c r="B87" s="283"/>
      <c r="C87" s="240"/>
      <c r="D87" s="240"/>
      <c r="E87" s="240"/>
      <c r="F87" s="240"/>
      <c r="G87" s="240"/>
      <c r="H87" s="240"/>
      <c r="I87" s="240"/>
      <c r="J87" s="240"/>
      <c r="K87" s="240"/>
      <c r="L87" s="240"/>
      <c r="M87" s="240"/>
      <c r="Z87" s="240"/>
      <c r="AA87" s="240"/>
      <c r="AB87" s="240"/>
      <c r="AC87" s="240"/>
      <c r="AD87" s="240"/>
      <c r="AE87" s="240"/>
      <c r="AF87" s="240"/>
      <c r="AG87" s="240"/>
    </row>
    <row r="88" spans="2:35" x14ac:dyDescent="0.35">
      <c r="B88" s="283"/>
      <c r="C88" s="240"/>
      <c r="D88" s="240"/>
      <c r="E88" s="240"/>
      <c r="F88" s="240"/>
      <c r="G88" s="240"/>
      <c r="H88" s="240"/>
      <c r="I88" s="240"/>
      <c r="J88" s="240"/>
      <c r="K88" s="240"/>
      <c r="L88" s="240"/>
      <c r="M88" s="240"/>
      <c r="N88" s="240"/>
      <c r="O88" s="240"/>
      <c r="P88" s="240"/>
      <c r="Q88" s="240"/>
      <c r="R88" s="240"/>
      <c r="S88" s="240"/>
      <c r="T88" s="240"/>
      <c r="U88" s="240"/>
      <c r="V88" s="240"/>
      <c r="W88" s="240"/>
      <c r="X88" s="240"/>
      <c r="Y88" s="240"/>
      <c r="Z88" s="240"/>
      <c r="AA88" s="240"/>
      <c r="AB88" s="240"/>
      <c r="AC88" s="240"/>
      <c r="AD88" s="240"/>
      <c r="AE88" s="240"/>
      <c r="AF88" s="240"/>
      <c r="AG88" s="240"/>
    </row>
    <row r="89" spans="2:35" ht="14.5" customHeight="1" x14ac:dyDescent="0.35">
      <c r="B89" s="283"/>
      <c r="C89" s="240"/>
      <c r="D89" s="240"/>
      <c r="E89" s="240"/>
      <c r="F89" s="240"/>
      <c r="G89" s="240"/>
      <c r="H89" s="240"/>
      <c r="I89" s="240"/>
      <c r="J89" s="240"/>
      <c r="K89" s="240"/>
      <c r="L89" s="240"/>
      <c r="M89" s="240"/>
      <c r="N89" s="240"/>
      <c r="O89" s="240"/>
      <c r="P89" s="240"/>
      <c r="Q89" s="240"/>
      <c r="R89" s="240"/>
      <c r="S89" s="240"/>
      <c r="T89" s="240"/>
      <c r="U89" s="240"/>
      <c r="V89" s="240"/>
      <c r="W89" s="240"/>
      <c r="X89" s="240"/>
      <c r="Y89" s="240"/>
      <c r="Z89" s="240"/>
      <c r="AA89" s="240"/>
      <c r="AB89" s="240"/>
      <c r="AC89" s="240"/>
      <c r="AD89" s="240"/>
      <c r="AE89" s="240"/>
      <c r="AF89" s="240"/>
      <c r="AG89" s="240"/>
    </row>
    <row r="90" spans="2:35" x14ac:dyDescent="0.35">
      <c r="B90" s="1277" t="s">
        <v>134</v>
      </c>
      <c r="C90" s="1277"/>
      <c r="D90" s="1277"/>
      <c r="E90" s="1277"/>
      <c r="F90" s="1277"/>
      <c r="G90" s="1277"/>
      <c r="H90" s="1277"/>
      <c r="I90" s="1277"/>
      <c r="J90" s="1277"/>
      <c r="K90" s="1277"/>
      <c r="L90" s="1277"/>
      <c r="M90" s="1277"/>
      <c r="N90" s="1277"/>
      <c r="O90" s="1277"/>
      <c r="P90" s="1277"/>
      <c r="Q90" s="1277"/>
      <c r="R90" s="1277"/>
      <c r="S90" s="1277"/>
      <c r="T90" s="1277"/>
      <c r="U90" s="1277"/>
      <c r="V90" s="1277"/>
      <c r="W90" s="1277"/>
      <c r="X90" s="1277"/>
      <c r="Y90" s="1277"/>
      <c r="Z90" s="212"/>
      <c r="AA90" s="212"/>
      <c r="AB90" s="212"/>
      <c r="AC90" s="212"/>
      <c r="AD90" s="212"/>
      <c r="AE90" s="212"/>
      <c r="AF90" s="212"/>
      <c r="AG90" s="212"/>
      <c r="AH90" s="200"/>
      <c r="AI90" s="200"/>
    </row>
    <row r="91" spans="2:35" ht="19.399999999999999" customHeight="1" x14ac:dyDescent="0.35">
      <c r="B91" s="1278" t="s">
        <v>1835</v>
      </c>
      <c r="C91" s="1278"/>
      <c r="D91" s="1278"/>
      <c r="E91" s="1278"/>
      <c r="F91" s="1278"/>
      <c r="G91" s="1278"/>
      <c r="H91" s="1278"/>
      <c r="I91" s="1278"/>
      <c r="J91" s="1278"/>
      <c r="K91" s="1278"/>
      <c r="L91" s="1278"/>
      <c r="M91" s="1278"/>
      <c r="N91" s="1278"/>
      <c r="O91" s="1278"/>
      <c r="P91" s="1278"/>
      <c r="Q91" s="1278"/>
      <c r="R91" s="1278"/>
      <c r="S91" s="1278"/>
      <c r="T91" s="1278"/>
      <c r="U91" s="1278"/>
      <c r="V91" s="1278"/>
      <c r="W91" s="1278"/>
      <c r="X91" s="1278"/>
      <c r="Y91" s="1278"/>
      <c r="Z91" s="1278"/>
      <c r="AA91" s="1278"/>
      <c r="AB91" s="1278"/>
      <c r="AC91" s="1278"/>
      <c r="AD91" s="213"/>
      <c r="AE91" s="213"/>
      <c r="AF91" s="213"/>
      <c r="AG91" s="213"/>
      <c r="AH91" s="213"/>
      <c r="AI91" s="213"/>
    </row>
    <row r="92" spans="2:35" ht="11.9" customHeight="1" x14ac:dyDescent="0.35">
      <c r="B92" s="247"/>
      <c r="C92" s="247"/>
      <c r="D92" s="247"/>
      <c r="E92" s="247"/>
      <c r="F92" s="247"/>
      <c r="G92" s="247"/>
      <c r="H92" s="247"/>
      <c r="I92" s="247"/>
      <c r="J92" s="247"/>
      <c r="K92" s="247"/>
      <c r="L92" s="247"/>
      <c r="M92" s="247"/>
      <c r="V92" s="234"/>
      <c r="W92" s="234"/>
      <c r="X92" s="234"/>
      <c r="Y92" s="234"/>
      <c r="Z92" s="234"/>
      <c r="AA92" s="234"/>
      <c r="AB92" s="234"/>
      <c r="AC92" s="234"/>
      <c r="AD92" s="234"/>
      <c r="AE92" s="234"/>
      <c r="AF92" s="234"/>
      <c r="AG92" s="234"/>
      <c r="AH92" s="234"/>
      <c r="AI92" s="234"/>
    </row>
    <row r="93" spans="2:35" ht="14.9" customHeight="1" x14ac:dyDescent="0.35">
      <c r="B93" s="1282" t="s">
        <v>279</v>
      </c>
      <c r="C93" s="1283"/>
      <c r="D93" s="1286" t="s">
        <v>280</v>
      </c>
      <c r="E93" s="1299"/>
      <c r="F93" s="1299"/>
      <c r="G93" s="1299"/>
      <c r="H93" s="1299"/>
      <c r="I93" s="1299"/>
      <c r="J93" s="1299"/>
      <c r="K93" s="1299"/>
      <c r="L93" s="1299"/>
      <c r="M93" s="1299"/>
      <c r="N93" s="1299"/>
      <c r="O93" s="1299"/>
      <c r="P93" s="1299"/>
      <c r="Q93" s="1299"/>
      <c r="R93" s="1299"/>
      <c r="S93" s="1299"/>
      <c r="T93" s="1299"/>
      <c r="U93" s="1300"/>
      <c r="V93" s="1285"/>
      <c r="W93" s="1322" t="s">
        <v>281</v>
      </c>
      <c r="X93" s="1323"/>
      <c r="Y93" s="1312"/>
      <c r="Z93" s="1312"/>
      <c r="AA93" s="1312"/>
      <c r="AB93" s="1312"/>
      <c r="AC93" s="1312"/>
      <c r="AD93" s="1312"/>
      <c r="AE93" s="1312"/>
      <c r="AF93" s="1312"/>
      <c r="AG93" s="1312"/>
      <c r="AH93" s="200"/>
      <c r="AI93" s="200"/>
    </row>
    <row r="94" spans="2:35" x14ac:dyDescent="0.35">
      <c r="B94" s="1284"/>
      <c r="C94" s="1285"/>
      <c r="D94" s="220">
        <v>2018</v>
      </c>
      <c r="E94" s="1291">
        <v>2019</v>
      </c>
      <c r="F94" s="1292"/>
      <c r="G94" s="1292"/>
      <c r="H94" s="1293"/>
      <c r="I94" s="1291">
        <v>2020</v>
      </c>
      <c r="J94" s="1292"/>
      <c r="K94" s="1292"/>
      <c r="L94" s="1292"/>
      <c r="M94" s="1291">
        <v>2021</v>
      </c>
      <c r="N94" s="1292"/>
      <c r="O94" s="1292"/>
      <c r="P94" s="1292"/>
      <c r="Q94" s="1291">
        <v>2022</v>
      </c>
      <c r="R94" s="1321"/>
      <c r="S94" s="1321"/>
      <c r="T94" s="1321"/>
      <c r="U94" s="239"/>
      <c r="V94" s="288">
        <v>2023</v>
      </c>
      <c r="W94" s="289"/>
      <c r="X94" s="260"/>
      <c r="Y94" s="1289">
        <v>2024</v>
      </c>
      <c r="Z94" s="1301"/>
      <c r="AA94" s="1301"/>
      <c r="AB94" s="1289"/>
      <c r="AC94" s="1288">
        <v>2025</v>
      </c>
      <c r="AD94" s="1289"/>
      <c r="AE94" s="1289"/>
      <c r="AF94" s="1290"/>
      <c r="AG94" s="340">
        <v>2026</v>
      </c>
      <c r="AH94" s="234"/>
      <c r="AI94" s="234"/>
    </row>
    <row r="95" spans="2:35" x14ac:dyDescent="0.35">
      <c r="B95" s="1284"/>
      <c r="C95" s="1285"/>
      <c r="D95" s="215" t="s">
        <v>282</v>
      </c>
      <c r="E95" s="214" t="s">
        <v>283</v>
      </c>
      <c r="F95" s="215" t="s">
        <v>284</v>
      </c>
      <c r="G95" s="215" t="s">
        <v>238</v>
      </c>
      <c r="H95" s="216" t="s">
        <v>282</v>
      </c>
      <c r="I95" s="215" t="s">
        <v>283</v>
      </c>
      <c r="J95" s="215" t="s">
        <v>284</v>
      </c>
      <c r="K95" s="215" t="s">
        <v>238</v>
      </c>
      <c r="L95" s="215" t="s">
        <v>282</v>
      </c>
      <c r="M95" s="214" t="s">
        <v>283</v>
      </c>
      <c r="N95" s="215" t="s">
        <v>284</v>
      </c>
      <c r="O95" s="215" t="s">
        <v>238</v>
      </c>
      <c r="P95" s="215" t="s">
        <v>282</v>
      </c>
      <c r="Q95" s="214" t="s">
        <v>283</v>
      </c>
      <c r="R95" s="215" t="s">
        <v>284</v>
      </c>
      <c r="S95" s="215" t="s">
        <v>238</v>
      </c>
      <c r="T95" s="215" t="s">
        <v>282</v>
      </c>
      <c r="U95" s="214" t="s">
        <v>283</v>
      </c>
      <c r="V95" s="215" t="s">
        <v>284</v>
      </c>
      <c r="W95" s="326" t="s">
        <v>238</v>
      </c>
      <c r="X95" s="432" t="s">
        <v>282</v>
      </c>
      <c r="Y95" s="326" t="s">
        <v>283</v>
      </c>
      <c r="Z95" s="333" t="s">
        <v>284</v>
      </c>
      <c r="AA95" s="326" t="s">
        <v>238</v>
      </c>
      <c r="AB95" s="326" t="s">
        <v>282</v>
      </c>
      <c r="AC95" s="433" t="s">
        <v>283</v>
      </c>
      <c r="AD95" s="333" t="s">
        <v>284</v>
      </c>
      <c r="AE95" s="326" t="s">
        <v>238</v>
      </c>
      <c r="AF95" s="432" t="s">
        <v>282</v>
      </c>
      <c r="AG95" s="343" t="s">
        <v>283</v>
      </c>
      <c r="AH95" s="234"/>
      <c r="AI95" s="234"/>
    </row>
    <row r="96" spans="2:35" ht="14.9" customHeight="1" x14ac:dyDescent="0.35">
      <c r="B96" s="429" t="s">
        <v>383</v>
      </c>
      <c r="C96" s="369" t="s">
        <v>384</v>
      </c>
      <c r="D96" s="370"/>
      <c r="E96" s="371"/>
      <c r="F96" s="371"/>
      <c r="G96" s="371"/>
      <c r="H96" s="323">
        <f>'Haver Pivoted'!GS41</f>
        <v>72.156000000000006</v>
      </c>
      <c r="I96" s="323">
        <f>'Haver Pivoted'!GT41</f>
        <v>75.245999999999995</v>
      </c>
      <c r="J96" s="323">
        <f>'Haver Pivoted'!GU41</f>
        <v>75.986000000000004</v>
      </c>
      <c r="K96" s="323">
        <f>'Haver Pivoted'!GV41</f>
        <v>79.650999999999996</v>
      </c>
      <c r="L96" s="323">
        <f>'Haver Pivoted'!GW41</f>
        <v>75.400999999999996</v>
      </c>
      <c r="M96" s="323">
        <f>'Haver Pivoted'!GX41</f>
        <v>73.034999999999997</v>
      </c>
      <c r="N96" s="323">
        <f>'Haver Pivoted'!GY41</f>
        <v>75.13</v>
      </c>
      <c r="O96" s="323">
        <f>'Haver Pivoted'!GZ41</f>
        <v>70.191999999999993</v>
      </c>
      <c r="P96" s="323">
        <f>'Haver Pivoted'!HA41</f>
        <v>72.266999999999996</v>
      </c>
      <c r="Q96" s="323">
        <f>'Haver Pivoted'!HB41</f>
        <v>74.974000000000004</v>
      </c>
      <c r="R96" s="323">
        <f t="shared" ref="R96:S96" si="34">AVERAGE($H$96:$N$96)</f>
        <v>75.229285714285723</v>
      </c>
      <c r="S96" s="323">
        <f t="shared" si="34"/>
        <v>75.229285714285723</v>
      </c>
      <c r="T96" s="323">
        <f t="shared" ref="T96:AC96" si="35">AVERAGE($H$96:$N$96)+T97</f>
        <v>76.048285714285726</v>
      </c>
      <c r="U96" s="323">
        <f t="shared" si="35"/>
        <v>76.048285714285726</v>
      </c>
      <c r="V96" s="323">
        <f t="shared" si="35"/>
        <v>76.048285714285726</v>
      </c>
      <c r="W96" s="323">
        <f t="shared" si="35"/>
        <v>76.048285714285726</v>
      </c>
      <c r="X96" s="361">
        <f t="shared" si="35"/>
        <v>77.707285714285717</v>
      </c>
      <c r="Y96" s="361">
        <f t="shared" si="35"/>
        <v>77.707285714285717</v>
      </c>
      <c r="Z96" s="361">
        <f t="shared" si="35"/>
        <v>77.707285714285717</v>
      </c>
      <c r="AA96" s="361">
        <f t="shared" si="35"/>
        <v>77.707285714285717</v>
      </c>
      <c r="AB96" s="361">
        <f t="shared" si="35"/>
        <v>79.301285714285726</v>
      </c>
      <c r="AC96" s="361">
        <f t="shared" si="35"/>
        <v>79.301285714285726</v>
      </c>
      <c r="AD96" s="361">
        <f>AVERAGE($H$96:$N$96)+AD97</f>
        <v>75.229285714285723</v>
      </c>
      <c r="AE96" s="361">
        <f t="shared" ref="AE96:AG96" si="36">AVERAGE($H$96:$N$96)+AE97</f>
        <v>75.229285714285723</v>
      </c>
      <c r="AF96" s="361">
        <f t="shared" si="36"/>
        <v>75.229285714285723</v>
      </c>
      <c r="AG96" s="361">
        <f t="shared" si="36"/>
        <v>75.229285714285723</v>
      </c>
      <c r="AH96" s="228"/>
      <c r="AI96" s="228"/>
    </row>
    <row r="97" spans="2:33" x14ac:dyDescent="0.35">
      <c r="B97" s="319" t="s">
        <v>1184</v>
      </c>
      <c r="C97" s="57"/>
      <c r="D97" s="319"/>
      <c r="E97" s="57"/>
      <c r="F97" s="57"/>
      <c r="G97" s="57"/>
      <c r="H97" s="57"/>
      <c r="I97" s="57"/>
      <c r="J97" s="57"/>
      <c r="K97" s="57"/>
      <c r="L97" s="57"/>
      <c r="M97" s="57"/>
      <c r="N97" s="57"/>
      <c r="O97" s="57"/>
      <c r="P97" s="57"/>
      <c r="Q97" s="57"/>
      <c r="R97" s="57"/>
      <c r="S97" s="324">
        <f>'IRA and CHIPS'!E185</f>
        <v>0</v>
      </c>
      <c r="T97" s="324">
        <f>'IRA and CHIPS'!F185</f>
        <v>0.81899999999999995</v>
      </c>
      <c r="U97" s="324">
        <f>'IRA and CHIPS'!G185</f>
        <v>0.81899999999999995</v>
      </c>
      <c r="V97" s="324">
        <f>'IRA and CHIPS'!H185</f>
        <v>0.81899999999999995</v>
      </c>
      <c r="W97" s="324">
        <f>'IRA and CHIPS'!I185</f>
        <v>0.81899999999999995</v>
      </c>
      <c r="X97" s="360">
        <f>'IRA and CHIPS'!J185</f>
        <v>2.4780000000000002</v>
      </c>
      <c r="Y97" s="360">
        <f>'IRA and CHIPS'!K185</f>
        <v>2.4780000000000002</v>
      </c>
      <c r="Z97" s="360">
        <f>'IRA and CHIPS'!L185</f>
        <v>2.4780000000000002</v>
      </c>
      <c r="AA97" s="360">
        <f>'IRA and CHIPS'!M185</f>
        <v>2.4780000000000002</v>
      </c>
      <c r="AB97" s="360">
        <f>'IRA and CHIPS'!N185</f>
        <v>4.0720000000000001</v>
      </c>
      <c r="AC97" s="360">
        <f>'IRA and CHIPS'!O185</f>
        <v>4.0720000000000001</v>
      </c>
      <c r="AD97" s="360">
        <f>'IRA and CHIPS'!T185</f>
        <v>0</v>
      </c>
      <c r="AE97" s="360">
        <v>0</v>
      </c>
      <c r="AF97" s="360">
        <v>0</v>
      </c>
      <c r="AG97" s="362">
        <v>0</v>
      </c>
    </row>
    <row r="98" spans="2:33" ht="18.75" customHeight="1" x14ac:dyDescent="0.35"/>
    <row r="99" spans="2:33" ht="21.75" customHeight="1" x14ac:dyDescent="0.35"/>
  </sheetData>
  <mergeCells count="42">
    <mergeCell ref="AC94:AF94"/>
    <mergeCell ref="W93:AG93"/>
    <mergeCell ref="D93:V93"/>
    <mergeCell ref="AH6:AH8"/>
    <mergeCell ref="AI6:AI8"/>
    <mergeCell ref="E7:H7"/>
    <mergeCell ref="Y7:AB7"/>
    <mergeCell ref="M7:P7"/>
    <mergeCell ref="Q7:T7"/>
    <mergeCell ref="D6:V6"/>
    <mergeCell ref="W6:AG6"/>
    <mergeCell ref="AC7:AF7"/>
    <mergeCell ref="B93:C95"/>
    <mergeCell ref="I94:L94"/>
    <mergeCell ref="E94:H94"/>
    <mergeCell ref="Y94:AB94"/>
    <mergeCell ref="B1:Y1"/>
    <mergeCell ref="B6:C8"/>
    <mergeCell ref="I7:L7"/>
    <mergeCell ref="M94:P94"/>
    <mergeCell ref="Q94:T94"/>
    <mergeCell ref="B2:AC4"/>
    <mergeCell ref="AI25:AJ25"/>
    <mergeCell ref="AI29:AJ30"/>
    <mergeCell ref="AI35:AJ35"/>
    <mergeCell ref="B24:AC24"/>
    <mergeCell ref="Q73:R73"/>
    <mergeCell ref="Q48:AL48"/>
    <mergeCell ref="Q49:S49"/>
    <mergeCell ref="T49:Y49"/>
    <mergeCell ref="AH49:AK49"/>
    <mergeCell ref="A66:A67"/>
    <mergeCell ref="B91:AC91"/>
    <mergeCell ref="Y73:AB73"/>
    <mergeCell ref="B72:C74"/>
    <mergeCell ref="I73:L73"/>
    <mergeCell ref="B90:Y90"/>
    <mergeCell ref="E73:H73"/>
    <mergeCell ref="M73:P73"/>
    <mergeCell ref="AC73:AF73"/>
    <mergeCell ref="D72:V72"/>
    <mergeCell ref="W72:AG72"/>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P60"/>
  <sheetViews>
    <sheetView topLeftCell="A32" zoomScale="93" zoomScaleNormal="110" workbookViewId="0">
      <selection activeCell="D26" sqref="D26"/>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68" ht="20.25" customHeight="1" x14ac:dyDescent="0.35">
      <c r="B1" s="1277" t="s">
        <v>385</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c r="AD1" s="212"/>
      <c r="AE1" s="212"/>
      <c r="AF1" s="212"/>
      <c r="AG1" s="212"/>
    </row>
    <row r="2" spans="2:68" ht="14.25" customHeight="1" x14ac:dyDescent="0.35">
      <c r="B2" s="1314" t="s">
        <v>386</v>
      </c>
      <c r="C2" s="1314"/>
      <c r="D2" s="1314"/>
      <c r="E2" s="1314"/>
      <c r="F2" s="1314"/>
      <c r="G2" s="1314"/>
      <c r="H2" s="1314"/>
      <c r="I2" s="1314"/>
      <c r="J2" s="1314"/>
      <c r="K2" s="1314"/>
      <c r="L2" s="1314"/>
      <c r="M2" s="1314"/>
      <c r="N2" s="1314"/>
      <c r="O2" s="1314"/>
      <c r="P2" s="1314"/>
      <c r="Q2" s="1314"/>
      <c r="R2" s="1314"/>
      <c r="S2" s="1314"/>
      <c r="T2" s="1314"/>
      <c r="U2" s="1314"/>
      <c r="V2" s="1314"/>
      <c r="W2" s="1314"/>
      <c r="X2" s="1314"/>
      <c r="Y2" s="1314"/>
      <c r="Z2" s="1314"/>
      <c r="AA2" s="1314"/>
      <c r="AB2" s="1314"/>
      <c r="AC2" s="1314"/>
      <c r="AD2" s="247"/>
      <c r="AE2" s="247"/>
      <c r="AF2" s="247"/>
      <c r="AG2" s="247"/>
    </row>
    <row r="3" spans="2:68" ht="9" customHeight="1" x14ac:dyDescent="0.35">
      <c r="B3" s="1314"/>
      <c r="C3" s="1314"/>
      <c r="D3" s="1314"/>
      <c r="E3" s="1314"/>
      <c r="F3" s="1314"/>
      <c r="G3" s="1314"/>
      <c r="H3" s="1314"/>
      <c r="I3" s="1314"/>
      <c r="J3" s="1314"/>
      <c r="K3" s="1314"/>
      <c r="L3" s="1314"/>
      <c r="M3" s="1314"/>
      <c r="N3" s="1314"/>
      <c r="O3" s="1314"/>
      <c r="P3" s="1314"/>
      <c r="Q3" s="1314"/>
      <c r="R3" s="1314"/>
      <c r="S3" s="1314"/>
      <c r="T3" s="1314"/>
      <c r="U3" s="1314"/>
      <c r="V3" s="1314"/>
      <c r="W3" s="1314"/>
      <c r="X3" s="1314"/>
      <c r="Y3" s="1314"/>
      <c r="Z3" s="1314"/>
      <c r="AA3" s="1314"/>
      <c r="AB3" s="1314"/>
      <c r="AC3" s="1314"/>
      <c r="AD3" s="247"/>
      <c r="AE3" s="247"/>
      <c r="AF3" s="247"/>
      <c r="AG3" s="247"/>
    </row>
    <row r="4" spans="2:68" ht="27" customHeight="1" x14ac:dyDescent="0.35">
      <c r="B4" s="1314"/>
      <c r="C4" s="1314"/>
      <c r="D4" s="1314"/>
      <c r="E4" s="1314"/>
      <c r="F4" s="1314"/>
      <c r="G4" s="1314"/>
      <c r="H4" s="1314"/>
      <c r="I4" s="1314"/>
      <c r="J4" s="1314"/>
      <c r="K4" s="1314"/>
      <c r="L4" s="1314"/>
      <c r="M4" s="1314"/>
      <c r="N4" s="1314"/>
      <c r="O4" s="1314"/>
      <c r="P4" s="1314"/>
      <c r="Q4" s="1314"/>
      <c r="R4" s="1314"/>
      <c r="S4" s="1314"/>
      <c r="T4" s="1314"/>
      <c r="U4" s="1314"/>
      <c r="V4" s="1314"/>
      <c r="W4" s="1314"/>
      <c r="X4" s="1314"/>
      <c r="Y4" s="1314"/>
      <c r="Z4" s="1314"/>
      <c r="AA4" s="1314"/>
      <c r="AB4" s="1314"/>
      <c r="AC4" s="1314"/>
      <c r="AD4" s="247"/>
      <c r="AE4" s="247"/>
      <c r="AF4" s="247"/>
      <c r="AG4" s="247"/>
      <c r="AI4" s="489"/>
      <c r="AJ4" s="489"/>
      <c r="AK4" s="489"/>
      <c r="AL4" s="489"/>
      <c r="AM4" s="489"/>
      <c r="AN4" s="489"/>
      <c r="AO4" s="489"/>
      <c r="AP4" s="489"/>
      <c r="AQ4" s="489"/>
    </row>
    <row r="5" spans="2:68" x14ac:dyDescent="0.35">
      <c r="B5" s="283"/>
      <c r="AC5" s="223"/>
      <c r="AD5" s="223"/>
      <c r="AE5" s="223"/>
      <c r="AF5" s="223"/>
      <c r="AG5" s="223"/>
      <c r="AH5" s="223"/>
      <c r="AI5" s="223"/>
      <c r="AJ5" s="223"/>
    </row>
    <row r="6" spans="2:68" ht="14.9" customHeight="1" x14ac:dyDescent="0.35">
      <c r="B6" s="1333" t="s">
        <v>279</v>
      </c>
      <c r="C6" s="1334"/>
      <c r="D6" s="1341" t="s">
        <v>280</v>
      </c>
      <c r="E6" s="1342"/>
      <c r="F6" s="1342"/>
      <c r="G6" s="1342"/>
      <c r="H6" s="1342"/>
      <c r="I6" s="1342"/>
      <c r="J6" s="1342"/>
      <c r="K6" s="1342"/>
      <c r="L6" s="1342"/>
      <c r="M6" s="1342"/>
      <c r="N6" s="1342"/>
      <c r="O6" s="1342"/>
      <c r="P6" s="1342"/>
      <c r="Q6" s="1342"/>
      <c r="R6" s="1342"/>
      <c r="S6" s="1342"/>
      <c r="T6" s="1342"/>
      <c r="U6" s="1343"/>
      <c r="V6" s="1336"/>
      <c r="W6" s="1322" t="s">
        <v>281</v>
      </c>
      <c r="X6" s="1323"/>
      <c r="Y6" s="1312"/>
      <c r="Z6" s="1312"/>
      <c r="AA6" s="1312"/>
      <c r="AB6" s="1312"/>
      <c r="AC6" s="1312"/>
      <c r="AD6" s="1312"/>
      <c r="AE6" s="1312"/>
      <c r="AF6" s="1312"/>
      <c r="AG6" s="1312"/>
    </row>
    <row r="7" spans="2:68" ht="14.9" customHeight="1" x14ac:dyDescent="0.35">
      <c r="B7" s="1335"/>
      <c r="C7" s="1336"/>
      <c r="D7" s="439">
        <v>2018</v>
      </c>
      <c r="E7" s="1337">
        <v>2019</v>
      </c>
      <c r="F7" s="1338"/>
      <c r="G7" s="1338"/>
      <c r="H7" s="1339"/>
      <c r="I7" s="1337">
        <v>2020</v>
      </c>
      <c r="J7" s="1338"/>
      <c r="K7" s="1338"/>
      <c r="L7" s="1338"/>
      <c r="M7" s="1337">
        <v>2021</v>
      </c>
      <c r="N7" s="1338"/>
      <c r="O7" s="1338"/>
      <c r="P7" s="1338"/>
      <c r="Q7" s="1337">
        <v>2022</v>
      </c>
      <c r="R7" s="1340"/>
      <c r="S7" s="1340"/>
      <c r="T7" s="1340"/>
      <c r="U7" s="239"/>
      <c r="V7" s="288">
        <v>2023</v>
      </c>
      <c r="W7" s="289"/>
      <c r="X7" s="260"/>
      <c r="Y7" s="1289">
        <v>2024</v>
      </c>
      <c r="Z7" s="1301"/>
      <c r="AA7" s="1301"/>
      <c r="AB7" s="1290"/>
      <c r="AC7" s="1288">
        <v>2025</v>
      </c>
      <c r="AD7" s="1289"/>
      <c r="AE7" s="1289"/>
      <c r="AF7" s="1289"/>
      <c r="AG7" s="251">
        <v>2026</v>
      </c>
    </row>
    <row r="8" spans="2:68" x14ac:dyDescent="0.35">
      <c r="B8" s="1335"/>
      <c r="C8" s="1336"/>
      <c r="D8" s="475" t="s">
        <v>282</v>
      </c>
      <c r="E8" s="475" t="s">
        <v>283</v>
      </c>
      <c r="F8" s="460" t="s">
        <v>284</v>
      </c>
      <c r="G8" s="460" t="s">
        <v>238</v>
      </c>
      <c r="H8" s="476" t="s">
        <v>282</v>
      </c>
      <c r="I8" s="460" t="s">
        <v>283</v>
      </c>
      <c r="J8" s="460" t="s">
        <v>284</v>
      </c>
      <c r="K8" s="460" t="s">
        <v>238</v>
      </c>
      <c r="L8" s="460" t="s">
        <v>282</v>
      </c>
      <c r="M8" s="475" t="s">
        <v>283</v>
      </c>
      <c r="N8" s="460" t="s">
        <v>284</v>
      </c>
      <c r="O8" s="460" t="s">
        <v>238</v>
      </c>
      <c r="P8" s="460" t="s">
        <v>282</v>
      </c>
      <c r="Q8" s="475" t="s">
        <v>283</v>
      </c>
      <c r="R8" s="460" t="s">
        <v>284</v>
      </c>
      <c r="S8" s="460" t="s">
        <v>238</v>
      </c>
      <c r="T8" s="460" t="s">
        <v>282</v>
      </c>
      <c r="U8" s="214" t="s">
        <v>283</v>
      </c>
      <c r="V8" s="215" t="s">
        <v>284</v>
      </c>
      <c r="W8" s="326" t="s">
        <v>238</v>
      </c>
      <c r="X8" s="432" t="s">
        <v>282</v>
      </c>
      <c r="Y8" s="270" t="s">
        <v>283</v>
      </c>
      <c r="Z8" s="267" t="s">
        <v>284</v>
      </c>
      <c r="AA8" s="270" t="s">
        <v>238</v>
      </c>
      <c r="AB8" s="270" t="s">
        <v>282</v>
      </c>
      <c r="AC8" s="433" t="s">
        <v>283</v>
      </c>
      <c r="AD8" s="333" t="s">
        <v>284</v>
      </c>
      <c r="AE8" s="270" t="s">
        <v>238</v>
      </c>
      <c r="AF8" s="270" t="s">
        <v>282</v>
      </c>
      <c r="AG8" s="272" t="s">
        <v>283</v>
      </c>
    </row>
    <row r="9" spans="2:68" ht="18" customHeight="1" x14ac:dyDescent="0.35">
      <c r="B9" s="469" t="s">
        <v>1957</v>
      </c>
      <c r="C9" s="470"/>
      <c r="D9" s="471"/>
      <c r="E9" s="471"/>
      <c r="F9" s="471"/>
      <c r="G9" s="471"/>
      <c r="H9" s="471"/>
      <c r="I9" s="471"/>
      <c r="J9" s="471"/>
      <c r="K9" s="471"/>
      <c r="L9" s="471"/>
      <c r="M9" s="471">
        <v>1609.9</v>
      </c>
      <c r="N9" s="471">
        <v>1588.5</v>
      </c>
      <c r="O9" s="471">
        <v>1576.4</v>
      </c>
      <c r="P9" s="471">
        <v>1602.5</v>
      </c>
      <c r="Q9" s="441">
        <v>1601.7</v>
      </c>
      <c r="R9" s="441">
        <v>1612.3</v>
      </c>
      <c r="S9" s="441">
        <v>1636.3</v>
      </c>
      <c r="T9" s="441">
        <v>1691.8</v>
      </c>
      <c r="U9" s="441">
        <v>1730.6</v>
      </c>
      <c r="V9" s="441">
        <v>1744.3</v>
      </c>
      <c r="W9" s="441">
        <v>1791.6</v>
      </c>
      <c r="X9" s="441">
        <v>1795.9</v>
      </c>
      <c r="Y9" s="440">
        <v>1804.5</v>
      </c>
      <c r="Z9" s="440">
        <v>1815.8</v>
      </c>
      <c r="AA9" s="440">
        <v>1831.3</v>
      </c>
      <c r="AB9" s="440">
        <v>1845.1</v>
      </c>
      <c r="AC9" s="440">
        <v>1856.5</v>
      </c>
      <c r="AD9" s="440">
        <v>1868.4</v>
      </c>
      <c r="AE9" s="440">
        <v>1881.1</v>
      </c>
      <c r="AF9" s="440">
        <v>1895</v>
      </c>
      <c r="AG9" s="456">
        <v>1909</v>
      </c>
      <c r="AH9">
        <v>1923.3</v>
      </c>
      <c r="AI9">
        <v>1937.9</v>
      </c>
      <c r="AJ9">
        <v>1952.4</v>
      </c>
      <c r="AK9">
        <v>1965.7</v>
      </c>
      <c r="AL9">
        <v>1979.2</v>
      </c>
      <c r="AM9">
        <v>1992.8</v>
      </c>
      <c r="AN9">
        <v>2007</v>
      </c>
      <c r="AO9">
        <v>2020.8</v>
      </c>
      <c r="AP9">
        <v>2034.6</v>
      </c>
      <c r="AQ9">
        <v>2048.6</v>
      </c>
      <c r="AR9">
        <v>2062.9</v>
      </c>
      <c r="AS9">
        <v>2076.9</v>
      </c>
      <c r="AT9">
        <v>2091</v>
      </c>
      <c r="AU9">
        <v>2105.1999999999998</v>
      </c>
      <c r="AV9">
        <v>2119.5</v>
      </c>
      <c r="AW9">
        <v>2133.6999999999998</v>
      </c>
      <c r="AX9">
        <v>2147.9</v>
      </c>
      <c r="AY9">
        <v>2162.3000000000002</v>
      </c>
      <c r="AZ9">
        <v>2176.6</v>
      </c>
      <c r="BA9">
        <v>2190.6</v>
      </c>
      <c r="BB9">
        <v>2204.6</v>
      </c>
      <c r="BC9">
        <v>2219</v>
      </c>
      <c r="BD9">
        <v>2226.6999999999998</v>
      </c>
      <c r="BE9">
        <v>2235.3000000000002</v>
      </c>
      <c r="BF9">
        <v>2245.3000000000002</v>
      </c>
      <c r="BG9">
        <v>2259.1999999999998</v>
      </c>
      <c r="BH9">
        <v>2276.1</v>
      </c>
      <c r="BI9">
        <v>2292.3000000000002</v>
      </c>
      <c r="BJ9">
        <v>2308</v>
      </c>
      <c r="BK9">
        <v>2322.9</v>
      </c>
      <c r="BL9">
        <v>2337.9</v>
      </c>
      <c r="BM9">
        <v>2352.6999999999998</v>
      </c>
      <c r="BN9">
        <v>2367.6</v>
      </c>
      <c r="BO9">
        <v>2382.6</v>
      </c>
      <c r="BP9">
        <v>2398.1</v>
      </c>
    </row>
    <row r="10" spans="2:68" ht="17.25" customHeight="1" x14ac:dyDescent="0.35">
      <c r="B10" s="474" t="s">
        <v>1958</v>
      </c>
      <c r="C10" s="466"/>
      <c r="D10" s="466"/>
      <c r="E10" s="466"/>
      <c r="F10" s="466"/>
      <c r="G10" s="466"/>
      <c r="H10" s="467"/>
      <c r="I10" s="467"/>
      <c r="J10" s="467"/>
      <c r="K10" s="467"/>
      <c r="L10" s="467"/>
      <c r="M10" s="467">
        <v>22.143000000000001</v>
      </c>
      <c r="N10" s="467">
        <v>-5.2320000000000002</v>
      </c>
      <c r="O10" s="467">
        <v>-2.996</v>
      </c>
      <c r="P10" s="467">
        <v>6.7709999999999999</v>
      </c>
      <c r="Q10" s="223">
        <v>-0.192</v>
      </c>
      <c r="R10" s="223">
        <v>2.6680000000000001</v>
      </c>
      <c r="S10" s="223">
        <v>6.1040000000000001</v>
      </c>
      <c r="T10" s="223">
        <v>14.257</v>
      </c>
      <c r="U10" s="223">
        <v>9.5150000000000006</v>
      </c>
      <c r="V10" s="223">
        <v>3.1989999999999998</v>
      </c>
      <c r="W10" s="223">
        <v>11.278</v>
      </c>
      <c r="X10" s="223">
        <v>0.98099999999999998</v>
      </c>
      <c r="Y10" s="437">
        <v>1.93</v>
      </c>
      <c r="Z10" s="437">
        <v>2.5139999999999998</v>
      </c>
      <c r="AA10" s="437">
        <v>3.4710000000000001</v>
      </c>
      <c r="AB10" s="437">
        <v>3.0489999999999999</v>
      </c>
      <c r="AC10" s="437">
        <v>2.476</v>
      </c>
      <c r="AD10" s="437">
        <v>2.597</v>
      </c>
      <c r="AE10" s="437">
        <v>2.7549999999999999</v>
      </c>
      <c r="AF10" s="437">
        <v>2.9870000000000001</v>
      </c>
      <c r="AG10" s="437">
        <v>2.988</v>
      </c>
      <c r="AH10" s="437">
        <v>3.0230000000000001</v>
      </c>
      <c r="AI10" s="437">
        <v>3.0569999999999999</v>
      </c>
      <c r="AJ10" s="437">
        <v>3.044</v>
      </c>
      <c r="AK10" s="437">
        <v>2.7509999999999999</v>
      </c>
      <c r="AL10">
        <v>2.7629999999999999</v>
      </c>
      <c r="AM10">
        <v>2.7759999999999998</v>
      </c>
      <c r="AN10">
        <v>2.891</v>
      </c>
      <c r="AO10">
        <v>2.7650000000000001</v>
      </c>
      <c r="AP10">
        <v>2.7719999999999998</v>
      </c>
      <c r="AQ10">
        <v>2.778</v>
      </c>
      <c r="AR10">
        <v>2.827</v>
      </c>
      <c r="AS10">
        <v>2.74</v>
      </c>
      <c r="AT10">
        <v>2.7410000000000001</v>
      </c>
      <c r="AU10">
        <v>2.7450000000000001</v>
      </c>
      <c r="AV10">
        <v>2.746</v>
      </c>
      <c r="AW10">
        <v>2.698</v>
      </c>
      <c r="AX10">
        <v>2.6989999999999998</v>
      </c>
      <c r="AY10">
        <v>2.6989999999999998</v>
      </c>
      <c r="AZ10">
        <v>2.677</v>
      </c>
      <c r="BA10">
        <v>2.5880000000000001</v>
      </c>
      <c r="BB10">
        <v>2.5880000000000001</v>
      </c>
      <c r="BC10">
        <v>2.6259999999999999</v>
      </c>
      <c r="BD10">
        <v>1.411</v>
      </c>
      <c r="BE10">
        <v>1.542</v>
      </c>
      <c r="BF10">
        <v>1.8089999999999999</v>
      </c>
      <c r="BG10">
        <v>2.4870000000000001</v>
      </c>
      <c r="BH10">
        <v>3.0409999999999999</v>
      </c>
      <c r="BI10">
        <v>2.8620000000000001</v>
      </c>
      <c r="BJ10">
        <v>2.7770000000000001</v>
      </c>
      <c r="BK10">
        <v>2.6040000000000001</v>
      </c>
      <c r="BL10">
        <v>2.6080000000000001</v>
      </c>
      <c r="BM10">
        <v>2.5529999999999999</v>
      </c>
      <c r="BN10">
        <v>2.5569999999999999</v>
      </c>
      <c r="BO10">
        <v>2.5609999999999999</v>
      </c>
      <c r="BP10">
        <v>2.6230000000000002</v>
      </c>
    </row>
    <row r="11" spans="2:68" ht="17.25" customHeight="1" x14ac:dyDescent="0.35">
      <c r="B11" s="480" t="s">
        <v>195</v>
      </c>
      <c r="C11" s="466" t="s">
        <v>908</v>
      </c>
      <c r="D11" s="466"/>
      <c r="E11" s="466"/>
      <c r="F11" s="466"/>
      <c r="G11" s="466"/>
      <c r="H11" s="455">
        <f>'Haver Pivoted'!GS23</f>
        <v>1442</v>
      </c>
      <c r="I11" s="455">
        <f>'Haver Pivoted'!GT23</f>
        <v>1464.7</v>
      </c>
      <c r="J11" s="455">
        <f>'Haver Pivoted'!GU23</f>
        <v>1569.8</v>
      </c>
      <c r="K11" s="455">
        <f>'Haver Pivoted'!GV23</f>
        <v>1527.7</v>
      </c>
      <c r="L11" s="455">
        <f>'Haver Pivoted'!GW23</f>
        <v>1531.4</v>
      </c>
      <c r="M11" s="455">
        <f>'Haver Pivoted'!GX23</f>
        <v>1609.9</v>
      </c>
      <c r="N11" s="455">
        <f>'Haver Pivoted'!GY23</f>
        <v>1588.5</v>
      </c>
      <c r="O11" s="455">
        <f>'Haver Pivoted'!GZ23</f>
        <v>1576.4</v>
      </c>
      <c r="P11" s="455">
        <f>'Haver Pivoted'!HA23</f>
        <v>1602.5</v>
      </c>
      <c r="Q11" s="455">
        <f>'Haver Pivoted'!HB23</f>
        <v>1601.7</v>
      </c>
      <c r="R11" s="455">
        <f>'Haver Pivoted'!HC23</f>
        <v>1612.3</v>
      </c>
      <c r="S11" s="468">
        <f>'Haver Pivoted'!HD23</f>
        <v>1636.3</v>
      </c>
      <c r="T11" s="468">
        <f>'Haver Pivoted'!HE23</f>
        <v>1691.8</v>
      </c>
      <c r="U11" s="468">
        <f>'Haver Pivoted'!HF23</f>
        <v>1730.6</v>
      </c>
      <c r="V11" s="468">
        <f>'Haver Pivoted'!HG23</f>
        <v>1744.3</v>
      </c>
      <c r="W11" s="468">
        <f>'Haver Pivoted'!HH23</f>
        <v>1791.9</v>
      </c>
      <c r="X11" s="468">
        <f>'Haver Pivoted'!HI23</f>
        <v>1820</v>
      </c>
      <c r="Y11" s="468">
        <f>'Haver Pivoted'!HJ23</f>
        <v>1837.4</v>
      </c>
      <c r="Z11" s="458">
        <f t="shared" ref="Z11:AE11" si="0">(1+(Z10/100))^(1/4)*Y11</f>
        <v>1848.840759157905</v>
      </c>
      <c r="AA11" s="458">
        <f t="shared" si="0"/>
        <v>1864.6793808570437</v>
      </c>
      <c r="AB11" s="458">
        <f t="shared" si="0"/>
        <v>1878.7332168270141</v>
      </c>
      <c r="AC11" s="458">
        <f t="shared" si="0"/>
        <v>1890.2561303510229</v>
      </c>
      <c r="AD11" s="458">
        <f t="shared" si="0"/>
        <v>1902.4108784838113</v>
      </c>
      <c r="AE11" s="458">
        <f t="shared" si="0"/>
        <v>1915.3804996580586</v>
      </c>
      <c r="AF11" s="458">
        <f>(1+(AF10/100))^(1/4)*AE11</f>
        <v>1929.5261263966356</v>
      </c>
      <c r="AG11" s="458">
        <f>(1+(AG10/100))^(1/4)*AF11</f>
        <v>1943.7809410714542</v>
      </c>
    </row>
    <row r="12" spans="2:68" x14ac:dyDescent="0.35">
      <c r="B12" s="477" t="s">
        <v>387</v>
      </c>
      <c r="C12" s="478"/>
      <c r="D12" s="478"/>
      <c r="E12" s="478"/>
      <c r="F12" s="478"/>
      <c r="G12" s="478"/>
      <c r="H12" s="453">
        <f t="shared" ref="H12:AB12" si="1">H11+H50</f>
        <v>1720.9849999999999</v>
      </c>
      <c r="I12" s="453">
        <f t="shared" si="1"/>
        <v>1754.057</v>
      </c>
      <c r="J12" s="453">
        <f t="shared" si="1"/>
        <v>1966.0359999999998</v>
      </c>
      <c r="K12" s="453">
        <f t="shared" si="1"/>
        <v>1905.4850000000001</v>
      </c>
      <c r="L12" s="453">
        <f t="shared" si="1"/>
        <v>1896.345</v>
      </c>
      <c r="M12" s="453">
        <f t="shared" si="1"/>
        <v>2003.2760000000001</v>
      </c>
      <c r="N12" s="453">
        <f t="shared" si="1"/>
        <v>2017.9880000000003</v>
      </c>
      <c r="O12" s="453">
        <f t="shared" si="1"/>
        <v>2022.1680000000001</v>
      </c>
      <c r="P12" s="453">
        <f t="shared" si="1"/>
        <v>2070.8738520000002</v>
      </c>
      <c r="Q12" s="453">
        <f t="shared" si="1"/>
        <v>2110.3372748000002</v>
      </c>
      <c r="R12" s="453">
        <f t="shared" si="1"/>
        <v>2188.4153177142857</v>
      </c>
      <c r="S12" s="453">
        <f t="shared" si="1"/>
        <v>2198.4051537142859</v>
      </c>
      <c r="T12" s="453">
        <f t="shared" si="1"/>
        <v>2213.3022137142857</v>
      </c>
      <c r="U12" s="454">
        <f t="shared" si="1"/>
        <v>2246.2598289142857</v>
      </c>
      <c r="V12" s="454">
        <f t="shared" si="1"/>
        <v>2249.5060057142855</v>
      </c>
      <c r="W12" s="454">
        <f t="shared" si="1"/>
        <v>2283.567229714286</v>
      </c>
      <c r="X12" s="454">
        <f t="shared" si="1"/>
        <v>2325.2442297142857</v>
      </c>
      <c r="Y12" s="479">
        <f t="shared" si="1"/>
        <v>2342.3722297142858</v>
      </c>
      <c r="Z12" s="479">
        <f t="shared" si="1"/>
        <v>2344.5780621554386</v>
      </c>
      <c r="AA12" s="479">
        <f t="shared" si="1"/>
        <v>2364.8968891537702</v>
      </c>
      <c r="AB12" s="479">
        <f t="shared" si="1"/>
        <v>2385.3160282230579</v>
      </c>
      <c r="AC12" s="457">
        <f>AC11+AC50</f>
        <v>2380.0284930653088</v>
      </c>
      <c r="AD12" s="457"/>
      <c r="AE12" s="457"/>
      <c r="AF12" s="457"/>
      <c r="AG12" s="457"/>
      <c r="AH12" s="240" t="s">
        <v>388</v>
      </c>
    </row>
    <row r="13" spans="2:68" ht="15.75" customHeight="1" x14ac:dyDescent="0.35">
      <c r="B13" s="249"/>
      <c r="C13" s="249"/>
      <c r="D13" s="249"/>
      <c r="E13" s="249"/>
      <c r="F13" s="249"/>
      <c r="G13" s="249"/>
      <c r="H13" s="231"/>
      <c r="I13" s="231"/>
      <c r="J13" s="231"/>
      <c r="K13" s="231"/>
      <c r="L13" s="231"/>
      <c r="M13" s="231"/>
      <c r="N13" s="231"/>
      <c r="O13" s="231"/>
      <c r="AC13" s="56"/>
      <c r="AD13" s="56"/>
      <c r="AH13" s="240"/>
    </row>
    <row r="14" spans="2:68" x14ac:dyDescent="0.35">
      <c r="B14" s="249"/>
      <c r="C14" s="249"/>
      <c r="D14" s="249"/>
      <c r="E14" s="249"/>
      <c r="F14" s="249"/>
      <c r="G14" s="249"/>
      <c r="H14" s="231"/>
      <c r="I14" s="231"/>
      <c r="J14" s="231"/>
      <c r="K14" s="231"/>
      <c r="L14" s="231"/>
      <c r="M14" s="231"/>
      <c r="N14" s="231"/>
      <c r="O14" s="231"/>
      <c r="P14" s="486"/>
      <c r="Q14" s="486"/>
      <c r="R14" s="486"/>
      <c r="S14" s="486"/>
      <c r="T14" s="486"/>
      <c r="U14" s="486"/>
      <c r="V14" s="486"/>
      <c r="W14" s="486"/>
      <c r="X14" s="486"/>
      <c r="Y14" s="486"/>
      <c r="Z14" s="486"/>
      <c r="AA14" s="486"/>
      <c r="AB14" s="486"/>
      <c r="AC14" s="486"/>
      <c r="AD14" s="486"/>
      <c r="AE14" s="486"/>
      <c r="AF14" s="486"/>
      <c r="AG14" s="486"/>
    </row>
    <row r="15" spans="2:68" ht="21.75" customHeight="1" x14ac:dyDescent="0.35">
      <c r="B15" s="1277" t="s">
        <v>165</v>
      </c>
      <c r="C15" s="1277"/>
      <c r="D15" s="1277"/>
      <c r="E15" s="1277"/>
      <c r="F15" s="1277"/>
      <c r="G15" s="1277"/>
      <c r="H15" s="1277"/>
      <c r="I15" s="1277"/>
      <c r="J15" s="1277"/>
      <c r="K15" s="1277"/>
      <c r="L15" s="1277"/>
      <c r="M15" s="1277"/>
      <c r="N15" s="1277"/>
      <c r="O15" s="1277"/>
      <c r="P15" s="1277"/>
      <c r="Q15" s="1277"/>
      <c r="R15" s="1277"/>
      <c r="S15" s="1277"/>
      <c r="T15" s="1277"/>
      <c r="U15" s="1277"/>
      <c r="V15" s="1277"/>
      <c r="W15" s="1277"/>
      <c r="X15" s="1277"/>
      <c r="Y15" s="1277"/>
      <c r="Z15" s="1277"/>
      <c r="AA15" s="1277"/>
      <c r="AB15" s="1277"/>
      <c r="AC15" s="1277"/>
      <c r="AD15" s="212"/>
      <c r="AE15" s="212"/>
      <c r="AF15" s="212"/>
      <c r="AG15" s="212"/>
      <c r="AI15" s="494"/>
    </row>
    <row r="16" spans="2:68" ht="14.25" customHeight="1" x14ac:dyDescent="0.35">
      <c r="B16" s="1278" t="s">
        <v>389</v>
      </c>
      <c r="C16" s="1278"/>
      <c r="D16" s="1278"/>
      <c r="E16" s="1278"/>
      <c r="F16" s="1278"/>
      <c r="G16" s="1278"/>
      <c r="H16" s="1278"/>
      <c r="I16" s="1278"/>
      <c r="J16" s="1278"/>
      <c r="K16" s="1278"/>
      <c r="L16" s="1278"/>
      <c r="M16" s="1278"/>
      <c r="N16" s="1278"/>
      <c r="O16" s="1278"/>
      <c r="P16" s="1278"/>
      <c r="Q16" s="1278"/>
      <c r="R16" s="1278"/>
      <c r="S16" s="1278"/>
      <c r="T16" s="1278"/>
      <c r="U16" s="1278"/>
      <c r="V16" s="1278"/>
      <c r="W16" s="1278"/>
      <c r="X16" s="1278"/>
      <c r="Y16" s="1278"/>
      <c r="Z16" s="1278"/>
      <c r="AA16" s="1278"/>
      <c r="AB16" s="1278"/>
      <c r="AC16" s="1278"/>
      <c r="AD16" s="213"/>
      <c r="AE16" s="213"/>
      <c r="AF16" s="213"/>
      <c r="AG16" s="213"/>
      <c r="AI16" s="494"/>
    </row>
    <row r="17" spans="2:68" x14ac:dyDescent="0.35">
      <c r="B17" s="1278"/>
      <c r="C17" s="1278"/>
      <c r="D17" s="1278"/>
      <c r="E17" s="1278"/>
      <c r="F17" s="1278"/>
      <c r="G17" s="1278"/>
      <c r="H17" s="1278"/>
      <c r="I17" s="1278"/>
      <c r="J17" s="1278"/>
      <c r="K17" s="1278"/>
      <c r="L17" s="1278"/>
      <c r="M17" s="1278"/>
      <c r="N17" s="1278"/>
      <c r="O17" s="1278"/>
      <c r="P17" s="1278"/>
      <c r="Q17" s="1278"/>
      <c r="R17" s="1278"/>
      <c r="S17" s="1278"/>
      <c r="T17" s="1278"/>
      <c r="U17" s="1278"/>
      <c r="V17" s="1278"/>
      <c r="W17" s="1278"/>
      <c r="X17" s="1278"/>
      <c r="Y17" s="1278"/>
      <c r="Z17" s="1278"/>
      <c r="AA17" s="1278"/>
      <c r="AB17" s="1278"/>
      <c r="AC17" s="1278"/>
      <c r="AD17" s="213"/>
      <c r="AE17" s="213"/>
      <c r="AF17" s="213"/>
      <c r="AG17" s="213"/>
    </row>
    <row r="18" spans="2:68" x14ac:dyDescent="0.35">
      <c r="B18" s="1278"/>
      <c r="C18" s="1278"/>
      <c r="D18" s="1278"/>
      <c r="E18" s="1278"/>
      <c r="F18" s="1278"/>
      <c r="G18" s="1278"/>
      <c r="H18" s="1278"/>
      <c r="I18" s="1278"/>
      <c r="J18" s="1278"/>
      <c r="K18" s="1278"/>
      <c r="L18" s="1278"/>
      <c r="M18" s="1278"/>
      <c r="N18" s="1278"/>
      <c r="O18" s="1278"/>
      <c r="P18" s="1278"/>
      <c r="Q18" s="1278"/>
      <c r="R18" s="1278"/>
      <c r="S18" s="1278"/>
      <c r="T18" s="1278"/>
      <c r="U18" s="1278"/>
      <c r="V18" s="1278"/>
      <c r="W18" s="1278"/>
      <c r="X18" s="1278"/>
      <c r="Y18" s="1278"/>
      <c r="Z18" s="1278"/>
      <c r="AA18" s="1278"/>
      <c r="AB18" s="1278"/>
      <c r="AC18" s="1278"/>
      <c r="AD18" s="213"/>
      <c r="AE18" s="213"/>
      <c r="AF18" s="213"/>
      <c r="AG18" s="213"/>
    </row>
    <row r="20" spans="2:68" x14ac:dyDescent="0.35">
      <c r="B20" s="1282" t="s">
        <v>279</v>
      </c>
      <c r="C20" s="1283"/>
      <c r="D20" s="1284" t="s">
        <v>280</v>
      </c>
      <c r="E20" s="1300"/>
      <c r="F20" s="1300"/>
      <c r="G20" s="1300"/>
      <c r="H20" s="1300"/>
      <c r="I20" s="1300"/>
      <c r="J20" s="1300"/>
      <c r="K20" s="1300"/>
      <c r="L20" s="1300"/>
      <c r="M20" s="1300"/>
      <c r="N20" s="1300"/>
      <c r="O20" s="1300"/>
      <c r="P20" s="1300"/>
      <c r="Q20" s="1300"/>
      <c r="R20" s="1300"/>
      <c r="S20" s="1300"/>
      <c r="T20" s="1300"/>
      <c r="U20" s="1300"/>
      <c r="V20" s="1300"/>
      <c r="W20" s="1323" t="s">
        <v>281</v>
      </c>
      <c r="X20" s="1323"/>
      <c r="Y20" s="1323"/>
      <c r="Z20" s="1323"/>
      <c r="AA20" s="1323"/>
      <c r="AB20" s="1323"/>
      <c r="AC20" s="1323"/>
      <c r="AD20" s="1323"/>
      <c r="AE20" s="1323"/>
      <c r="AF20" s="1323"/>
      <c r="AG20" s="1323"/>
    </row>
    <row r="21" spans="2:68" x14ac:dyDescent="0.35">
      <c r="B21" s="1284"/>
      <c r="C21" s="1285"/>
      <c r="D21" s="219">
        <v>2018</v>
      </c>
      <c r="E21" s="1291">
        <v>2019</v>
      </c>
      <c r="F21" s="1321"/>
      <c r="G21" s="1321"/>
      <c r="H21" s="1293"/>
      <c r="I21" s="1291">
        <v>2020</v>
      </c>
      <c r="J21" s="1321"/>
      <c r="K21" s="1321"/>
      <c r="L21" s="1321"/>
      <c r="M21" s="1291">
        <v>2021</v>
      </c>
      <c r="N21" s="1321"/>
      <c r="O21" s="1321"/>
      <c r="P21" s="1321"/>
      <c r="Q21" s="1291">
        <v>2022</v>
      </c>
      <c r="R21" s="1321"/>
      <c r="S21" s="1321"/>
      <c r="T21" s="1293"/>
      <c r="U21" s="239"/>
      <c r="V21" s="288">
        <v>2023</v>
      </c>
      <c r="W21" s="289"/>
      <c r="X21" s="260"/>
      <c r="Y21" s="1288">
        <v>2024</v>
      </c>
      <c r="Z21" s="1289"/>
      <c r="AA21" s="1289"/>
      <c r="AB21" s="1290"/>
      <c r="AC21" s="1288">
        <v>2025</v>
      </c>
      <c r="AD21" s="1289"/>
      <c r="AE21" s="1289"/>
      <c r="AF21" s="1290"/>
      <c r="AG21" s="251">
        <v>2026</v>
      </c>
    </row>
    <row r="22" spans="2:68" x14ac:dyDescent="0.35">
      <c r="B22" s="1284"/>
      <c r="C22" s="1285"/>
      <c r="D22" s="214" t="s">
        <v>282</v>
      </c>
      <c r="E22" s="214" t="s">
        <v>283</v>
      </c>
      <c r="F22" s="215" t="s">
        <v>284</v>
      </c>
      <c r="G22" s="215" t="s">
        <v>238</v>
      </c>
      <c r="H22" s="216" t="s">
        <v>282</v>
      </c>
      <c r="I22" s="215" t="s">
        <v>283</v>
      </c>
      <c r="J22" s="215" t="s">
        <v>284</v>
      </c>
      <c r="K22" s="215" t="s">
        <v>238</v>
      </c>
      <c r="L22" s="215" t="s">
        <v>282</v>
      </c>
      <c r="M22" s="214" t="s">
        <v>283</v>
      </c>
      <c r="N22" s="215" t="s">
        <v>284</v>
      </c>
      <c r="O22" s="215" t="s">
        <v>238</v>
      </c>
      <c r="P22" s="215" t="s">
        <v>282</v>
      </c>
      <c r="Q22" s="214" t="s">
        <v>283</v>
      </c>
      <c r="R22" s="215" t="s">
        <v>284</v>
      </c>
      <c r="S22" s="215" t="s">
        <v>238</v>
      </c>
      <c r="T22" s="216" t="s">
        <v>282</v>
      </c>
      <c r="U22" s="285" t="s">
        <v>283</v>
      </c>
      <c r="V22" s="286" t="s">
        <v>284</v>
      </c>
      <c r="W22" s="270" t="s">
        <v>238</v>
      </c>
      <c r="X22" s="271" t="s">
        <v>282</v>
      </c>
      <c r="Y22" s="269" t="s">
        <v>283</v>
      </c>
      <c r="Z22" s="267" t="s">
        <v>284</v>
      </c>
      <c r="AA22" s="270" t="s">
        <v>238</v>
      </c>
      <c r="AB22" s="271" t="s">
        <v>282</v>
      </c>
      <c r="AC22" s="269" t="s">
        <v>283</v>
      </c>
      <c r="AD22" s="267" t="s">
        <v>284</v>
      </c>
      <c r="AE22" s="270" t="s">
        <v>238</v>
      </c>
      <c r="AF22" s="271" t="s">
        <v>282</v>
      </c>
      <c r="AG22" s="272" t="s">
        <v>283</v>
      </c>
    </row>
    <row r="23" spans="2:68" x14ac:dyDescent="0.35">
      <c r="B23" s="490" t="s">
        <v>111</v>
      </c>
      <c r="C23" s="484" t="s">
        <v>390</v>
      </c>
      <c r="D23" s="484"/>
      <c r="E23" s="484"/>
      <c r="F23" s="484"/>
      <c r="G23" s="484"/>
      <c r="H23" s="463">
        <f>'Haver Pivoted'!GS24</f>
        <v>2423.4</v>
      </c>
      <c r="I23" s="463">
        <f>'Haver Pivoted'!GT24</f>
        <v>2478.9</v>
      </c>
      <c r="J23" s="463">
        <f>'Haver Pivoted'!GU24</f>
        <v>2451.3000000000002</v>
      </c>
      <c r="K23" s="463">
        <f>'Haver Pivoted'!GV24</f>
        <v>2468.3000000000002</v>
      </c>
      <c r="L23" s="463">
        <f>'Haver Pivoted'!GW24</f>
        <v>2486.9</v>
      </c>
      <c r="M23" s="463">
        <f>'Haver Pivoted'!GX24</f>
        <v>2533.9</v>
      </c>
      <c r="N23" s="463">
        <f>'Haver Pivoted'!GY24</f>
        <v>2571.6999999999998</v>
      </c>
      <c r="O23" s="463">
        <f>'Haver Pivoted'!GZ24</f>
        <v>2625.1</v>
      </c>
      <c r="P23" s="463">
        <f>'Haver Pivoted'!HA24</f>
        <v>2664.2</v>
      </c>
      <c r="Q23" s="463">
        <f>'Haver Pivoted'!HB24</f>
        <v>2719.7</v>
      </c>
      <c r="R23" s="463">
        <f>'Haver Pivoted'!HC24</f>
        <v>2803.4</v>
      </c>
      <c r="S23" s="473">
        <f>'Haver Pivoted'!HD24</f>
        <v>2841.5</v>
      </c>
      <c r="T23" s="473">
        <f>'Haver Pivoted'!HE24</f>
        <v>2880.6</v>
      </c>
      <c r="U23" s="293">
        <f>'Haver Pivoted'!HF24</f>
        <v>2913.2</v>
      </c>
      <c r="V23" s="293">
        <f>'Haver Pivoted'!HG24</f>
        <v>2925.5</v>
      </c>
      <c r="W23" s="293">
        <f>'Haver Pivoted'!HH24</f>
        <v>3002.9</v>
      </c>
      <c r="X23" s="293">
        <f>'Haver Pivoted'!HI24</f>
        <v>3051.8</v>
      </c>
      <c r="Y23" s="293">
        <f>'Haver Pivoted'!HJ24</f>
        <v>3103.6</v>
      </c>
      <c r="Z23" s="236"/>
      <c r="AA23" s="236"/>
      <c r="AB23" s="236"/>
      <c r="AC23" s="236"/>
      <c r="AD23" s="236"/>
      <c r="AE23" s="236"/>
      <c r="AF23" s="236"/>
      <c r="AG23" s="236"/>
    </row>
    <row r="24" spans="2:68" ht="29.25" customHeight="1" x14ac:dyDescent="0.35">
      <c r="B24" s="493" t="s">
        <v>1959</v>
      </c>
      <c r="C24" s="472"/>
      <c r="D24" s="472"/>
      <c r="E24" s="472"/>
      <c r="F24" s="472"/>
      <c r="G24" s="472"/>
      <c r="H24" s="231"/>
      <c r="I24" s="231"/>
      <c r="J24" s="231"/>
      <c r="K24" s="231"/>
      <c r="L24" s="231"/>
      <c r="M24" s="231">
        <v>2533.9</v>
      </c>
      <c r="N24" s="231">
        <v>2571.6999999999998</v>
      </c>
      <c r="O24" s="231">
        <v>2625.1</v>
      </c>
      <c r="P24" s="231">
        <v>2664.2</v>
      </c>
      <c r="Q24" s="441">
        <v>2719.7</v>
      </c>
      <c r="R24" s="441">
        <v>2803.4</v>
      </c>
      <c r="S24" s="441">
        <v>2841.5</v>
      </c>
      <c r="T24" s="441">
        <v>2880.6</v>
      </c>
      <c r="U24" s="441">
        <v>2913.2</v>
      </c>
      <c r="V24" s="441">
        <v>2925.5</v>
      </c>
      <c r="W24" s="441">
        <v>3000.9</v>
      </c>
      <c r="X24" s="441">
        <v>3026.5</v>
      </c>
      <c r="Y24" s="438">
        <v>3047.5</v>
      </c>
      <c r="Z24" s="438">
        <v>3074.1</v>
      </c>
      <c r="AA24" s="438">
        <v>3101.3</v>
      </c>
      <c r="AB24" s="438">
        <v>3128.3</v>
      </c>
      <c r="AC24" s="438">
        <v>3157.3</v>
      </c>
      <c r="AD24" s="438">
        <v>3186.8</v>
      </c>
      <c r="AE24" s="438">
        <v>3217</v>
      </c>
      <c r="AF24" s="438">
        <v>3247.2</v>
      </c>
      <c r="AG24" s="438">
        <v>3279</v>
      </c>
      <c r="AH24" s="438">
        <v>3310.2</v>
      </c>
      <c r="AI24" s="438">
        <v>3342.1</v>
      </c>
      <c r="AJ24" s="438">
        <v>3373.9</v>
      </c>
      <c r="AK24" s="438">
        <v>3405.1</v>
      </c>
      <c r="AL24">
        <v>3438.3</v>
      </c>
      <c r="AM24">
        <v>3471.3</v>
      </c>
      <c r="AN24">
        <v>3503.9</v>
      </c>
      <c r="AO24">
        <v>3536.5</v>
      </c>
      <c r="AP24">
        <v>3568.2</v>
      </c>
      <c r="AQ24">
        <v>3599.9</v>
      </c>
      <c r="AR24">
        <v>3631.6</v>
      </c>
      <c r="AS24">
        <v>3663.2</v>
      </c>
      <c r="AT24">
        <v>3695.4</v>
      </c>
      <c r="AU24">
        <v>3727</v>
      </c>
      <c r="AV24">
        <v>3758.7</v>
      </c>
      <c r="AW24">
        <v>3790.9</v>
      </c>
      <c r="AX24">
        <v>3823.3</v>
      </c>
      <c r="AY24">
        <v>3855.9</v>
      </c>
      <c r="AZ24">
        <v>3888.7</v>
      </c>
      <c r="BA24">
        <v>3921.6</v>
      </c>
      <c r="BB24">
        <v>3955</v>
      </c>
      <c r="BC24">
        <v>3988.6</v>
      </c>
      <c r="BD24">
        <v>4022.1</v>
      </c>
      <c r="BE24">
        <v>4056.2</v>
      </c>
      <c r="BF24">
        <v>4090.5</v>
      </c>
      <c r="BG24">
        <v>4125.2</v>
      </c>
      <c r="BH24">
        <v>4160.3</v>
      </c>
      <c r="BI24">
        <v>4195.3</v>
      </c>
      <c r="BJ24">
        <v>4230.6000000000004</v>
      </c>
      <c r="BK24">
        <v>4266</v>
      </c>
      <c r="BL24">
        <v>4301.8</v>
      </c>
      <c r="BM24">
        <v>4338</v>
      </c>
      <c r="BN24">
        <v>4374.6000000000004</v>
      </c>
      <c r="BO24">
        <v>4411.8</v>
      </c>
      <c r="BP24">
        <v>4449.3999999999996</v>
      </c>
    </row>
    <row r="25" spans="2:68" ht="29.25" customHeight="1" x14ac:dyDescent="0.35">
      <c r="B25" s="493" t="s">
        <v>1960</v>
      </c>
      <c r="C25" s="472"/>
      <c r="D25" s="472"/>
      <c r="E25" s="472"/>
      <c r="F25" s="472"/>
      <c r="G25" s="472"/>
      <c r="H25" s="231"/>
      <c r="I25" s="223"/>
      <c r="J25" s="223"/>
      <c r="K25" s="223"/>
      <c r="L25" s="223"/>
      <c r="M25" s="223">
        <v>7.7759999999999998</v>
      </c>
      <c r="N25" s="223">
        <v>6.1050000000000004</v>
      </c>
      <c r="O25" s="223">
        <v>8.5640000000000001</v>
      </c>
      <c r="P25" s="223">
        <v>6.0890000000000004</v>
      </c>
      <c r="Q25" s="223">
        <v>8.6</v>
      </c>
      <c r="R25" s="223">
        <v>12.888999999999999</v>
      </c>
      <c r="S25" s="223">
        <v>5.55</v>
      </c>
      <c r="T25" s="223">
        <v>5.62</v>
      </c>
      <c r="U25" s="223">
        <v>4.6040000000000001</v>
      </c>
      <c r="V25" s="223">
        <v>1.69</v>
      </c>
      <c r="W25" s="223">
        <v>10.717000000000001</v>
      </c>
      <c r="X25" s="223">
        <v>3.452</v>
      </c>
      <c r="Y25" s="437">
        <v>2.8029999999999999</v>
      </c>
      <c r="Z25" s="437">
        <v>3.5409999999999999</v>
      </c>
      <c r="AA25" s="437">
        <v>3.5880000000000001</v>
      </c>
      <c r="AB25" s="437">
        <v>3.5249999999999999</v>
      </c>
      <c r="AC25" s="437">
        <v>3.76</v>
      </c>
      <c r="AD25" s="437">
        <v>3.786</v>
      </c>
      <c r="AE25" s="437">
        <v>3.8559999999999999</v>
      </c>
      <c r="AF25" s="437">
        <v>3.8050000000000002</v>
      </c>
      <c r="AG25" s="437">
        <v>3.9670000000000001</v>
      </c>
      <c r="AH25" s="437">
        <v>3.8690000000000002</v>
      </c>
      <c r="AI25" s="437">
        <v>3.907</v>
      </c>
      <c r="AJ25" s="437">
        <v>3.859</v>
      </c>
      <c r="AK25" s="437">
        <v>3.75</v>
      </c>
      <c r="AL25">
        <v>3.96</v>
      </c>
      <c r="AM25">
        <v>3.8849999999999998</v>
      </c>
      <c r="AN25">
        <v>3.82</v>
      </c>
      <c r="AO25">
        <v>3.7629999999999999</v>
      </c>
      <c r="AP25">
        <v>3.6389999999999998</v>
      </c>
      <c r="AQ25">
        <v>3.605</v>
      </c>
      <c r="AR25">
        <v>3.5670000000000002</v>
      </c>
      <c r="AS25">
        <v>3.52</v>
      </c>
      <c r="AT25">
        <v>3.5670000000000002</v>
      </c>
      <c r="AU25">
        <v>3.46</v>
      </c>
      <c r="AV25">
        <v>3.4460000000000002</v>
      </c>
      <c r="AW25">
        <v>3.4670000000000001</v>
      </c>
      <c r="AX25">
        <v>3.464</v>
      </c>
      <c r="AY25">
        <v>3.456</v>
      </c>
      <c r="AZ25">
        <v>3.4430000000000001</v>
      </c>
      <c r="BA25">
        <v>3.4279999999999999</v>
      </c>
      <c r="BB25">
        <v>3.452</v>
      </c>
      <c r="BC25">
        <v>3.4390000000000001</v>
      </c>
      <c r="BD25">
        <v>3.41</v>
      </c>
      <c r="BE25">
        <v>3.4249999999999998</v>
      </c>
      <c r="BF25">
        <v>3.431</v>
      </c>
      <c r="BG25">
        <v>3.4369999999999998</v>
      </c>
      <c r="BH25">
        <v>3.4420000000000002</v>
      </c>
      <c r="BI25">
        <v>3.4119999999999999</v>
      </c>
      <c r="BJ25">
        <v>3.4039999999999999</v>
      </c>
      <c r="BK25">
        <v>3.3929999999999998</v>
      </c>
      <c r="BL25">
        <v>3.395</v>
      </c>
      <c r="BM25">
        <v>3.4079999999999999</v>
      </c>
      <c r="BN25">
        <v>3.4220000000000002</v>
      </c>
      <c r="BO25">
        <v>3.4420000000000002</v>
      </c>
      <c r="BP25">
        <v>3.4470000000000001</v>
      </c>
    </row>
    <row r="26" spans="2:68" ht="21" customHeight="1" x14ac:dyDescent="0.35">
      <c r="B26" s="481" t="s">
        <v>1961</v>
      </c>
      <c r="C26" s="249"/>
      <c r="D26" s="249"/>
      <c r="E26" s="249"/>
      <c r="F26" s="249"/>
      <c r="G26" s="249"/>
      <c r="H26" s="226"/>
      <c r="I26" s="226"/>
      <c r="J26" s="226"/>
      <c r="K26" s="226"/>
      <c r="L26" s="226"/>
      <c r="M26" s="226">
        <f t="shared" ref="M26:V26" si="2">((M23/L23)^4-1)*100</f>
        <v>7.7766292401933779</v>
      </c>
      <c r="N26" s="226">
        <f t="shared" si="2"/>
        <v>6.101942113226988</v>
      </c>
      <c r="O26" s="226">
        <f t="shared" si="2"/>
        <v>8.5680877371025801</v>
      </c>
      <c r="P26" s="226">
        <f t="shared" si="2"/>
        <v>6.0923056825790356</v>
      </c>
      <c r="Q26" s="226">
        <f t="shared" si="2"/>
        <v>8.5967202401499456</v>
      </c>
      <c r="R26" s="226">
        <f t="shared" si="2"/>
        <v>12.890207409855471</v>
      </c>
      <c r="S26" s="226">
        <f t="shared" si="2"/>
        <v>5.5480867891862351</v>
      </c>
      <c r="T26" s="226">
        <f t="shared" si="2"/>
        <v>5.618789054672324</v>
      </c>
      <c r="U26" s="226">
        <f t="shared" si="2"/>
        <v>4.6042619795704454</v>
      </c>
      <c r="V26" s="226">
        <f t="shared" si="2"/>
        <v>1.6995906045958797</v>
      </c>
      <c r="W26" s="442">
        <f>((W23/V23)^4-1)*100</f>
        <v>11.010247254253724</v>
      </c>
      <c r="X26" s="442">
        <f>((X23/W23)^4-1)*100</f>
        <v>6.6745439826610298</v>
      </c>
      <c r="Y26" s="442">
        <f>((Y23/X23)^4-1)*100</f>
        <v>6.9642617395680562</v>
      </c>
      <c r="Z26" s="236">
        <f>Z25+0.5</f>
        <v>4.0410000000000004</v>
      </c>
      <c r="AA26" s="236">
        <f>AA25+0.2</f>
        <v>3.7880000000000003</v>
      </c>
      <c r="AB26" s="236">
        <f>AB25+0.3</f>
        <v>3.8249999999999997</v>
      </c>
      <c r="AC26" s="236">
        <f t="shared" ref="AC26:AD26" si="3">AC25</f>
        <v>3.76</v>
      </c>
      <c r="AD26" s="236">
        <f t="shared" si="3"/>
        <v>3.786</v>
      </c>
      <c r="AE26" s="236">
        <f>AE25</f>
        <v>3.8559999999999999</v>
      </c>
      <c r="AF26" s="236">
        <f>AF25</f>
        <v>3.8050000000000002</v>
      </c>
      <c r="AG26" s="236">
        <f t="shared" ref="AG26" si="4">AG25</f>
        <v>3.9670000000000001</v>
      </c>
      <c r="AH26" s="489" t="s">
        <v>391</v>
      </c>
    </row>
    <row r="27" spans="2:68" ht="17.899999999999999" customHeight="1" x14ac:dyDescent="0.35">
      <c r="B27" s="492" t="s">
        <v>392</v>
      </c>
      <c r="C27" s="255"/>
      <c r="D27" s="255"/>
      <c r="E27" s="255"/>
      <c r="F27" s="255"/>
      <c r="G27" s="255"/>
      <c r="H27" s="229">
        <f t="shared" ref="H27:T27" si="5">H23</f>
        <v>2423.4</v>
      </c>
      <c r="I27" s="229">
        <f t="shared" si="5"/>
        <v>2478.9</v>
      </c>
      <c r="J27" s="229">
        <f t="shared" si="5"/>
        <v>2451.3000000000002</v>
      </c>
      <c r="K27" s="229">
        <f t="shared" si="5"/>
        <v>2468.3000000000002</v>
      </c>
      <c r="L27" s="229">
        <f t="shared" si="5"/>
        <v>2486.9</v>
      </c>
      <c r="M27" s="229">
        <f t="shared" si="5"/>
        <v>2533.9</v>
      </c>
      <c r="N27" s="229">
        <f t="shared" si="5"/>
        <v>2571.6999999999998</v>
      </c>
      <c r="O27" s="229">
        <f t="shared" si="5"/>
        <v>2625.1</v>
      </c>
      <c r="P27" s="229">
        <f t="shared" si="5"/>
        <v>2664.2</v>
      </c>
      <c r="Q27" s="229">
        <f t="shared" si="5"/>
        <v>2719.7</v>
      </c>
      <c r="R27" s="229">
        <f t="shared" si="5"/>
        <v>2803.4</v>
      </c>
      <c r="S27" s="294">
        <f t="shared" si="5"/>
        <v>2841.5</v>
      </c>
      <c r="T27" s="294">
        <f t="shared" si="5"/>
        <v>2880.6</v>
      </c>
      <c r="U27" s="294">
        <f>U23</f>
        <v>2913.2</v>
      </c>
      <c r="V27" s="294">
        <f>V23</f>
        <v>2925.5</v>
      </c>
      <c r="W27" s="294">
        <f>W23</f>
        <v>3002.9</v>
      </c>
      <c r="X27" s="294">
        <f>X23</f>
        <v>3051.8</v>
      </c>
      <c r="Y27" s="294">
        <f>Y23</f>
        <v>3103.6</v>
      </c>
      <c r="Z27" s="461">
        <f t="shared" ref="Z27:AA27" si="6">Y27*((1+Z26/100)^0.25)</f>
        <v>3134.4898845593634</v>
      </c>
      <c r="AA27" s="461">
        <f t="shared" si="6"/>
        <v>3163.760929193335</v>
      </c>
      <c r="AB27" s="461">
        <f>AA27*((1+AB26/100)^0.25)</f>
        <v>3193.5898798949074</v>
      </c>
      <c r="AC27" s="461">
        <f>AB27*((1+AC26/100)^0.25)</f>
        <v>3223.1953968528278</v>
      </c>
      <c r="AD27" s="461">
        <f>AC27*((1+AD26/100)^0.25)</f>
        <v>3253.2791339983396</v>
      </c>
      <c r="AE27" s="461">
        <f t="shared" ref="AE27:AF27" si="7">AD27*((1+AE26/100)^0.25)</f>
        <v>3284.1971936083419</v>
      </c>
      <c r="AF27" s="461">
        <f t="shared" si="7"/>
        <v>3315.0019930100752</v>
      </c>
      <c r="AG27" s="461">
        <f>AF27*((1+AG26/100)^0.25)</f>
        <v>3347.4004637052426</v>
      </c>
    </row>
    <row r="28" spans="2:68" x14ac:dyDescent="0.35">
      <c r="B28" s="482" t="s">
        <v>393</v>
      </c>
      <c r="C28" s="483"/>
      <c r="D28" s="483"/>
      <c r="E28" s="483"/>
      <c r="F28" s="483"/>
      <c r="G28" s="483"/>
      <c r="H28" s="488">
        <f t="shared" ref="H28:P28" si="8">H23-H50</f>
        <v>2144.415</v>
      </c>
      <c r="I28" s="488">
        <f t="shared" si="8"/>
        <v>2189.5430000000001</v>
      </c>
      <c r="J28" s="488">
        <f t="shared" si="8"/>
        <v>2055.0640000000003</v>
      </c>
      <c r="K28" s="488">
        <f t="shared" si="8"/>
        <v>2090.5150000000003</v>
      </c>
      <c r="L28" s="488">
        <f t="shared" si="8"/>
        <v>2121.9549999999999</v>
      </c>
      <c r="M28" s="488">
        <f t="shared" si="8"/>
        <v>2140.5240000000003</v>
      </c>
      <c r="N28" s="488">
        <f t="shared" si="8"/>
        <v>2142.2119999999995</v>
      </c>
      <c r="O28" s="488">
        <f t="shared" si="8"/>
        <v>2179.3319999999999</v>
      </c>
      <c r="P28" s="488">
        <f t="shared" si="8"/>
        <v>2195.8261479999996</v>
      </c>
      <c r="Q28" s="488">
        <f t="shared" ref="Q28:AC28" si="9">Q27-Q50</f>
        <v>2211.0627251999999</v>
      </c>
      <c r="R28" s="488">
        <f t="shared" si="9"/>
        <v>2227.2846822857146</v>
      </c>
      <c r="S28" s="488">
        <f t="shared" si="9"/>
        <v>2279.3948462857143</v>
      </c>
      <c r="T28" s="488">
        <f t="shared" si="9"/>
        <v>2359.0977862857144</v>
      </c>
      <c r="U28" s="488">
        <f t="shared" si="9"/>
        <v>2397.5401710857141</v>
      </c>
      <c r="V28" s="231">
        <f t="shared" si="9"/>
        <v>2420.2939942857142</v>
      </c>
      <c r="W28" s="231">
        <f t="shared" si="9"/>
        <v>2511.2327702857142</v>
      </c>
      <c r="X28" s="231">
        <f t="shared" si="9"/>
        <v>2546.5557702857145</v>
      </c>
      <c r="Y28" s="333">
        <f t="shared" si="9"/>
        <v>2598.6277702857142</v>
      </c>
      <c r="Z28" s="333">
        <f t="shared" si="9"/>
        <v>2638.7525815618296</v>
      </c>
      <c r="AA28" s="333">
        <f t="shared" si="9"/>
        <v>2663.5434208966085</v>
      </c>
      <c r="AB28" s="333">
        <f t="shared" si="9"/>
        <v>2687.0070684988636</v>
      </c>
      <c r="AC28" s="333">
        <f t="shared" si="9"/>
        <v>2733.4230341385419</v>
      </c>
      <c r="AD28" s="333"/>
      <c r="AE28" s="333"/>
      <c r="AF28" s="333"/>
      <c r="AG28" s="333"/>
      <c r="AH28" s="240" t="s">
        <v>394</v>
      </c>
    </row>
    <row r="29" spans="2:68" x14ac:dyDescent="0.35">
      <c r="B29" s="56"/>
      <c r="C29" s="56"/>
      <c r="D29" s="56"/>
      <c r="E29" s="56"/>
      <c r="F29" s="56"/>
      <c r="G29" s="56"/>
      <c r="H29" s="56"/>
      <c r="I29" s="56"/>
      <c r="J29" s="56"/>
      <c r="K29" s="56"/>
      <c r="L29" s="56"/>
      <c r="M29" s="494"/>
      <c r="N29" s="494"/>
      <c r="O29" s="494"/>
      <c r="P29" s="494"/>
      <c r="Q29" s="494"/>
      <c r="R29" s="494"/>
      <c r="S29" s="180"/>
      <c r="T29" s="180"/>
      <c r="U29" s="180"/>
      <c r="V29" s="180"/>
      <c r="Y29" s="180"/>
      <c r="Z29" s="180"/>
      <c r="AA29" s="180"/>
      <c r="AB29" s="180"/>
      <c r="AC29" s="180"/>
      <c r="AD29" s="180"/>
      <c r="AE29" s="180"/>
      <c r="AF29" s="180"/>
      <c r="AG29" s="180"/>
    </row>
    <row r="30" spans="2:68" x14ac:dyDescent="0.35">
      <c r="B30" s="56"/>
      <c r="C30" s="56"/>
      <c r="D30" s="56"/>
      <c r="E30" s="56"/>
      <c r="F30" s="56"/>
      <c r="G30" s="56"/>
      <c r="H30" s="56"/>
      <c r="I30" s="56"/>
      <c r="J30" s="56"/>
      <c r="K30" s="56"/>
      <c r="L30" s="56"/>
      <c r="M30" s="494"/>
      <c r="N30" s="494"/>
      <c r="O30" s="494"/>
      <c r="P30" s="494"/>
      <c r="Q30" s="494"/>
      <c r="R30" s="494"/>
      <c r="S30" s="180"/>
      <c r="T30" s="180"/>
      <c r="U30" s="180"/>
      <c r="V30" s="180"/>
      <c r="Y30" s="180"/>
      <c r="Z30" s="180"/>
      <c r="AA30" s="180"/>
      <c r="AB30" s="180"/>
      <c r="AC30" s="180"/>
      <c r="AD30" s="180"/>
      <c r="AE30" s="180"/>
      <c r="AF30" s="180"/>
      <c r="AG30" s="180"/>
    </row>
    <row r="31" spans="2:68" x14ac:dyDescent="0.35">
      <c r="B31" s="249"/>
      <c r="C31" s="249"/>
      <c r="D31" s="249"/>
      <c r="E31" s="249"/>
      <c r="F31" s="249"/>
      <c r="G31" s="249"/>
      <c r="H31" s="231"/>
      <c r="I31" s="231"/>
      <c r="J31" s="231"/>
      <c r="K31" s="231"/>
      <c r="L31" s="231"/>
      <c r="M31" s="231"/>
      <c r="N31" s="231"/>
      <c r="O31" s="231"/>
      <c r="P31" s="231"/>
      <c r="Q31" s="487"/>
      <c r="R31" s="231"/>
      <c r="S31" s="231"/>
      <c r="T31" s="231"/>
      <c r="U31" s="231"/>
      <c r="V31" s="231"/>
      <c r="W31" s="231"/>
      <c r="X31" s="231"/>
      <c r="Y31" s="231"/>
      <c r="Z31" s="231"/>
    </row>
    <row r="32" spans="2:68" ht="85.4" customHeight="1" x14ac:dyDescent="0.35">
      <c r="B32" s="445" t="s">
        <v>882</v>
      </c>
      <c r="C32" s="448" t="s">
        <v>881</v>
      </c>
      <c r="D32" s="446">
        <v>44197</v>
      </c>
      <c r="E32" s="447">
        <v>44228</v>
      </c>
      <c r="F32" s="447">
        <v>44256</v>
      </c>
      <c r="G32" s="447">
        <v>44287</v>
      </c>
      <c r="H32" s="447">
        <v>44317</v>
      </c>
      <c r="I32" s="447">
        <v>44348</v>
      </c>
      <c r="J32" s="447">
        <v>44378</v>
      </c>
      <c r="K32" s="447">
        <v>44409</v>
      </c>
      <c r="L32" s="447">
        <v>44440</v>
      </c>
      <c r="M32" s="447">
        <v>44470</v>
      </c>
      <c r="N32" s="447">
        <v>44501</v>
      </c>
      <c r="O32" s="447">
        <v>44531</v>
      </c>
      <c r="P32" s="182">
        <v>44562</v>
      </c>
      <c r="Q32" s="444">
        <v>44593</v>
      </c>
      <c r="R32" s="182">
        <v>44621</v>
      </c>
      <c r="S32" s="182">
        <v>44652</v>
      </c>
      <c r="T32" s="182">
        <v>44682</v>
      </c>
      <c r="U32" s="182">
        <v>44713</v>
      </c>
      <c r="V32" s="182">
        <v>44743</v>
      </c>
      <c r="W32" s="182">
        <v>44774</v>
      </c>
      <c r="X32" s="182">
        <v>44805</v>
      </c>
      <c r="Y32" s="182">
        <v>44835</v>
      </c>
      <c r="Z32" s="182">
        <v>44866</v>
      </c>
      <c r="AA32" s="182">
        <v>44896</v>
      </c>
      <c r="AB32" s="182">
        <v>44927</v>
      </c>
      <c r="AC32" s="182">
        <v>44958</v>
      </c>
      <c r="AD32" s="182">
        <v>44986</v>
      </c>
      <c r="AE32" s="182">
        <v>45017</v>
      </c>
      <c r="AF32" s="182">
        <v>45047</v>
      </c>
      <c r="AG32" s="182">
        <v>45078</v>
      </c>
      <c r="AH32" s="182">
        <v>45108</v>
      </c>
      <c r="AI32" s="182">
        <v>45139</v>
      </c>
      <c r="AJ32" s="182">
        <v>45170</v>
      </c>
      <c r="AK32" s="182">
        <v>45200</v>
      </c>
      <c r="AL32" s="182">
        <v>45231</v>
      </c>
      <c r="AM32" s="182">
        <v>45261</v>
      </c>
      <c r="AN32" s="182">
        <v>45292</v>
      </c>
      <c r="AO32" s="182">
        <v>45323</v>
      </c>
      <c r="AP32" s="182">
        <v>45352</v>
      </c>
      <c r="AQ32" s="182">
        <v>45383</v>
      </c>
    </row>
    <row r="33" spans="2:43" ht="19.5" customHeight="1" x14ac:dyDescent="0.35">
      <c r="B33" s="351" t="s">
        <v>395</v>
      </c>
      <c r="C33" s="443" t="s">
        <v>396</v>
      </c>
      <c r="D33" s="56">
        <v>5159</v>
      </c>
      <c r="E33" s="56">
        <v>5166</v>
      </c>
      <c r="F33" s="56">
        <v>5196</v>
      </c>
      <c r="G33" s="56">
        <v>5189</v>
      </c>
      <c r="H33" s="56">
        <v>5174</v>
      </c>
      <c r="I33" s="56">
        <v>5188</v>
      </c>
      <c r="J33" s="56">
        <v>5164</v>
      </c>
      <c r="K33" s="56">
        <v>5150</v>
      </c>
      <c r="L33" s="56">
        <v>5141</v>
      </c>
      <c r="M33" s="56">
        <v>5136</v>
      </c>
      <c r="N33" s="56">
        <v>5123</v>
      </c>
      <c r="O33" s="56">
        <v>5121</v>
      </c>
      <c r="P33" s="56">
        <v>5094</v>
      </c>
      <c r="Q33" s="56">
        <v>5083</v>
      </c>
      <c r="R33" s="56">
        <v>5065</v>
      </c>
      <c r="S33" s="56">
        <v>5080</v>
      </c>
      <c r="T33" s="56">
        <v>5096</v>
      </c>
      <c r="U33" s="56">
        <v>5103</v>
      </c>
      <c r="V33" s="56">
        <v>5129</v>
      </c>
      <c r="W33" s="56">
        <v>5139</v>
      </c>
      <c r="X33" s="56">
        <v>5148</v>
      </c>
      <c r="Y33" s="450">
        <v>5143</v>
      </c>
      <c r="Z33" s="451">
        <v>5161</v>
      </c>
      <c r="AA33" s="450">
        <v>5131</v>
      </c>
      <c r="AB33" s="450">
        <v>5206</v>
      </c>
      <c r="AC33" s="450">
        <v>5229</v>
      </c>
      <c r="AD33" s="450">
        <v>5249</v>
      </c>
      <c r="AE33" s="450">
        <v>5263</v>
      </c>
      <c r="AF33" s="450">
        <v>5280</v>
      </c>
      <c r="AG33" s="450">
        <v>5301</v>
      </c>
      <c r="AH33" s="449">
        <v>5301</v>
      </c>
      <c r="AI33">
        <v>5329</v>
      </c>
      <c r="AJ33">
        <v>5346</v>
      </c>
      <c r="AK33">
        <v>5375</v>
      </c>
      <c r="AL33">
        <v>5383</v>
      </c>
      <c r="AM33">
        <v>5404</v>
      </c>
      <c r="AN33">
        <v>5420</v>
      </c>
      <c r="AO33">
        <v>5434</v>
      </c>
      <c r="AP33">
        <v>5445</v>
      </c>
      <c r="AQ33">
        <v>5451</v>
      </c>
    </row>
    <row r="34" spans="2:43" ht="18" customHeight="1" x14ac:dyDescent="0.35">
      <c r="B34" s="248" t="s">
        <v>397</v>
      </c>
      <c r="C34" s="240" t="s">
        <v>398</v>
      </c>
      <c r="D34" s="56">
        <v>13746</v>
      </c>
      <c r="E34" s="56">
        <v>13733</v>
      </c>
      <c r="F34" s="56">
        <v>13781</v>
      </c>
      <c r="G34" s="56">
        <v>13830</v>
      </c>
      <c r="H34" s="56">
        <v>13854</v>
      </c>
      <c r="I34" s="56">
        <v>13941</v>
      </c>
      <c r="J34" s="56">
        <v>14023</v>
      </c>
      <c r="K34" s="56">
        <v>14053</v>
      </c>
      <c r="L34" s="56">
        <v>14047</v>
      </c>
      <c r="M34" s="56">
        <v>14022</v>
      </c>
      <c r="N34" s="56">
        <v>14028</v>
      </c>
      <c r="O34" s="56">
        <v>14063</v>
      </c>
      <c r="P34" s="56">
        <v>14084</v>
      </c>
      <c r="Q34" s="56">
        <v>14099</v>
      </c>
      <c r="R34" s="452">
        <v>14118</v>
      </c>
      <c r="S34" s="452">
        <v>14140</v>
      </c>
      <c r="T34" s="452">
        <v>14153</v>
      </c>
      <c r="U34" s="452">
        <v>14161</v>
      </c>
      <c r="V34" s="452">
        <v>14272</v>
      </c>
      <c r="W34" s="452">
        <v>14266</v>
      </c>
      <c r="X34" s="452">
        <v>14260</v>
      </c>
      <c r="Y34" s="452">
        <v>14287</v>
      </c>
      <c r="Z34" s="452">
        <v>14328</v>
      </c>
      <c r="AA34" s="452">
        <v>14360</v>
      </c>
      <c r="AB34" s="452">
        <v>14402</v>
      </c>
      <c r="AC34" s="452">
        <v>14430</v>
      </c>
      <c r="AD34" s="452">
        <v>14457</v>
      </c>
      <c r="AE34" s="452">
        <v>14482</v>
      </c>
      <c r="AF34" s="452">
        <v>14508</v>
      </c>
      <c r="AG34" s="452">
        <v>14536</v>
      </c>
      <c r="AH34" s="452">
        <v>14564</v>
      </c>
      <c r="AI34" s="452">
        <v>14585</v>
      </c>
      <c r="AJ34" s="452">
        <v>14612</v>
      </c>
      <c r="AK34" s="452">
        <v>14642</v>
      </c>
      <c r="AL34" s="452">
        <v>14665</v>
      </c>
      <c r="AM34" s="452">
        <v>14711</v>
      </c>
      <c r="AN34" s="452">
        <v>14742</v>
      </c>
      <c r="AO34" s="452">
        <v>14776</v>
      </c>
      <c r="AP34">
        <v>14827</v>
      </c>
      <c r="AQ34" s="452">
        <v>14827</v>
      </c>
    </row>
    <row r="35" spans="2:43" ht="18" customHeight="1" x14ac:dyDescent="0.35">
      <c r="B35" s="248" t="s">
        <v>1923</v>
      </c>
      <c r="C35" s="240"/>
      <c r="D35" s="56"/>
      <c r="E35" s="56"/>
      <c r="F35" s="56"/>
      <c r="G35" s="56"/>
      <c r="H35" s="56"/>
      <c r="I35" s="56"/>
      <c r="J35" s="56"/>
      <c r="K35" s="56"/>
      <c r="L35" s="56"/>
      <c r="M35" s="56"/>
      <c r="N35" s="56"/>
      <c r="O35" s="56"/>
      <c r="P35" s="56"/>
      <c r="Q35" s="56"/>
      <c r="R35" s="452"/>
      <c r="S35" s="452"/>
      <c r="T35" s="452"/>
      <c r="U35" s="452"/>
      <c r="V35" s="452">
        <f>V33+V34</f>
        <v>19401</v>
      </c>
      <c r="W35" s="452">
        <f t="shared" ref="W35:AQ35" si="10">W33+W34</f>
        <v>19405</v>
      </c>
      <c r="X35" s="452">
        <f t="shared" si="10"/>
        <v>19408</v>
      </c>
      <c r="Y35" s="452">
        <f t="shared" si="10"/>
        <v>19430</v>
      </c>
      <c r="Z35" s="452">
        <f t="shared" si="10"/>
        <v>19489</v>
      </c>
      <c r="AA35" s="452">
        <f t="shared" si="10"/>
        <v>19491</v>
      </c>
      <c r="AB35" s="452">
        <f t="shared" si="10"/>
        <v>19608</v>
      </c>
      <c r="AC35" s="452">
        <f t="shared" si="10"/>
        <v>19659</v>
      </c>
      <c r="AD35" s="452">
        <f t="shared" si="10"/>
        <v>19706</v>
      </c>
      <c r="AE35" s="452">
        <f t="shared" si="10"/>
        <v>19745</v>
      </c>
      <c r="AF35" s="452">
        <f t="shared" si="10"/>
        <v>19788</v>
      </c>
      <c r="AG35" s="452">
        <f t="shared" si="10"/>
        <v>19837</v>
      </c>
      <c r="AH35" s="452">
        <f t="shared" si="10"/>
        <v>19865</v>
      </c>
      <c r="AI35" s="452">
        <f t="shared" si="10"/>
        <v>19914</v>
      </c>
      <c r="AJ35" s="452">
        <f t="shared" si="10"/>
        <v>19958</v>
      </c>
      <c r="AK35" s="452">
        <f t="shared" si="10"/>
        <v>20017</v>
      </c>
      <c r="AL35" s="452">
        <f t="shared" si="10"/>
        <v>20048</v>
      </c>
      <c r="AM35" s="452">
        <f t="shared" si="10"/>
        <v>20115</v>
      </c>
      <c r="AN35" s="452">
        <f t="shared" si="10"/>
        <v>20162</v>
      </c>
      <c r="AO35" s="452">
        <f t="shared" si="10"/>
        <v>20210</v>
      </c>
      <c r="AP35" s="452">
        <f t="shared" si="10"/>
        <v>20272</v>
      </c>
      <c r="AQ35" s="452">
        <f t="shared" si="10"/>
        <v>20278</v>
      </c>
    </row>
    <row r="36" spans="2:43" ht="19.5" customHeight="1" x14ac:dyDescent="0.35">
      <c r="B36" s="482" t="s">
        <v>399</v>
      </c>
      <c r="C36" s="358" t="s">
        <v>400</v>
      </c>
      <c r="D36" s="56">
        <v>345102</v>
      </c>
      <c r="E36" s="452">
        <v>335151</v>
      </c>
      <c r="F36" s="452">
        <v>336955</v>
      </c>
      <c r="G36" s="452">
        <v>335574</v>
      </c>
      <c r="H36" s="452">
        <v>338521</v>
      </c>
      <c r="I36" s="452">
        <v>329746</v>
      </c>
      <c r="J36" s="452">
        <v>328919</v>
      </c>
      <c r="K36" s="452">
        <v>333989</v>
      </c>
      <c r="L36" s="452">
        <v>326840</v>
      </c>
      <c r="M36" s="452">
        <v>327373</v>
      </c>
      <c r="N36" s="452">
        <v>331380</v>
      </c>
      <c r="O36" s="452">
        <v>331492</v>
      </c>
      <c r="P36" s="452">
        <v>334244</v>
      </c>
      <c r="Q36" s="452">
        <v>338416</v>
      </c>
      <c r="R36" s="452">
        <v>339417</v>
      </c>
      <c r="S36" s="452">
        <v>345062</v>
      </c>
      <c r="T36" s="452">
        <v>339178</v>
      </c>
      <c r="U36" s="452">
        <v>342484</v>
      </c>
      <c r="V36" s="452">
        <v>350972</v>
      </c>
      <c r="W36" s="452">
        <v>350286</v>
      </c>
      <c r="X36" s="452">
        <v>355116</v>
      </c>
      <c r="Y36" s="452">
        <v>354474</v>
      </c>
      <c r="Z36" s="452">
        <v>359543</v>
      </c>
      <c r="AA36" s="452">
        <v>361033</v>
      </c>
      <c r="AB36" s="452">
        <v>364867</v>
      </c>
      <c r="AC36" s="452">
        <v>371673</v>
      </c>
      <c r="AD36" s="452">
        <v>374555</v>
      </c>
      <c r="AE36" s="452">
        <v>382073</v>
      </c>
      <c r="AF36" s="452">
        <v>388978</v>
      </c>
      <c r="AG36" s="452">
        <v>396538</v>
      </c>
      <c r="AH36" s="452">
        <v>404059</v>
      </c>
      <c r="AI36" s="452">
        <v>407847</v>
      </c>
      <c r="AJ36" s="452">
        <v>418897</v>
      </c>
      <c r="AK36" s="240">
        <v>432334</v>
      </c>
      <c r="AL36" s="452">
        <v>440095</v>
      </c>
      <c r="AM36" s="452">
        <v>446894</v>
      </c>
      <c r="AN36" s="452">
        <v>445408</v>
      </c>
      <c r="AO36">
        <v>444717</v>
      </c>
      <c r="AP36" s="452">
        <v>447315</v>
      </c>
    </row>
    <row r="37" spans="2:43" ht="15.65" customHeight="1" x14ac:dyDescent="0.35">
      <c r="B37" s="255"/>
      <c r="C37" s="249"/>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40">
        <f>(AK35/AJ35)^12</f>
        <v>1.0360570030341696</v>
      </c>
      <c r="AL37" s="240">
        <f t="shared" ref="AL37:AM37" si="12">(AL35/AK35)^12</f>
        <v>1.01874331923136</v>
      </c>
      <c r="AM37" s="240">
        <f t="shared" si="12"/>
        <v>1.0408491672630216</v>
      </c>
      <c r="AN37" s="240">
        <f>(AN35/AM35)^12</f>
        <v>1.0284019275837375</v>
      </c>
      <c r="AO37" s="240">
        <f>(AO35/AN35)^12</f>
        <v>1.0289456543406541</v>
      </c>
    </row>
    <row r="38" spans="2:43" ht="12.75" customHeight="1" x14ac:dyDescent="0.35">
      <c r="AE38">
        <f>AVERAGE(AE35:AG35)</f>
        <v>19790</v>
      </c>
      <c r="AH38">
        <f>AVERAGE(AH35:AJ35)</f>
        <v>19912.333333333332</v>
      </c>
      <c r="AK38" s="240">
        <f>(AK34/AJ34)^3</f>
        <v>1.0061719755057918</v>
      </c>
    </row>
    <row r="39" spans="2:43" x14ac:dyDescent="0.35">
      <c r="B39" s="1331" t="s">
        <v>401</v>
      </c>
      <c r="C39" s="1331"/>
      <c r="D39" s="1331"/>
      <c r="E39" s="1331"/>
      <c r="F39" s="1331"/>
      <c r="G39" s="1331"/>
      <c r="H39" s="1331"/>
      <c r="I39" s="1331"/>
      <c r="J39" s="1331"/>
      <c r="K39" s="1331"/>
      <c r="L39" s="1331"/>
      <c r="M39" s="1331"/>
      <c r="N39" s="1331"/>
      <c r="O39" s="1331"/>
      <c r="P39" s="1331"/>
      <c r="Q39" s="1331"/>
      <c r="R39" s="1331"/>
      <c r="S39" s="1331"/>
      <c r="T39" s="1331"/>
      <c r="U39" s="1331"/>
      <c r="V39" s="1331"/>
      <c r="W39" s="1331"/>
      <c r="X39" s="1331"/>
      <c r="Y39" s="1331"/>
      <c r="Z39" s="1331"/>
      <c r="AA39" s="1331"/>
      <c r="AB39" s="1331"/>
      <c r="AC39" s="1331"/>
      <c r="AD39" s="212"/>
      <c r="AE39">
        <f>AVERAGE(AE36:AG36)</f>
        <v>389196.33333333331</v>
      </c>
      <c r="AF39" s="212"/>
      <c r="AG39" s="212"/>
      <c r="AH39">
        <f>AVERAGE(AH36:AJ36)</f>
        <v>410267.66666666669</v>
      </c>
      <c r="AK39" s="240"/>
    </row>
    <row r="40" spans="2:43" ht="20.25" customHeight="1" x14ac:dyDescent="0.35">
      <c r="B40" s="1331"/>
      <c r="C40" s="1331"/>
      <c r="D40" s="1331"/>
      <c r="E40" s="1331"/>
      <c r="F40" s="1331"/>
      <c r="G40" s="1331"/>
      <c r="H40" s="1331"/>
      <c r="I40" s="1331"/>
      <c r="J40" s="1331"/>
      <c r="K40" s="1331"/>
      <c r="L40" s="1331"/>
      <c r="M40" s="1331"/>
      <c r="N40" s="1331"/>
      <c r="O40" s="1331"/>
      <c r="P40" s="1331"/>
      <c r="Q40" s="1331"/>
      <c r="R40" s="1331"/>
      <c r="S40" s="1331"/>
      <c r="T40" s="1331"/>
      <c r="U40" s="1331"/>
      <c r="V40" s="1331"/>
      <c r="W40" s="1331"/>
      <c r="X40" s="1331"/>
      <c r="Y40" s="1331"/>
      <c r="Z40" s="1331"/>
      <c r="AA40" s="1331"/>
      <c r="AB40" s="1331"/>
      <c r="AC40" s="1331"/>
      <c r="AD40" s="212"/>
      <c r="AE40" s="212"/>
      <c r="AF40" s="212"/>
      <c r="AG40" s="212"/>
      <c r="AH40">
        <f>AH38/AE38</f>
        <v>1.0061815731851103</v>
      </c>
      <c r="AK40" s="240"/>
    </row>
    <row r="41" spans="2:43" ht="14.25" customHeight="1" x14ac:dyDescent="0.35">
      <c r="B41" s="1330" t="s">
        <v>402</v>
      </c>
      <c r="C41" s="1330"/>
      <c r="D41" s="1330"/>
      <c r="E41" s="1330"/>
      <c r="F41" s="1330"/>
      <c r="G41" s="1330"/>
      <c r="H41" s="1330"/>
      <c r="I41" s="1330"/>
      <c r="J41" s="1330"/>
      <c r="K41" s="1330"/>
      <c r="L41" s="1330"/>
      <c r="M41" s="1330"/>
      <c r="N41" s="1330"/>
      <c r="O41" s="1330"/>
      <c r="P41" s="1330"/>
      <c r="Q41" s="1330"/>
      <c r="R41" s="1330"/>
      <c r="S41" s="1330"/>
      <c r="T41" s="1330"/>
      <c r="U41" s="1330"/>
      <c r="V41" s="1330"/>
      <c r="W41" s="1330"/>
      <c r="X41" s="1330"/>
      <c r="Y41" s="1330"/>
      <c r="Z41" s="1330"/>
      <c r="AA41" s="1330"/>
      <c r="AB41" s="1330"/>
      <c r="AC41" s="1330"/>
      <c r="AD41" s="379"/>
      <c r="AE41" s="379"/>
      <c r="AF41" s="379"/>
      <c r="AG41" s="379"/>
      <c r="AH41">
        <f>AH39/AE39</f>
        <v>1.0541406265389621</v>
      </c>
      <c r="AK41" s="240"/>
    </row>
    <row r="42" spans="2:43" x14ac:dyDescent="0.35">
      <c r="B42" s="1330"/>
      <c r="C42" s="1330"/>
      <c r="D42" s="1330"/>
      <c r="E42" s="1330"/>
      <c r="F42" s="1330"/>
      <c r="G42" s="1330"/>
      <c r="H42" s="1330"/>
      <c r="I42" s="1330"/>
      <c r="J42" s="1330"/>
      <c r="K42" s="1330"/>
      <c r="L42" s="1330"/>
      <c r="M42" s="1330"/>
      <c r="N42" s="1330"/>
      <c r="O42" s="1330"/>
      <c r="P42" s="1330"/>
      <c r="Q42" s="1330"/>
      <c r="R42" s="1330"/>
      <c r="S42" s="1330"/>
      <c r="T42" s="1330"/>
      <c r="U42" s="1330"/>
      <c r="V42" s="1330"/>
      <c r="W42" s="1330"/>
      <c r="X42" s="1330"/>
      <c r="Y42" s="1330"/>
      <c r="Z42" s="1330"/>
      <c r="AA42" s="1330"/>
      <c r="AB42" s="1330"/>
      <c r="AC42" s="1330"/>
      <c r="AD42" s="379"/>
      <c r="AE42" s="379"/>
      <c r="AF42" s="379"/>
      <c r="AG42" s="379"/>
      <c r="AK42" s="240"/>
    </row>
    <row r="43" spans="2:43" ht="8.9" customHeight="1" x14ac:dyDescent="0.35">
      <c r="B43" s="1330"/>
      <c r="C43" s="1330"/>
      <c r="D43" s="1330"/>
      <c r="E43" s="1330"/>
      <c r="F43" s="1330"/>
      <c r="G43" s="1330"/>
      <c r="H43" s="1330"/>
      <c r="I43" s="1330"/>
      <c r="J43" s="1330"/>
      <c r="K43" s="1330"/>
      <c r="L43" s="1330"/>
      <c r="M43" s="1330"/>
      <c r="N43" s="1330"/>
      <c r="O43" s="1330"/>
      <c r="P43" s="1330"/>
      <c r="Q43" s="1330"/>
      <c r="R43" s="1330"/>
      <c r="S43" s="1330"/>
      <c r="T43" s="1330"/>
      <c r="U43" s="1330"/>
      <c r="V43" s="1330"/>
      <c r="W43" s="1330"/>
      <c r="X43" s="1330"/>
      <c r="Y43" s="1330"/>
      <c r="Z43" s="1330"/>
      <c r="AA43" s="1330"/>
      <c r="AB43" s="1330"/>
      <c r="AC43" s="1330"/>
      <c r="AD43" s="379"/>
      <c r="AE43" s="379"/>
      <c r="AF43" s="379"/>
      <c r="AG43" s="379"/>
      <c r="AK43" s="240"/>
    </row>
    <row r="44" spans="2:43" ht="12.75" customHeight="1" x14ac:dyDescent="0.35">
      <c r="AK44" s="240"/>
    </row>
    <row r="45" spans="2:43" ht="30.75" customHeight="1" x14ac:dyDescent="0.35">
      <c r="B45" s="1282" t="s">
        <v>279</v>
      </c>
      <c r="C45" s="1332"/>
      <c r="D45" s="1286" t="s">
        <v>280</v>
      </c>
      <c r="E45" s="1299"/>
      <c r="F45" s="1299"/>
      <c r="G45" s="1299"/>
      <c r="H45" s="1299"/>
      <c r="I45" s="1299"/>
      <c r="J45" s="1299"/>
      <c r="K45" s="1299"/>
      <c r="L45" s="1299"/>
      <c r="M45" s="1299"/>
      <c r="N45" s="1299"/>
      <c r="O45" s="1299"/>
      <c r="P45" s="1299"/>
      <c r="Q45" s="1299"/>
      <c r="R45" s="1299"/>
      <c r="S45" s="1299"/>
      <c r="T45" s="1299"/>
      <c r="U45" s="1300"/>
      <c r="V45" s="1285"/>
      <c r="W45" s="1322" t="s">
        <v>281</v>
      </c>
      <c r="X45" s="1323"/>
      <c r="Y45" s="1323"/>
      <c r="Z45" s="1323"/>
      <c r="AA45" s="1323"/>
      <c r="AB45" s="1323"/>
      <c r="AC45" s="1323"/>
      <c r="AD45" s="1323"/>
      <c r="AE45" s="1323"/>
      <c r="AF45" s="1323"/>
      <c r="AG45" s="1323"/>
      <c r="AK45" s="240"/>
    </row>
    <row r="46" spans="2:43" x14ac:dyDescent="0.35">
      <c r="B46" s="1284"/>
      <c r="C46" s="1300"/>
      <c r="D46" s="219">
        <v>2018</v>
      </c>
      <c r="E46" s="1291">
        <v>2019</v>
      </c>
      <c r="F46" s="1292"/>
      <c r="G46" s="1292"/>
      <c r="H46" s="1293"/>
      <c r="I46" s="1291">
        <v>2020</v>
      </c>
      <c r="J46" s="1292"/>
      <c r="K46" s="1292"/>
      <c r="L46" s="1292"/>
      <c r="M46" s="1291">
        <v>2021</v>
      </c>
      <c r="N46" s="1292"/>
      <c r="O46" s="1292"/>
      <c r="P46" s="1292"/>
      <c r="Q46" s="1291">
        <v>2022</v>
      </c>
      <c r="R46" s="1321"/>
      <c r="S46" s="1321"/>
      <c r="T46" s="1321"/>
      <c r="U46" s="239"/>
      <c r="V46" s="288">
        <v>2023</v>
      </c>
      <c r="W46" s="289"/>
      <c r="X46" s="260"/>
      <c r="Y46" s="1288">
        <v>2024</v>
      </c>
      <c r="Z46" s="1289"/>
      <c r="AA46" s="1289"/>
      <c r="AB46" s="1290"/>
      <c r="AC46" s="1288">
        <v>2025</v>
      </c>
      <c r="AD46" s="1289"/>
      <c r="AE46" s="1289"/>
      <c r="AF46" s="1290"/>
      <c r="AG46" s="251">
        <v>2026</v>
      </c>
      <c r="AK46" s="240"/>
    </row>
    <row r="47" spans="2:43" x14ac:dyDescent="0.35">
      <c r="B47" s="1286"/>
      <c r="C47" s="1299"/>
      <c r="D47" s="214" t="s">
        <v>282</v>
      </c>
      <c r="E47" s="214" t="s">
        <v>283</v>
      </c>
      <c r="F47" s="215" t="s">
        <v>284</v>
      </c>
      <c r="G47" s="215" t="s">
        <v>238</v>
      </c>
      <c r="H47" s="216" t="s">
        <v>282</v>
      </c>
      <c r="I47" s="215" t="s">
        <v>283</v>
      </c>
      <c r="J47" s="215" t="s">
        <v>284</v>
      </c>
      <c r="K47" s="215" t="s">
        <v>238</v>
      </c>
      <c r="L47" s="215" t="s">
        <v>282</v>
      </c>
      <c r="M47" s="214" t="s">
        <v>283</v>
      </c>
      <c r="N47" s="215" t="s">
        <v>284</v>
      </c>
      <c r="O47" s="215" t="s">
        <v>238</v>
      </c>
      <c r="P47" s="215" t="s">
        <v>282</v>
      </c>
      <c r="Q47" s="214" t="s">
        <v>283</v>
      </c>
      <c r="R47" s="215" t="s">
        <v>284</v>
      </c>
      <c r="S47" s="215" t="s">
        <v>238</v>
      </c>
      <c r="T47" s="215" t="s">
        <v>282</v>
      </c>
      <c r="U47" s="285" t="s">
        <v>283</v>
      </c>
      <c r="V47" s="286" t="s">
        <v>284</v>
      </c>
      <c r="W47" s="270" t="s">
        <v>238</v>
      </c>
      <c r="X47" s="271" t="s">
        <v>282</v>
      </c>
      <c r="Y47" s="269" t="s">
        <v>283</v>
      </c>
      <c r="Z47" s="267" t="s">
        <v>284</v>
      </c>
      <c r="AA47" s="270" t="s">
        <v>238</v>
      </c>
      <c r="AB47" s="271" t="s">
        <v>282</v>
      </c>
      <c r="AC47" s="269" t="s">
        <v>283</v>
      </c>
      <c r="AD47" s="267" t="s">
        <v>284</v>
      </c>
      <c r="AE47" s="270" t="s">
        <v>238</v>
      </c>
      <c r="AF47" s="271" t="s">
        <v>282</v>
      </c>
      <c r="AG47" s="272" t="s">
        <v>283</v>
      </c>
      <c r="AK47" s="240"/>
    </row>
    <row r="48" spans="2:43" x14ac:dyDescent="0.35">
      <c r="B48" s="490" t="s">
        <v>134</v>
      </c>
      <c r="C48" s="273"/>
      <c r="D48" s="250"/>
      <c r="E48" s="484"/>
      <c r="F48" s="484"/>
      <c r="G48" s="484"/>
      <c r="H48" s="434">
        <f>Grants!H96</f>
        <v>72.156000000000006</v>
      </c>
      <c r="I48" s="434">
        <f>Grants!I96</f>
        <v>75.245999999999995</v>
      </c>
      <c r="J48" s="434">
        <f>Grants!J96</f>
        <v>75.986000000000004</v>
      </c>
      <c r="K48" s="434">
        <f>Grants!K96</f>
        <v>79.650999999999996</v>
      </c>
      <c r="L48" s="434">
        <f>Grants!L96</f>
        <v>75.400999999999996</v>
      </c>
      <c r="M48" s="434">
        <f>Grants!M96</f>
        <v>73.034999999999997</v>
      </c>
      <c r="N48" s="434">
        <f>Grants!N96</f>
        <v>75.13</v>
      </c>
      <c r="O48" s="434">
        <f>Grants!O96</f>
        <v>70.191999999999993</v>
      </c>
      <c r="P48" s="434">
        <f>Grants!P96</f>
        <v>72.266999999999996</v>
      </c>
      <c r="Q48" s="434">
        <f>Grants!Q96</f>
        <v>74.974000000000004</v>
      </c>
      <c r="R48" s="434">
        <f>Grants!R96</f>
        <v>75.229285714285723</v>
      </c>
      <c r="S48" s="485">
        <f>Grants!S96</f>
        <v>75.229285714285723</v>
      </c>
      <c r="T48" s="464">
        <f>Grants!T96</f>
        <v>76.048285714285726</v>
      </c>
      <c r="U48" s="226">
        <f>Grants!U96</f>
        <v>76.048285714285726</v>
      </c>
      <c r="V48" s="226">
        <f>Grants!V96</f>
        <v>76.048285714285726</v>
      </c>
      <c r="W48" s="226">
        <f>Grants!W96</f>
        <v>76.048285714285726</v>
      </c>
      <c r="X48" s="236">
        <f>Grants!X96</f>
        <v>77.707285714285717</v>
      </c>
      <c r="Y48" s="236">
        <f>Grants!Y96</f>
        <v>77.707285714285717</v>
      </c>
      <c r="Z48" s="236">
        <f>Grants!Z96</f>
        <v>77.707285714285717</v>
      </c>
      <c r="AA48" s="236">
        <f>Grants!AA96</f>
        <v>77.707285714285717</v>
      </c>
      <c r="AB48" s="236">
        <f>Grants!AB96</f>
        <v>79.301285714285726</v>
      </c>
      <c r="AC48" s="236">
        <f>Grants!AC96</f>
        <v>79.301285714285726</v>
      </c>
      <c r="AD48" s="236">
        <f>Grants!AD96</f>
        <v>75.229285714285723</v>
      </c>
      <c r="AE48" s="236">
        <f>Grants!AE96</f>
        <v>75.229285714285723</v>
      </c>
      <c r="AF48" s="236">
        <f>Grants!AF96</f>
        <v>75.229285714285723</v>
      </c>
      <c r="AG48" s="236">
        <f>Grants!AG96</f>
        <v>75.229285714285723</v>
      </c>
    </row>
    <row r="49" spans="2:62" x14ac:dyDescent="0.35">
      <c r="B49" s="481" t="s">
        <v>192</v>
      </c>
      <c r="C49" s="472"/>
      <c r="D49" s="462"/>
      <c r="E49" s="472"/>
      <c r="F49" s="472"/>
      <c r="G49" s="472"/>
      <c r="H49" s="226">
        <f>Grants!H75</f>
        <v>206.82899999999995</v>
      </c>
      <c r="I49" s="226">
        <f>Grants!I75</f>
        <v>214.11100000000005</v>
      </c>
      <c r="J49" s="226">
        <f>Grants!J75</f>
        <v>320.24999999999989</v>
      </c>
      <c r="K49" s="226">
        <f>Grants!K75</f>
        <v>298.13400000000001</v>
      </c>
      <c r="L49" s="226">
        <f>Grants!L75</f>
        <v>289.54399999999998</v>
      </c>
      <c r="M49" s="226">
        <f>Grants!M75</f>
        <v>320.34099999999995</v>
      </c>
      <c r="N49" s="226">
        <f>Grants!N75</f>
        <v>354.35800000000017</v>
      </c>
      <c r="O49" s="226">
        <f>Grants!O75</f>
        <v>375.57600000000008</v>
      </c>
      <c r="P49" s="226">
        <f>Grants!P75</f>
        <v>396.106852</v>
      </c>
      <c r="Q49" s="226">
        <f>Grants!Q75</f>
        <v>433.66327480000001</v>
      </c>
      <c r="R49" s="226">
        <f>Grants!R75</f>
        <v>500.88603199999994</v>
      </c>
      <c r="S49" s="226">
        <f>Grants!S75</f>
        <v>486.87586800000008</v>
      </c>
      <c r="T49" s="226">
        <f>Grants!T75</f>
        <v>445.45392800000008</v>
      </c>
      <c r="U49" s="459">
        <f>Grants!U75</f>
        <v>439.61154320000009</v>
      </c>
      <c r="V49" s="459">
        <f>Grants!V75</f>
        <v>429.15772000000004</v>
      </c>
      <c r="W49" s="459">
        <f>Grants!W75</f>
        <v>415.61894400000006</v>
      </c>
      <c r="X49" s="459">
        <f>Grants!X75</f>
        <v>427.53694400000006</v>
      </c>
      <c r="Y49" s="459">
        <f>Grants!Y75</f>
        <v>427.26494400000001</v>
      </c>
      <c r="Z49" s="459">
        <f>Grants!Z75</f>
        <v>418.03001728324807</v>
      </c>
      <c r="AA49" s="459">
        <f>Grants!AA75</f>
        <v>422.5102225824408</v>
      </c>
      <c r="AB49" s="459">
        <f>Grants!AB75</f>
        <v>427.2815256817579</v>
      </c>
      <c r="AC49" s="459">
        <f>Grants!AC75</f>
        <v>410.47107700000004</v>
      </c>
      <c r="AD49" s="459">
        <f>Grants!AD75</f>
        <v>405.8184041145779</v>
      </c>
      <c r="AE49" s="459">
        <f>Grants!AE75</f>
        <v>408.36749628573835</v>
      </c>
      <c r="AF49" s="459">
        <f>Grants!AF75</f>
        <v>407.0560067810282</v>
      </c>
      <c r="AG49" s="459">
        <f>Grants!AG75</f>
        <v>409.781722</v>
      </c>
    </row>
    <row r="50" spans="2:62" x14ac:dyDescent="0.35">
      <c r="B50" s="491" t="s">
        <v>403</v>
      </c>
      <c r="C50" s="483"/>
      <c r="D50" s="482"/>
      <c r="E50" s="483"/>
      <c r="F50" s="483"/>
      <c r="G50" s="483"/>
      <c r="H50" s="465">
        <f>H48+H49</f>
        <v>278.98499999999996</v>
      </c>
      <c r="I50" s="465">
        <f t="shared" ref="I50:AG50" si="13">I48+I49</f>
        <v>289.35700000000003</v>
      </c>
      <c r="J50" s="465">
        <f t="shared" si="13"/>
        <v>396.23599999999988</v>
      </c>
      <c r="K50" s="465">
        <f t="shared" si="13"/>
        <v>377.78500000000003</v>
      </c>
      <c r="L50" s="465">
        <f t="shared" si="13"/>
        <v>364.94499999999999</v>
      </c>
      <c r="M50" s="465">
        <f t="shared" si="13"/>
        <v>393.37599999999998</v>
      </c>
      <c r="N50" s="465">
        <f t="shared" si="13"/>
        <v>429.48800000000017</v>
      </c>
      <c r="O50" s="465">
        <f t="shared" si="13"/>
        <v>445.76800000000009</v>
      </c>
      <c r="P50" s="465">
        <f t="shared" si="13"/>
        <v>468.373852</v>
      </c>
      <c r="Q50" s="465">
        <f t="shared" si="13"/>
        <v>508.6372748</v>
      </c>
      <c r="R50" s="465">
        <f t="shared" si="13"/>
        <v>576.11531771428565</v>
      </c>
      <c r="S50" s="465">
        <f t="shared" si="13"/>
        <v>562.10515371428585</v>
      </c>
      <c r="T50" s="465">
        <f t="shared" si="13"/>
        <v>521.50221371428574</v>
      </c>
      <c r="U50" s="465">
        <f t="shared" si="13"/>
        <v>515.65982891428575</v>
      </c>
      <c r="V50" s="226">
        <f t="shared" si="13"/>
        <v>505.20600571428577</v>
      </c>
      <c r="W50" s="226">
        <f t="shared" si="13"/>
        <v>491.66722971428578</v>
      </c>
      <c r="X50" s="236">
        <f t="shared" si="13"/>
        <v>505.24422971428578</v>
      </c>
      <c r="Y50" s="236">
        <f t="shared" si="13"/>
        <v>504.97222971428573</v>
      </c>
      <c r="Z50" s="236">
        <f t="shared" si="13"/>
        <v>495.73730299753379</v>
      </c>
      <c r="AA50" s="236">
        <f t="shared" si="13"/>
        <v>500.21750829672652</v>
      </c>
      <c r="AB50" s="236">
        <f t="shared" si="13"/>
        <v>506.58281139604361</v>
      </c>
      <c r="AC50" s="236">
        <f t="shared" si="13"/>
        <v>489.77236271428575</v>
      </c>
      <c r="AD50" s="236">
        <f t="shared" si="13"/>
        <v>481.04768982886361</v>
      </c>
      <c r="AE50" s="236">
        <f t="shared" si="13"/>
        <v>483.59678200002406</v>
      </c>
      <c r="AF50" s="236">
        <f t="shared" si="13"/>
        <v>482.28529249531391</v>
      </c>
      <c r="AG50" s="236">
        <f t="shared" si="13"/>
        <v>485.01100771428571</v>
      </c>
    </row>
    <row r="52" spans="2:62" x14ac:dyDescent="0.35">
      <c r="S52" s="94"/>
      <c r="T52" s="94"/>
      <c r="U52" s="94"/>
      <c r="V52" s="94"/>
      <c r="W52" s="94"/>
      <c r="X52" s="94"/>
      <c r="Y52" s="94"/>
      <c r="Z52" s="94"/>
      <c r="AA52" s="94"/>
      <c r="AB52" s="94"/>
      <c r="AC52" s="94"/>
      <c r="AD52" s="94"/>
      <c r="AE52" s="94"/>
      <c r="AF52" s="94"/>
      <c r="AG52" s="94"/>
    </row>
    <row r="53" spans="2:62" x14ac:dyDescent="0.35">
      <c r="S53" s="94"/>
      <c r="T53" s="94"/>
      <c r="U53" s="94"/>
      <c r="V53" s="94"/>
      <c r="W53" s="94"/>
      <c r="X53" s="94"/>
      <c r="Y53" s="94"/>
      <c r="Z53" s="94"/>
      <c r="AA53" s="94"/>
      <c r="AB53" s="94"/>
      <c r="AC53" s="94"/>
      <c r="AD53" s="94"/>
      <c r="AE53" s="94"/>
      <c r="AF53" s="94"/>
      <c r="AG53" s="94"/>
    </row>
    <row r="54" spans="2:62" ht="27.65" customHeight="1" x14ac:dyDescent="0.35">
      <c r="S54" s="94"/>
      <c r="T54" s="94"/>
      <c r="U54" s="94"/>
      <c r="V54" s="94"/>
      <c r="W54" s="94"/>
      <c r="X54" s="94"/>
      <c r="Y54" s="94"/>
      <c r="Z54" s="94"/>
      <c r="AA54" s="94"/>
      <c r="AB54" s="94"/>
      <c r="AC54" s="94"/>
      <c r="AD54" s="94"/>
      <c r="AE54" s="94"/>
      <c r="AF54" s="94"/>
      <c r="AG54" s="94"/>
    </row>
    <row r="55" spans="2:62" ht="27.65" customHeight="1" x14ac:dyDescent="0.35"/>
    <row r="56" spans="2:62" ht="27.65" customHeight="1" x14ac:dyDescent="0.35">
      <c r="BH56" s="441"/>
      <c r="BI56" s="441"/>
      <c r="BJ56" s="441"/>
    </row>
    <row r="58" spans="2:62" ht="27.65" customHeight="1" x14ac:dyDescent="0.35"/>
    <row r="59" spans="2:62" ht="27.65" customHeight="1" x14ac:dyDescent="0.35"/>
    <row r="60"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K74" activePane="bottomRight" state="frozen"/>
      <selection pane="topRight" activeCell="D1" sqref="D1"/>
      <selection pane="bottomLeft" activeCell="A11" sqref="A11"/>
      <selection pane="bottomRight" activeCell="B26" sqref="B26"/>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77" t="s">
        <v>52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6" ht="14.9" customHeight="1" x14ac:dyDescent="0.35">
      <c r="B2" s="1278" t="s">
        <v>858</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6" ht="14.9" customHeight="1"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6" ht="5.9" customHeight="1"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6" ht="1.5" customHeight="1" x14ac:dyDescent="0.3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6" ht="14.9" customHeight="1" x14ac:dyDescent="0.3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6" ht="33.75" customHeight="1" x14ac:dyDescent="0.35">
      <c r="B7" s="55"/>
      <c r="C7" s="55"/>
      <c r="D7" s="55"/>
      <c r="E7" s="55"/>
      <c r="F7" s="55"/>
      <c r="G7" s="55"/>
      <c r="H7" s="55"/>
      <c r="I7" s="55"/>
      <c r="J7" s="55"/>
      <c r="K7" s="55"/>
      <c r="L7" s="55"/>
      <c r="M7" s="55"/>
      <c r="N7" s="55"/>
      <c r="O7" s="55"/>
      <c r="P7" s="55"/>
      <c r="Q7" s="55"/>
      <c r="R7" s="55"/>
      <c r="S7" s="55"/>
      <c r="T7" s="55"/>
      <c r="U7" s="55"/>
      <c r="V7" s="55"/>
      <c r="W7" s="55"/>
      <c r="X7" s="55"/>
      <c r="Y7" s="55"/>
    </row>
    <row r="8" spans="2:36" ht="14.9" customHeight="1" x14ac:dyDescent="0.35">
      <c r="B8" s="1282" t="s">
        <v>404</v>
      </c>
      <c r="C8" s="1283"/>
      <c r="D8" s="1348" t="s">
        <v>280</v>
      </c>
      <c r="E8" s="1349"/>
      <c r="F8" s="1349"/>
      <c r="G8" s="1349"/>
      <c r="H8" s="1349"/>
      <c r="I8" s="1349"/>
      <c r="J8" s="1349"/>
      <c r="K8" s="1349"/>
      <c r="L8" s="1349"/>
      <c r="M8" s="1349"/>
      <c r="N8" s="1349"/>
      <c r="O8" s="1349"/>
      <c r="P8" s="1349"/>
      <c r="Q8" s="1349"/>
      <c r="R8" s="1349"/>
      <c r="S8" s="1349"/>
      <c r="T8" s="1349"/>
      <c r="U8" s="1350"/>
      <c r="V8" s="1283"/>
      <c r="W8" s="1311" t="s">
        <v>281</v>
      </c>
      <c r="X8" s="1312"/>
      <c r="Y8" s="1312"/>
      <c r="Z8" s="1312"/>
      <c r="AA8" s="1312"/>
      <c r="AB8" s="1312"/>
      <c r="AC8" s="1312"/>
      <c r="AD8" s="1312"/>
      <c r="AE8" s="1312"/>
      <c r="AF8" s="1312"/>
      <c r="AG8" s="1312"/>
    </row>
    <row r="9" spans="2:36" x14ac:dyDescent="0.35">
      <c r="B9" s="1284"/>
      <c r="C9" s="1285"/>
      <c r="D9" s="214">
        <v>2018</v>
      </c>
      <c r="E9" s="1279">
        <v>2019</v>
      </c>
      <c r="F9" s="1280"/>
      <c r="G9" s="1280"/>
      <c r="H9" s="1281"/>
      <c r="I9" s="1279">
        <v>2020</v>
      </c>
      <c r="J9" s="1280"/>
      <c r="K9" s="1280"/>
      <c r="L9" s="1280"/>
      <c r="M9" s="1279">
        <v>2021</v>
      </c>
      <c r="N9" s="1280"/>
      <c r="O9" s="1280"/>
      <c r="P9" s="1280"/>
      <c r="Q9" s="1291">
        <v>2022</v>
      </c>
      <c r="R9" s="1321"/>
      <c r="S9" s="1321"/>
      <c r="T9" s="1321"/>
      <c r="U9" s="239"/>
      <c r="V9" s="288">
        <v>2023</v>
      </c>
      <c r="W9" s="289"/>
      <c r="X9" s="260"/>
      <c r="Y9" s="1288">
        <v>2024</v>
      </c>
      <c r="Z9" s="1301"/>
      <c r="AA9" s="1301"/>
      <c r="AB9" s="1290"/>
      <c r="AC9" s="1288">
        <v>2025</v>
      </c>
      <c r="AD9" s="1301"/>
      <c r="AE9" s="1301"/>
      <c r="AF9" s="1290"/>
      <c r="AG9" s="506">
        <v>2026</v>
      </c>
      <c r="AH9" s="240"/>
      <c r="AI9" s="240"/>
      <c r="AJ9" s="240"/>
    </row>
    <row r="10" spans="2:36" x14ac:dyDescent="0.35">
      <c r="B10" s="1286"/>
      <c r="C10" s="1287"/>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5" t="s">
        <v>282</v>
      </c>
      <c r="U10" s="285" t="s">
        <v>283</v>
      </c>
      <c r="V10" s="286" t="s">
        <v>284</v>
      </c>
      <c r="W10" s="270" t="s">
        <v>238</v>
      </c>
      <c r="X10" s="271" t="s">
        <v>282</v>
      </c>
      <c r="Y10" s="269" t="s">
        <v>283</v>
      </c>
      <c r="Z10" s="267" t="s">
        <v>284</v>
      </c>
      <c r="AA10" s="270" t="s">
        <v>238</v>
      </c>
      <c r="AB10" s="270" t="s">
        <v>282</v>
      </c>
      <c r="AC10" s="269" t="s">
        <v>283</v>
      </c>
      <c r="AD10" s="267" t="s">
        <v>284</v>
      </c>
      <c r="AE10" s="270" t="s">
        <v>238</v>
      </c>
      <c r="AF10" s="270" t="s">
        <v>282</v>
      </c>
      <c r="AG10" s="269" t="s">
        <v>283</v>
      </c>
    </row>
    <row r="11" spans="2:36" x14ac:dyDescent="0.35">
      <c r="B11" s="528" t="s">
        <v>864</v>
      </c>
      <c r="C11" s="55" t="s">
        <v>519</v>
      </c>
      <c r="D11" s="495"/>
      <c r="E11" s="534"/>
      <c r="F11" s="538">
        <v>60.5</v>
      </c>
      <c r="G11" s="538">
        <v>81.400000000000006</v>
      </c>
      <c r="H11" s="538">
        <f>'Haver Pivoted'!GS42</f>
        <v>82.1</v>
      </c>
      <c r="I11" s="538">
        <f>'Haver Pivoted'!GT42</f>
        <v>80</v>
      </c>
      <c r="J11" s="538">
        <f>'Haver Pivoted'!GU42</f>
        <v>975.8</v>
      </c>
      <c r="K11" s="538">
        <f>'Haver Pivoted'!GV42</f>
        <v>1108.4000000000001</v>
      </c>
      <c r="L11" s="538">
        <f>'Haver Pivoted'!GW42</f>
        <v>460.7</v>
      </c>
      <c r="M11" s="538">
        <f>'Haver Pivoted'!GX42</f>
        <v>385.5</v>
      </c>
      <c r="N11" s="538">
        <f>'Haver Pivoted'!GY42</f>
        <v>692.7</v>
      </c>
      <c r="O11" s="538">
        <f>'Haver Pivoted'!GZ42</f>
        <v>547.1</v>
      </c>
      <c r="P11" s="538">
        <f>'Haver Pivoted'!HA42</f>
        <v>293.2</v>
      </c>
      <c r="Q11" s="538">
        <f>'Haver Pivoted'!HB42</f>
        <v>151.4</v>
      </c>
      <c r="R11" s="538">
        <f>'Haver Pivoted'!HC42</f>
        <v>129.5</v>
      </c>
      <c r="S11" s="539">
        <f>'Haver Pivoted'!HD42</f>
        <v>117.7</v>
      </c>
      <c r="T11" s="539">
        <f>'Haver Pivoted'!HE42</f>
        <v>108.6</v>
      </c>
      <c r="U11" s="330">
        <f>'Haver Pivoted'!HF42</f>
        <v>100.7</v>
      </c>
      <c r="V11" s="330">
        <f>'Haver Pivoted'!HG42</f>
        <v>99.2</v>
      </c>
      <c r="W11" s="330">
        <f>'Haver Pivoted'!HH42</f>
        <v>102.4</v>
      </c>
      <c r="X11" s="330">
        <f>'Haver Pivoted'!HI42</f>
        <v>99.3</v>
      </c>
      <c r="Y11" s="330">
        <f>'Haver Pivoted'!HJ42</f>
        <v>96.5</v>
      </c>
      <c r="Z11" s="546">
        <f t="shared" ref="Z11:AC11" si="0">Z12+Z13</f>
        <v>96.5</v>
      </c>
      <c r="AA11" s="546">
        <f t="shared" si="0"/>
        <v>96.5</v>
      </c>
      <c r="AB11" s="546">
        <f t="shared" si="0"/>
        <v>101.333</v>
      </c>
      <c r="AC11" s="513">
        <f t="shared" si="0"/>
        <v>101.333</v>
      </c>
      <c r="AD11" s="513">
        <f t="shared" ref="AD11:AE11" si="1">AD12+AD13</f>
        <v>94.311000000000007</v>
      </c>
      <c r="AE11" s="513">
        <f t="shared" si="1"/>
        <v>95.311000000000007</v>
      </c>
      <c r="AF11" s="513">
        <f t="shared" ref="AF11:AG11" si="2">AF12+AF13</f>
        <v>99.400999999999996</v>
      </c>
      <c r="AG11" s="513">
        <f t="shared" si="2"/>
        <v>100.401</v>
      </c>
    </row>
    <row r="12" spans="2:36" ht="16.5" customHeight="1" x14ac:dyDescent="0.35">
      <c r="B12" s="425" t="s">
        <v>405</v>
      </c>
      <c r="C12" s="55"/>
      <c r="D12" s="528"/>
      <c r="E12" s="55"/>
      <c r="F12" s="54">
        <f>F11</f>
        <v>60.5</v>
      </c>
      <c r="G12" s="54">
        <f>G11</f>
        <v>81.400000000000006</v>
      </c>
      <c r="H12" s="54">
        <f t="shared" ref="H12:M12" si="3">H11-H13</f>
        <v>82.1</v>
      </c>
      <c r="I12" s="54">
        <f t="shared" si="3"/>
        <v>80</v>
      </c>
      <c r="J12" s="54">
        <f>J11-J13</f>
        <v>-13.700000000000045</v>
      </c>
      <c r="K12" s="54">
        <f t="shared" si="3"/>
        <v>-18.199999999999818</v>
      </c>
      <c r="L12" s="54">
        <f>L11-L13</f>
        <v>-77.700000000000102</v>
      </c>
      <c r="M12" s="54">
        <f t="shared" si="3"/>
        <v>77.699999999999989</v>
      </c>
      <c r="N12" s="54">
        <f t="shared" ref="N12:T12" si="4">N11-N13</f>
        <v>89.100000000000023</v>
      </c>
      <c r="O12" s="54">
        <f t="shared" si="4"/>
        <v>91.083520000000021</v>
      </c>
      <c r="P12" s="54">
        <f t="shared" si="4"/>
        <v>88.299999999999983</v>
      </c>
      <c r="Q12" s="54">
        <f t="shared" si="4"/>
        <v>90.7</v>
      </c>
      <c r="R12" s="54">
        <f t="shared" si="4"/>
        <v>76</v>
      </c>
      <c r="S12" s="330">
        <f t="shared" si="4"/>
        <v>75</v>
      </c>
      <c r="T12" s="330">
        <f t="shared" si="4"/>
        <v>76.777999999999992</v>
      </c>
      <c r="U12" s="330">
        <f t="shared" ref="U12:V12" si="5">U11-U13</f>
        <v>88.192000000000007</v>
      </c>
      <c r="V12" s="330">
        <f t="shared" si="5"/>
        <v>86.692000000000007</v>
      </c>
      <c r="W12" s="330">
        <f>W11-W13</f>
        <v>89.891999999999996</v>
      </c>
      <c r="X12" s="330">
        <f>X11-X13</f>
        <v>89.668999999999997</v>
      </c>
      <c r="Y12" s="330">
        <f>Y11-Y13</f>
        <v>86.869</v>
      </c>
      <c r="Z12" s="334">
        <f>Y12</f>
        <v>86.869</v>
      </c>
      <c r="AA12" s="334">
        <f t="shared" ref="AA12:AG12" si="6">Z12</f>
        <v>86.869</v>
      </c>
      <c r="AB12" s="334">
        <f t="shared" si="6"/>
        <v>86.869</v>
      </c>
      <c r="AC12" s="334">
        <f t="shared" si="6"/>
        <v>86.869</v>
      </c>
      <c r="AD12" s="334">
        <f t="shared" si="6"/>
        <v>86.869</v>
      </c>
      <c r="AE12" s="334">
        <f t="shared" si="6"/>
        <v>86.869</v>
      </c>
      <c r="AF12" s="334">
        <f t="shared" si="6"/>
        <v>86.869</v>
      </c>
      <c r="AG12" s="334">
        <f t="shared" si="6"/>
        <v>86.869</v>
      </c>
    </row>
    <row r="13" spans="2:36" x14ac:dyDescent="0.35">
      <c r="B13" s="424" t="s">
        <v>406</v>
      </c>
      <c r="C13" s="55"/>
      <c r="D13" s="528"/>
      <c r="E13" s="55"/>
      <c r="F13" s="536"/>
      <c r="G13" s="536"/>
      <c r="H13" s="54">
        <f>SUM(H16:H25)</f>
        <v>0</v>
      </c>
      <c r="I13" s="54">
        <f>SUM(I16:I25)</f>
        <v>0</v>
      </c>
      <c r="J13" s="54">
        <f t="shared" ref="J13:S13" si="7">SUM(J16:J25)+J14</f>
        <v>989.5</v>
      </c>
      <c r="K13" s="54">
        <f t="shared" si="7"/>
        <v>1126.5999999999999</v>
      </c>
      <c r="L13" s="54">
        <f t="shared" si="7"/>
        <v>538.40000000000009</v>
      </c>
      <c r="M13" s="54">
        <f t="shared" si="7"/>
        <v>307.8</v>
      </c>
      <c r="N13" s="36">
        <f t="shared" si="7"/>
        <v>603.6</v>
      </c>
      <c r="O13" s="36">
        <f>SUM(O16:O25)+O14</f>
        <v>456.01648</v>
      </c>
      <c r="P13" s="36">
        <f>SUM(P16:P25)+P14</f>
        <v>204.9</v>
      </c>
      <c r="Q13" s="36">
        <f t="shared" si="7"/>
        <v>60.7</v>
      </c>
      <c r="R13" s="36">
        <f t="shared" si="7"/>
        <v>53.5</v>
      </c>
      <c r="S13" s="36">
        <f t="shared" si="7"/>
        <v>42.7</v>
      </c>
      <c r="T13" s="36">
        <f t="shared" ref="T13:AC13" si="8">SUM(T16:T27)+T14</f>
        <v>31.822000000000003</v>
      </c>
      <c r="U13" s="36">
        <f t="shared" si="8"/>
        <v>12.508000000000003</v>
      </c>
      <c r="V13" s="36">
        <f t="shared" si="8"/>
        <v>12.508000000000003</v>
      </c>
      <c r="W13" s="36">
        <f>SUM(W16:W27)+W14</f>
        <v>12.508000000000003</v>
      </c>
      <c r="X13" s="36">
        <f>SUM(X16:X27)+X14</f>
        <v>9.6310000000000002</v>
      </c>
      <c r="Y13" s="334">
        <f t="shared" si="8"/>
        <v>9.6310000000000002</v>
      </c>
      <c r="Z13" s="334">
        <f t="shared" si="8"/>
        <v>9.6310000000000002</v>
      </c>
      <c r="AA13" s="334">
        <f t="shared" si="8"/>
        <v>9.6310000000000002</v>
      </c>
      <c r="AB13" s="334">
        <f t="shared" si="8"/>
        <v>14.464</v>
      </c>
      <c r="AC13" s="334">
        <f t="shared" si="8"/>
        <v>14.464</v>
      </c>
      <c r="AD13" s="334">
        <f t="shared" ref="AD13:AE13" si="9">SUM(AD16:AD27)+AD14</f>
        <v>7.4420000000000002</v>
      </c>
      <c r="AE13" s="334">
        <f t="shared" si="9"/>
        <v>8.4420000000000002</v>
      </c>
      <c r="AF13" s="334">
        <f t="shared" ref="AF13:AG13" si="10">SUM(AF16:AF27)+AF14</f>
        <v>12.532</v>
      </c>
      <c r="AG13" s="334">
        <f t="shared" si="10"/>
        <v>13.532</v>
      </c>
    </row>
    <row r="14" spans="2:36" x14ac:dyDescent="0.35">
      <c r="B14" s="363" t="s">
        <v>50</v>
      </c>
      <c r="C14" s="35" t="s">
        <v>329</v>
      </c>
      <c r="D14" s="359"/>
      <c r="E14" s="35"/>
      <c r="F14" s="54"/>
      <c r="G14" s="54"/>
      <c r="H14" s="54">
        <f>'Haver Pivoted'!GS49</f>
        <v>0</v>
      </c>
      <c r="I14" s="54">
        <f>'Haver Pivoted'!GT49</f>
        <v>0</v>
      </c>
      <c r="J14" s="54">
        <f>'Haver Pivoted'!GU49</f>
        <v>576.9</v>
      </c>
      <c r="K14" s="54">
        <f>'Haver Pivoted'!GV49</f>
        <v>819.5</v>
      </c>
      <c r="L14" s="54">
        <f>'Haver Pivoted'!GW49</f>
        <v>246.3</v>
      </c>
      <c r="M14" s="54">
        <f>'Haver Pivoted'!GX49</f>
        <v>197</v>
      </c>
      <c r="N14" s="54">
        <f>'Haver Pivoted'!GY49</f>
        <v>441.2</v>
      </c>
      <c r="O14" s="54">
        <f>'Haver Pivoted'!GZ49</f>
        <v>276.7</v>
      </c>
      <c r="P14" s="54">
        <f>'Haver Pivoted'!HA49</f>
        <v>28.2</v>
      </c>
      <c r="Q14" s="54">
        <f>'Haver Pivoted'!HB49</f>
        <v>0</v>
      </c>
      <c r="R14" s="54">
        <f>'Haver Pivoted'!HC49</f>
        <v>0</v>
      </c>
      <c r="S14" s="330">
        <f>'Haver Pivoted'!HD49</f>
        <v>0</v>
      </c>
      <c r="T14" s="330">
        <f>'Haver Pivoted'!HE49</f>
        <v>0</v>
      </c>
      <c r="U14" s="330">
        <f>'Haver Pivoted'!HF49</f>
        <v>0</v>
      </c>
      <c r="V14" s="330">
        <f>'Haver Pivoted'!HG49</f>
        <v>0</v>
      </c>
      <c r="W14" s="547">
        <f>'Haver Pivoted'!HH49</f>
        <v>0</v>
      </c>
      <c r="X14" s="547">
        <f>'Haver Pivoted'!HI49</f>
        <v>0</v>
      </c>
      <c r="Y14" s="547">
        <f>'Haver Pivoted'!HJ49</f>
        <v>0</v>
      </c>
      <c r="Z14" s="508"/>
      <c r="AA14" s="508"/>
      <c r="AB14" s="508"/>
      <c r="AC14" s="508"/>
      <c r="AD14" s="508"/>
      <c r="AE14" s="508"/>
      <c r="AF14" s="508"/>
      <c r="AG14" s="508"/>
    </row>
    <row r="15" spans="2:36" x14ac:dyDescent="0.35">
      <c r="B15" s="424" t="s">
        <v>407</v>
      </c>
      <c r="C15" s="55"/>
      <c r="D15" s="528"/>
      <c r="E15" s="55"/>
      <c r="F15" s="536"/>
      <c r="G15" s="536"/>
      <c r="H15" s="54">
        <f t="shared" ref="H15:AC15" si="11">SUM(H16:H25)</f>
        <v>0</v>
      </c>
      <c r="I15" s="54">
        <f t="shared" si="11"/>
        <v>0</v>
      </c>
      <c r="J15" s="54">
        <f t="shared" si="11"/>
        <v>412.6</v>
      </c>
      <c r="K15" s="54">
        <f t="shared" si="11"/>
        <v>307.10000000000002</v>
      </c>
      <c r="L15" s="54">
        <f t="shared" si="11"/>
        <v>292.10000000000002</v>
      </c>
      <c r="M15" s="54">
        <f t="shared" si="11"/>
        <v>110.8</v>
      </c>
      <c r="N15" s="54">
        <f t="shared" si="11"/>
        <v>162.4</v>
      </c>
      <c r="O15" s="54">
        <f t="shared" si="11"/>
        <v>179.31648000000001</v>
      </c>
      <c r="P15" s="54">
        <f>SUM(P16:P25)</f>
        <v>176.70000000000002</v>
      </c>
      <c r="Q15" s="54">
        <f t="shared" si="11"/>
        <v>60.7</v>
      </c>
      <c r="R15" s="54">
        <f t="shared" si="11"/>
        <v>53.5</v>
      </c>
      <c r="S15" s="54">
        <f t="shared" si="11"/>
        <v>42.7</v>
      </c>
      <c r="T15" s="54">
        <f t="shared" si="11"/>
        <v>28.200000000000003</v>
      </c>
      <c r="U15" s="54">
        <f t="shared" si="11"/>
        <v>8.886000000000001</v>
      </c>
      <c r="V15" s="54">
        <f t="shared" si="11"/>
        <v>8.886000000000001</v>
      </c>
      <c r="W15" s="401">
        <f t="shared" si="11"/>
        <v>8.886000000000001</v>
      </c>
      <c r="X15" s="54">
        <f t="shared" si="11"/>
        <v>0.2</v>
      </c>
      <c r="Y15" s="514">
        <f t="shared" si="11"/>
        <v>0.2</v>
      </c>
      <c r="Z15" s="514">
        <f t="shared" si="11"/>
        <v>0.2</v>
      </c>
      <c r="AA15" s="514">
        <f t="shared" si="11"/>
        <v>0.2</v>
      </c>
      <c r="AB15" s="514">
        <f t="shared" si="11"/>
        <v>0</v>
      </c>
      <c r="AC15" s="514">
        <f t="shared" si="11"/>
        <v>0</v>
      </c>
      <c r="AD15" s="514">
        <f t="shared" ref="AD15:AE15" si="12">SUM(AD16:AD25)</f>
        <v>1</v>
      </c>
      <c r="AE15" s="514">
        <f t="shared" si="12"/>
        <v>2</v>
      </c>
      <c r="AF15" s="514">
        <f t="shared" ref="AF15:AG15" si="13">SUM(AF16:AF25)</f>
        <v>3</v>
      </c>
      <c r="AG15" s="514">
        <f t="shared" si="13"/>
        <v>4</v>
      </c>
    </row>
    <row r="16" spans="2:36" x14ac:dyDescent="0.35">
      <c r="B16" s="524" t="s">
        <v>145</v>
      </c>
      <c r="C16" s="38" t="s">
        <v>408</v>
      </c>
      <c r="D16" s="430"/>
      <c r="E16" s="38"/>
      <c r="F16" s="54"/>
      <c r="G16" s="54"/>
      <c r="H16" s="54">
        <f>'Haver Pivoted'!GS53</f>
        <v>0</v>
      </c>
      <c r="I16" s="54">
        <f>'Haver Pivoted'!GT53</f>
        <v>0</v>
      </c>
      <c r="J16" s="54">
        <f>'Haver Pivoted'!GU53</f>
        <v>16.899999999999999</v>
      </c>
      <c r="K16" s="54">
        <f>'Haver Pivoted'!GV53</f>
        <v>18.399999999999999</v>
      </c>
      <c r="L16" s="54">
        <f>'Haver Pivoted'!GW53</f>
        <v>46.2</v>
      </c>
      <c r="M16" s="54">
        <f>'Haver Pivoted'!GX53</f>
        <v>0.9</v>
      </c>
      <c r="N16" s="54">
        <f>'Haver Pivoted'!GY53</f>
        <v>14.1</v>
      </c>
      <c r="O16" s="54">
        <f>'Haver Pivoted'!GZ53</f>
        <v>8.6</v>
      </c>
      <c r="P16" s="54">
        <f>'Haver Pivoted'!HA53</f>
        <v>1.2</v>
      </c>
      <c r="Q16" s="54">
        <f>'Haver Pivoted'!HB53</f>
        <v>0.6</v>
      </c>
      <c r="R16" s="54">
        <f>'Haver Pivoted'!HC53</f>
        <v>0</v>
      </c>
      <c r="S16" s="330">
        <f>'Haver Pivoted'!HD53</f>
        <v>0</v>
      </c>
      <c r="T16" s="330">
        <f>'Haver Pivoted'!HE53</f>
        <v>0</v>
      </c>
      <c r="U16" s="330">
        <f>'Haver Pivoted'!HF53</f>
        <v>0</v>
      </c>
      <c r="V16" s="330">
        <f>'Haver Pivoted'!HG53</f>
        <v>0</v>
      </c>
      <c r="W16" s="547">
        <f>'Haver Pivoted'!HH53</f>
        <v>0</v>
      </c>
      <c r="X16" s="547">
        <f>'Haver Pivoted'!HI53</f>
        <v>0</v>
      </c>
      <c r="Y16" s="547">
        <f>'Haver Pivoted'!HJ53</f>
        <v>0</v>
      </c>
      <c r="Z16" s="508"/>
      <c r="AA16" s="508"/>
      <c r="AB16" s="508"/>
      <c r="AC16" s="508"/>
      <c r="AD16" s="508"/>
      <c r="AE16" s="508"/>
      <c r="AF16" s="508"/>
      <c r="AG16" s="508"/>
    </row>
    <row r="17" spans="2:34" x14ac:dyDescent="0.35">
      <c r="B17" s="524" t="s">
        <v>143</v>
      </c>
      <c r="C17" s="38" t="s">
        <v>409</v>
      </c>
      <c r="D17" s="430"/>
      <c r="E17" s="38"/>
      <c r="F17" s="54"/>
      <c r="G17" s="54"/>
      <c r="H17" s="54">
        <f>'Haver Pivoted'!GS51</f>
        <v>0</v>
      </c>
      <c r="I17" s="54">
        <f>'Haver Pivoted'!GT51</f>
        <v>0</v>
      </c>
      <c r="J17" s="54">
        <f>'Haver Pivoted'!GU51</f>
        <v>73.3</v>
      </c>
      <c r="K17" s="54">
        <f>'Haver Pivoted'!GV51</f>
        <v>73.3</v>
      </c>
      <c r="L17" s="54">
        <f>'Haver Pivoted'!GW51</f>
        <v>73.3</v>
      </c>
      <c r="M17" s="54">
        <f>'Haver Pivoted'!GX51</f>
        <v>39.799999999999997</v>
      </c>
      <c r="N17" s="54">
        <f>'Haver Pivoted'!GY51</f>
        <v>43</v>
      </c>
      <c r="O17" s="54">
        <f>'Haver Pivoted'!GZ51</f>
        <v>45.7</v>
      </c>
      <c r="P17" s="54">
        <f>'Haver Pivoted'!HA51</f>
        <v>51.5</v>
      </c>
      <c r="Q17" s="54">
        <f>'Haver Pivoted'!HB51</f>
        <v>0</v>
      </c>
      <c r="R17" s="54">
        <f>'Haver Pivoted'!HC51</f>
        <v>0</v>
      </c>
      <c r="S17" s="330">
        <f>'Haver Pivoted'!HD51</f>
        <v>0</v>
      </c>
      <c r="T17" s="330">
        <f>'Haver Pivoted'!HE51</f>
        <v>0</v>
      </c>
      <c r="U17" s="330">
        <f>'Haver Pivoted'!HF51</f>
        <v>0</v>
      </c>
      <c r="V17" s="330">
        <f>'Haver Pivoted'!HG51</f>
        <v>0</v>
      </c>
      <c r="W17" s="547">
        <f>'Haver Pivoted'!HH51</f>
        <v>0</v>
      </c>
      <c r="X17" s="547">
        <f>'Haver Pivoted'!HI51</f>
        <v>0</v>
      </c>
      <c r="Y17" s="547">
        <f>'Haver Pivoted'!HJ51</f>
        <v>0</v>
      </c>
      <c r="Z17" s="334">
        <f t="shared" ref="Z17:AD17" si="14">Y17</f>
        <v>0</v>
      </c>
      <c r="AA17" s="334">
        <f t="shared" si="14"/>
        <v>0</v>
      </c>
      <c r="AB17" s="334">
        <f t="shared" si="14"/>
        <v>0</v>
      </c>
      <c r="AC17" s="334">
        <f t="shared" si="14"/>
        <v>0</v>
      </c>
      <c r="AD17" s="334">
        <f t="shared" si="14"/>
        <v>0</v>
      </c>
      <c r="AE17" s="334">
        <f t="shared" ref="AE17" si="15">AD17</f>
        <v>0</v>
      </c>
      <c r="AF17" s="334">
        <f t="shared" ref="AF17" si="16">AE17</f>
        <v>0</v>
      </c>
      <c r="AG17" s="334">
        <f t="shared" ref="AG17" si="17">AF17</f>
        <v>0</v>
      </c>
    </row>
    <row r="18" spans="2:34" x14ac:dyDescent="0.35">
      <c r="B18" s="524" t="s">
        <v>142</v>
      </c>
      <c r="C18" s="35" t="s">
        <v>410</v>
      </c>
      <c r="D18" s="359"/>
      <c r="E18" s="35"/>
      <c r="F18" s="54"/>
      <c r="G18" s="54"/>
      <c r="H18" s="54">
        <f>'Haver Pivoted'!GS50</f>
        <v>0</v>
      </c>
      <c r="I18" s="54">
        <f>'Haver Pivoted'!GT50</f>
        <v>0</v>
      </c>
      <c r="J18" s="54">
        <f>'Haver Pivoted'!GU50</f>
        <v>63.8</v>
      </c>
      <c r="K18" s="54">
        <f>'Haver Pivoted'!GV50</f>
        <v>15</v>
      </c>
      <c r="L18" s="54">
        <f>'Haver Pivoted'!GW50</f>
        <v>0.1</v>
      </c>
      <c r="M18" s="54">
        <f>'Haver Pivoted'!GX50</f>
        <v>38</v>
      </c>
      <c r="N18" s="54">
        <f>'Haver Pivoted'!GY50</f>
        <v>47.3</v>
      </c>
      <c r="O18" s="54">
        <f>'Haver Pivoted'!GZ50</f>
        <v>0.7</v>
      </c>
      <c r="P18" s="54">
        <f>'Haver Pivoted'!HA50</f>
        <v>0</v>
      </c>
      <c r="Q18" s="54">
        <f>'Haver Pivoted'!HB50</f>
        <v>0.3</v>
      </c>
      <c r="R18" s="54">
        <f>'Haver Pivoted'!HC50</f>
        <v>0.2</v>
      </c>
      <c r="S18" s="330">
        <f>'Haver Pivoted'!HD50</f>
        <v>0.3</v>
      </c>
      <c r="T18" s="330">
        <f>'Haver Pivoted'!HE50</f>
        <v>0.4</v>
      </c>
      <c r="U18" s="330">
        <f>'Haver Pivoted'!HF50</f>
        <v>0</v>
      </c>
      <c r="V18" s="330">
        <f>'Haver Pivoted'!HG50</f>
        <v>0</v>
      </c>
      <c r="W18" s="547">
        <f>'Haver Pivoted'!HH50</f>
        <v>0</v>
      </c>
      <c r="X18" s="547">
        <f>'Haver Pivoted'!HI50</f>
        <v>0</v>
      </c>
      <c r="Y18" s="547">
        <f>'Haver Pivoted'!HJ50</f>
        <v>0</v>
      </c>
      <c r="Z18" s="334">
        <f t="shared" ref="Z18:AC18" si="18">Z30</f>
        <v>0</v>
      </c>
      <c r="AA18" s="334">
        <f t="shared" si="18"/>
        <v>0</v>
      </c>
      <c r="AB18" s="334">
        <f t="shared" si="18"/>
        <v>0</v>
      </c>
      <c r="AC18" s="334">
        <f t="shared" si="18"/>
        <v>0</v>
      </c>
      <c r="AD18" s="334">
        <f t="shared" ref="AD18:AE18" si="19">AD30</f>
        <v>0</v>
      </c>
      <c r="AE18" s="334">
        <f t="shared" si="19"/>
        <v>0</v>
      </c>
      <c r="AF18" s="334">
        <f t="shared" ref="AF18:AG18" si="20">AF30</f>
        <v>0</v>
      </c>
      <c r="AG18" s="334">
        <f t="shared" si="20"/>
        <v>0</v>
      </c>
    </row>
    <row r="19" spans="2:34" x14ac:dyDescent="0.35">
      <c r="B19" s="524" t="s">
        <v>411</v>
      </c>
      <c r="C19" s="35" t="s">
        <v>309</v>
      </c>
      <c r="D19" s="359"/>
      <c r="E19" s="35"/>
      <c r="F19" s="54"/>
      <c r="G19" s="54"/>
      <c r="H19" s="54">
        <f>'Haver Pivoted'!GS54</f>
        <v>0</v>
      </c>
      <c r="I19" s="54">
        <f>'Haver Pivoted'!GT54</f>
        <v>0</v>
      </c>
      <c r="J19" s="54">
        <f>'Haver Pivoted'!GU54</f>
        <v>96.6</v>
      </c>
      <c r="K19" s="54">
        <f>'Haver Pivoted'!GV54</f>
        <v>35.1</v>
      </c>
      <c r="L19" s="54">
        <f>'Haver Pivoted'!GW54</f>
        <v>20.7</v>
      </c>
      <c r="M19" s="54">
        <f>'Haver Pivoted'!GX54</f>
        <v>15.4</v>
      </c>
      <c r="N19" s="54">
        <f>'Haver Pivoted'!GY54</f>
        <v>9.6</v>
      </c>
      <c r="O19" s="54">
        <f>'Haver Pivoted'!GZ54</f>
        <v>13.5</v>
      </c>
      <c r="P19" s="54">
        <f>'Haver Pivoted'!HA54</f>
        <v>23.2</v>
      </c>
      <c r="Q19" s="54">
        <f>'Haver Pivoted'!HB54</f>
        <v>19.3</v>
      </c>
      <c r="R19" s="54">
        <f>'Haver Pivoted'!HC54</f>
        <v>14.4</v>
      </c>
      <c r="S19" s="330">
        <f>'Haver Pivoted'!HD54</f>
        <v>5.9</v>
      </c>
      <c r="T19" s="330">
        <f>'Haver Pivoted'!HE54</f>
        <v>3.6</v>
      </c>
      <c r="U19" s="330">
        <f>'Haver Pivoted'!HF54</f>
        <v>0</v>
      </c>
      <c r="V19" s="330">
        <f>'Haver Pivoted'!HG54</f>
        <v>0</v>
      </c>
      <c r="W19" s="547">
        <f>'Haver Pivoted'!HH54</f>
        <v>0</v>
      </c>
      <c r="X19" s="547">
        <f>'Haver Pivoted'!HI54</f>
        <v>0</v>
      </c>
      <c r="Y19" s="547">
        <f>'Haver Pivoted'!HJ54</f>
        <v>0</v>
      </c>
      <c r="Z19" s="508"/>
      <c r="AA19" s="508"/>
      <c r="AB19" s="508"/>
      <c r="AC19" s="508"/>
      <c r="AD19" s="508"/>
      <c r="AE19" s="508"/>
      <c r="AF19" s="508"/>
      <c r="AG19" s="508"/>
    </row>
    <row r="20" spans="2:34" x14ac:dyDescent="0.35">
      <c r="B20" s="524" t="s">
        <v>144</v>
      </c>
      <c r="C20" s="35" t="s">
        <v>412</v>
      </c>
      <c r="D20" s="359"/>
      <c r="E20" s="35"/>
      <c r="F20" s="54"/>
      <c r="G20" s="54"/>
      <c r="H20" s="54">
        <f>'Haver Pivoted'!GS52</f>
        <v>0</v>
      </c>
      <c r="I20" s="54">
        <f>'Haver Pivoted'!GT52</f>
        <v>0</v>
      </c>
      <c r="J20" s="54">
        <f>'Haver Pivoted'!GU52</f>
        <v>22</v>
      </c>
      <c r="K20" s="54">
        <f>'Haver Pivoted'!GV52</f>
        <v>25.3</v>
      </c>
      <c r="L20" s="54">
        <f>'Haver Pivoted'!GW52</f>
        <v>11.8</v>
      </c>
      <c r="M20" s="54">
        <f>'Haver Pivoted'!GX52</f>
        <v>11.9</v>
      </c>
      <c r="N20" s="54">
        <f>'Haver Pivoted'!GY52</f>
        <v>11.3</v>
      </c>
      <c r="O20" s="54">
        <f>'Haver Pivoted'!GZ52</f>
        <v>13.6</v>
      </c>
      <c r="P20" s="54">
        <f>'Haver Pivoted'!HA52</f>
        <v>19</v>
      </c>
      <c r="Q20" s="54">
        <f>'Haver Pivoted'!HB52</f>
        <v>21.8</v>
      </c>
      <c r="R20" s="54">
        <f>'Haver Pivoted'!HC52</f>
        <v>22.3</v>
      </c>
      <c r="S20" s="330">
        <f>'Haver Pivoted'!HD52</f>
        <v>20.2</v>
      </c>
      <c r="T20" s="330">
        <f>'Haver Pivoted'!HE52</f>
        <v>15.8</v>
      </c>
      <c r="U20" s="36">
        <f t="shared" ref="U20:AC20" si="21">U37</f>
        <v>0.48599999999999993</v>
      </c>
      <c r="V20" s="36">
        <f t="shared" si="21"/>
        <v>0.48599999999999993</v>
      </c>
      <c r="W20" s="401">
        <f t="shared" si="21"/>
        <v>0.48599999999999993</v>
      </c>
      <c r="X20" s="36">
        <f t="shared" si="21"/>
        <v>0</v>
      </c>
      <c r="Y20" s="334">
        <f t="shared" si="21"/>
        <v>0</v>
      </c>
      <c r="Z20" s="334">
        <f t="shared" si="21"/>
        <v>0</v>
      </c>
      <c r="AA20" s="334">
        <f t="shared" si="21"/>
        <v>0</v>
      </c>
      <c r="AB20" s="334">
        <f t="shared" si="21"/>
        <v>0</v>
      </c>
      <c r="AC20" s="334">
        <f t="shared" si="21"/>
        <v>0</v>
      </c>
      <c r="AD20" s="334">
        <f t="shared" ref="AD20:AE20" si="22">AD37</f>
        <v>0</v>
      </c>
      <c r="AE20" s="334">
        <f t="shared" si="22"/>
        <v>0</v>
      </c>
      <c r="AF20" s="334">
        <f t="shared" ref="AF20:AG20" si="23">AF37</f>
        <v>0</v>
      </c>
      <c r="AG20" s="334">
        <f t="shared" si="23"/>
        <v>0</v>
      </c>
      <c r="AH20" s="73"/>
    </row>
    <row r="21" spans="2:34" x14ac:dyDescent="0.35">
      <c r="B21" s="524" t="s">
        <v>148</v>
      </c>
      <c r="C21" s="35" t="s">
        <v>413</v>
      </c>
      <c r="D21" s="359"/>
      <c r="E21" s="35"/>
      <c r="F21" s="54"/>
      <c r="G21" s="54"/>
      <c r="H21" s="54">
        <f>'Haver Pivoted'!GS55</f>
        <v>0</v>
      </c>
      <c r="I21" s="54">
        <f>'Haver Pivoted'!GT55</f>
        <v>0</v>
      </c>
      <c r="J21" s="54">
        <f>'Haver Pivoted'!GU55</f>
        <v>140</v>
      </c>
      <c r="K21" s="54">
        <f>'Haver Pivoted'!GV55</f>
        <v>140</v>
      </c>
      <c r="L21" s="54">
        <f>'Haver Pivoted'!GW55</f>
        <v>140</v>
      </c>
      <c r="M21" s="54">
        <f>'Haver Pivoted'!GX55</f>
        <v>4.8</v>
      </c>
      <c r="N21" s="54">
        <f>'Haver Pivoted'!GY55</f>
        <v>4.4000000000000004</v>
      </c>
      <c r="O21" s="54">
        <f>'Haver Pivoted'!GZ55</f>
        <v>5.3</v>
      </c>
      <c r="P21" s="54">
        <f>'Haver Pivoted'!HA55</f>
        <v>4.7</v>
      </c>
      <c r="Q21" s="54">
        <f>'Haver Pivoted'!HB55</f>
        <v>0</v>
      </c>
      <c r="R21" s="54">
        <f>'Haver Pivoted'!HC55</f>
        <v>0</v>
      </c>
      <c r="S21" s="330">
        <f>'Haver Pivoted'!HD55</f>
        <v>0</v>
      </c>
      <c r="T21" s="330">
        <f>'Haver Pivoted'!HE55</f>
        <v>0</v>
      </c>
      <c r="U21" s="330">
        <f>'Haver Pivoted'!HF55</f>
        <v>0</v>
      </c>
      <c r="V21" s="330">
        <f>'Haver Pivoted'!HG55</f>
        <v>0</v>
      </c>
      <c r="W21" s="547">
        <f>'Haver Pivoted'!HH55</f>
        <v>0</v>
      </c>
      <c r="X21" s="547">
        <f>'Haver Pivoted'!HI55</f>
        <v>0</v>
      </c>
      <c r="Y21" s="547">
        <f>'Haver Pivoted'!HJ55</f>
        <v>0</v>
      </c>
      <c r="Z21" s="334">
        <f t="shared" ref="Z21:AD21" si="24">Y21</f>
        <v>0</v>
      </c>
      <c r="AA21" s="334">
        <f t="shared" si="24"/>
        <v>0</v>
      </c>
      <c r="AB21" s="334">
        <f t="shared" si="24"/>
        <v>0</v>
      </c>
      <c r="AC21" s="334">
        <f t="shared" si="24"/>
        <v>0</v>
      </c>
      <c r="AD21" s="334">
        <f t="shared" si="24"/>
        <v>0</v>
      </c>
      <c r="AE21" s="334">
        <f t="shared" ref="AE21" si="25">AD21</f>
        <v>0</v>
      </c>
      <c r="AF21" s="334">
        <f t="shared" ref="AF21" si="26">AE21</f>
        <v>0</v>
      </c>
      <c r="AG21" s="334">
        <f t="shared" ref="AG21" si="27">AF21</f>
        <v>0</v>
      </c>
    </row>
    <row r="22" spans="2:34" x14ac:dyDescent="0.35">
      <c r="B22" s="524" t="s">
        <v>414</v>
      </c>
      <c r="C22" s="35" t="s">
        <v>787</v>
      </c>
      <c r="D22" s="372"/>
      <c r="E22" s="54"/>
      <c r="F22" s="54"/>
      <c r="G22" s="54"/>
      <c r="H22" s="54"/>
      <c r="I22" s="54"/>
      <c r="J22" s="54"/>
      <c r="K22" s="54"/>
      <c r="L22" s="54"/>
      <c r="M22" s="54"/>
      <c r="N22" s="54">
        <f>'Haver Pivoted'!GY87</f>
        <v>11.3</v>
      </c>
      <c r="O22" s="54">
        <f>'Haver Pivoted'!GZ87</f>
        <v>10.4</v>
      </c>
      <c r="P22" s="54">
        <f>'Haver Pivoted'!HA87</f>
        <v>5.3</v>
      </c>
      <c r="Q22" s="54">
        <f>'Haver Pivoted'!HB87</f>
        <v>2.4</v>
      </c>
      <c r="R22" s="54">
        <f>'Haver Pivoted'!HC87</f>
        <v>0.3</v>
      </c>
      <c r="S22" s="330">
        <f>'Haver Pivoted'!HD87</f>
        <v>0</v>
      </c>
      <c r="T22" s="330">
        <f>'Haver Pivoted'!HE87</f>
        <v>0</v>
      </c>
      <c r="U22" s="330">
        <f>'Haver Pivoted'!HF87</f>
        <v>0</v>
      </c>
      <c r="V22" s="330">
        <f>'Haver Pivoted'!HG87</f>
        <v>0</v>
      </c>
      <c r="W22" s="547">
        <f>'Haver Pivoted'!HH87</f>
        <v>0</v>
      </c>
      <c r="X22" s="547">
        <f>'Haver Pivoted'!HI87</f>
        <v>0</v>
      </c>
      <c r="Y22" s="547">
        <f>'Haver Pivoted'!HJ87</f>
        <v>0</v>
      </c>
      <c r="Z22" s="334">
        <v>0</v>
      </c>
      <c r="AA22" s="334">
        <v>0</v>
      </c>
      <c r="AB22" s="334">
        <v>0</v>
      </c>
      <c r="AC22" s="334">
        <v>0</v>
      </c>
      <c r="AD22" s="334">
        <v>1</v>
      </c>
      <c r="AE22" s="334">
        <v>2</v>
      </c>
      <c r="AF22" s="334">
        <v>3</v>
      </c>
      <c r="AG22" s="334">
        <v>4</v>
      </c>
    </row>
    <row r="23" spans="2:34" x14ac:dyDescent="0.35">
      <c r="B23" s="524" t="s">
        <v>415</v>
      </c>
      <c r="C23" s="35" t="s">
        <v>786</v>
      </c>
      <c r="D23" s="359"/>
      <c r="E23" s="35"/>
      <c r="F23" s="54"/>
      <c r="G23" s="537"/>
      <c r="H23" s="54"/>
      <c r="I23" s="54"/>
      <c r="J23" s="54"/>
      <c r="K23" s="54"/>
      <c r="L23" s="54"/>
      <c r="M23" s="54"/>
      <c r="N23" s="54">
        <f>'Haver Pivoted'!GY86</f>
        <v>21.4</v>
      </c>
      <c r="O23" s="54">
        <f>'Haver Pivoted'!GZ86</f>
        <v>57</v>
      </c>
      <c r="P23" s="54">
        <f>'Haver Pivoted'!HA86</f>
        <v>35.5</v>
      </c>
      <c r="Q23" s="54">
        <f>'Haver Pivoted'!HB86</f>
        <v>0</v>
      </c>
      <c r="R23" s="54">
        <f>'Haver Pivoted'!HC86</f>
        <v>0</v>
      </c>
      <c r="S23" s="330">
        <f>'Haver Pivoted'!HD86</f>
        <v>0</v>
      </c>
      <c r="T23" s="330">
        <f>'Haver Pivoted'!HE86</f>
        <v>0</v>
      </c>
      <c r="U23" s="330">
        <f>'Haver Pivoted'!HF86</f>
        <v>0</v>
      </c>
      <c r="V23" s="330">
        <f>'Haver Pivoted'!HG86</f>
        <v>0</v>
      </c>
      <c r="W23" s="547">
        <f>'Haver Pivoted'!HH86</f>
        <v>0</v>
      </c>
      <c r="X23" s="547">
        <f>'Haver Pivoted'!HI86</f>
        <v>0</v>
      </c>
      <c r="Y23" s="547">
        <f>'Haver Pivoted'!HJ86</f>
        <v>0</v>
      </c>
      <c r="Z23" s="334">
        <f t="shared" ref="Z23:AD23" si="28">Y23</f>
        <v>0</v>
      </c>
      <c r="AA23" s="334">
        <f t="shared" si="28"/>
        <v>0</v>
      </c>
      <c r="AB23" s="334">
        <f t="shared" si="28"/>
        <v>0</v>
      </c>
      <c r="AC23" s="334">
        <f t="shared" si="28"/>
        <v>0</v>
      </c>
      <c r="AD23" s="334">
        <f t="shared" si="28"/>
        <v>0</v>
      </c>
      <c r="AE23" s="334">
        <f t="shared" ref="AE23" si="29">AD23</f>
        <v>0</v>
      </c>
      <c r="AF23" s="334">
        <f t="shared" ref="AF23" si="30">AE23</f>
        <v>0</v>
      </c>
      <c r="AG23" s="334">
        <f t="shared" ref="AG23" si="31">AF23</f>
        <v>0</v>
      </c>
    </row>
    <row r="24" spans="2:34" x14ac:dyDescent="0.35">
      <c r="B24" s="524" t="s">
        <v>416</v>
      </c>
      <c r="C24" s="35"/>
      <c r="D24" s="359"/>
      <c r="E24" s="35"/>
      <c r="F24" s="54"/>
      <c r="G24" s="54"/>
      <c r="H24" s="54"/>
      <c r="I24" s="54"/>
      <c r="J24" s="54"/>
      <c r="K24" s="54"/>
      <c r="L24" s="54"/>
      <c r="M24" s="54"/>
      <c r="N24" s="54"/>
      <c r="O24" s="36">
        <f>O41+O42</f>
        <v>12.51648</v>
      </c>
      <c r="P24" s="36">
        <f>P41+P42</f>
        <v>11.3</v>
      </c>
      <c r="Q24" s="36">
        <f t="shared" ref="Q24:AC24" si="32">Q41+Q42</f>
        <v>11.3</v>
      </c>
      <c r="R24" s="36">
        <f t="shared" si="32"/>
        <v>11.3</v>
      </c>
      <c r="S24" s="36">
        <f t="shared" si="32"/>
        <v>11.3</v>
      </c>
      <c r="T24" s="36">
        <f t="shared" si="32"/>
        <v>8.4</v>
      </c>
      <c r="U24" s="36">
        <f t="shared" si="32"/>
        <v>8.4</v>
      </c>
      <c r="V24" s="36">
        <f t="shared" si="32"/>
        <v>8.4</v>
      </c>
      <c r="W24" s="401">
        <f t="shared" si="32"/>
        <v>8.4</v>
      </c>
      <c r="X24" s="36">
        <f t="shared" si="32"/>
        <v>0.2</v>
      </c>
      <c r="Y24" s="334">
        <f t="shared" si="32"/>
        <v>0.2</v>
      </c>
      <c r="Z24" s="334">
        <f t="shared" si="32"/>
        <v>0.2</v>
      </c>
      <c r="AA24" s="334">
        <f t="shared" si="32"/>
        <v>0.2</v>
      </c>
      <c r="AB24" s="334">
        <f t="shared" si="32"/>
        <v>0</v>
      </c>
      <c r="AC24" s="334">
        <f t="shared" si="32"/>
        <v>0</v>
      </c>
      <c r="AD24" s="334">
        <f t="shared" ref="AD24:AE24" si="33">AD41+AD42</f>
        <v>0</v>
      </c>
      <c r="AE24" s="334">
        <f t="shared" si="33"/>
        <v>0</v>
      </c>
      <c r="AF24" s="334">
        <f t="shared" ref="AF24:AG24" si="34">AF41+AF42</f>
        <v>0</v>
      </c>
      <c r="AG24" s="334">
        <f t="shared" si="34"/>
        <v>0</v>
      </c>
    </row>
    <row r="25" spans="2:34" x14ac:dyDescent="0.35">
      <c r="B25" s="524" t="s">
        <v>417</v>
      </c>
      <c r="C25" s="35"/>
      <c r="D25" s="359"/>
      <c r="E25" s="35"/>
      <c r="F25" s="36"/>
      <c r="G25" s="36"/>
      <c r="H25" s="230"/>
      <c r="I25" s="230"/>
      <c r="J25" s="230"/>
      <c r="K25" s="230"/>
      <c r="L25" s="230"/>
      <c r="M25" s="230"/>
      <c r="N25" s="36"/>
      <c r="O25" s="36">
        <f>O34</f>
        <v>12</v>
      </c>
      <c r="P25" s="36">
        <v>25</v>
      </c>
      <c r="Q25" s="36">
        <v>5</v>
      </c>
      <c r="R25" s="36">
        <v>5</v>
      </c>
      <c r="S25" s="36">
        <v>5</v>
      </c>
      <c r="T25" s="36">
        <f t="shared" ref="T25:AC25" si="35">T34</f>
        <v>0</v>
      </c>
      <c r="U25" s="36">
        <f t="shared" si="35"/>
        <v>0</v>
      </c>
      <c r="V25" s="36">
        <f t="shared" si="35"/>
        <v>0</v>
      </c>
      <c r="W25" s="401">
        <f t="shared" si="35"/>
        <v>0</v>
      </c>
      <c r="X25" s="36">
        <f t="shared" si="35"/>
        <v>0</v>
      </c>
      <c r="Y25" s="334">
        <f t="shared" si="35"/>
        <v>0</v>
      </c>
      <c r="Z25" s="334">
        <f t="shared" si="35"/>
        <v>0</v>
      </c>
      <c r="AA25" s="334">
        <f t="shared" si="35"/>
        <v>0</v>
      </c>
      <c r="AB25" s="334">
        <f t="shared" si="35"/>
        <v>0</v>
      </c>
      <c r="AC25" s="334">
        <f t="shared" si="35"/>
        <v>0</v>
      </c>
      <c r="AD25" s="334">
        <f t="shared" ref="AD25:AE25" si="36">AD34</f>
        <v>0</v>
      </c>
      <c r="AE25" s="334">
        <f t="shared" si="36"/>
        <v>0</v>
      </c>
      <c r="AF25" s="334">
        <f t="shared" ref="AF25:AG25" si="37">AF34</f>
        <v>0</v>
      </c>
      <c r="AG25" s="334">
        <f t="shared" si="37"/>
        <v>0</v>
      </c>
    </row>
    <row r="26" spans="2:34" x14ac:dyDescent="0.35">
      <c r="B26" s="524" t="s">
        <v>1377</v>
      </c>
      <c r="C26" s="35"/>
      <c r="D26" s="359"/>
      <c r="E26" s="35"/>
      <c r="F26" s="36"/>
      <c r="G26" s="36"/>
      <c r="H26" s="230"/>
      <c r="I26" s="230"/>
      <c r="J26" s="230"/>
      <c r="K26" s="230"/>
      <c r="L26" s="230"/>
      <c r="M26" s="230"/>
      <c r="N26" s="36"/>
      <c r="O26" s="36"/>
      <c r="P26" s="36"/>
      <c r="Q26" s="36"/>
      <c r="R26" s="36"/>
      <c r="S26" s="503">
        <f>'IRA and CHIPS'!E198</f>
        <v>0</v>
      </c>
      <c r="T26" s="503">
        <f>'IRA and CHIPS'!F198</f>
        <v>2.3250000000000002</v>
      </c>
      <c r="U26" s="503">
        <f>'IRA and CHIPS'!G198</f>
        <v>2.3250000000000002</v>
      </c>
      <c r="V26" s="503">
        <f>'IRA and CHIPS'!H198</f>
        <v>2.3250000000000002</v>
      </c>
      <c r="W26" s="499">
        <f>'IRA and CHIPS'!I198</f>
        <v>2.3250000000000002</v>
      </c>
      <c r="X26" s="503">
        <f>'IRA and CHIPS'!J198</f>
        <v>5.5830000000000002</v>
      </c>
      <c r="Y26" s="515">
        <f>'IRA and CHIPS'!K198</f>
        <v>5.5830000000000002</v>
      </c>
      <c r="Z26" s="515">
        <f>'IRA and CHIPS'!L198</f>
        <v>5.5830000000000002</v>
      </c>
      <c r="AA26" s="515">
        <f>'IRA and CHIPS'!M198</f>
        <v>5.5830000000000002</v>
      </c>
      <c r="AB26" s="515">
        <f>'IRA and CHIPS'!N198</f>
        <v>8.0220000000000002</v>
      </c>
      <c r="AC26" s="515">
        <f>'IRA and CHIPS'!O198</f>
        <v>8.0220000000000002</v>
      </c>
      <c r="AD26" s="515">
        <f>'IRA and CHIPS'!P198</f>
        <v>0</v>
      </c>
      <c r="AE26" s="515">
        <f>'IRA and CHIPS'!Q198</f>
        <v>0</v>
      </c>
      <c r="AF26" s="515">
        <f>'IRA and CHIPS'!R198</f>
        <v>0</v>
      </c>
      <c r="AG26" s="515">
        <f>'IRA and CHIPS'!S198</f>
        <v>0</v>
      </c>
    </row>
    <row r="27" spans="2:34" x14ac:dyDescent="0.35">
      <c r="B27" s="524" t="s">
        <v>1185</v>
      </c>
      <c r="C27" s="389"/>
      <c r="D27" s="387"/>
      <c r="E27" s="389"/>
      <c r="F27" s="394"/>
      <c r="G27" s="394"/>
      <c r="H27" s="525"/>
      <c r="I27" s="525"/>
      <c r="J27" s="525"/>
      <c r="K27" s="525"/>
      <c r="L27" s="525"/>
      <c r="M27" s="525"/>
      <c r="N27" s="394"/>
      <c r="O27" s="394"/>
      <c r="P27" s="394"/>
      <c r="Q27" s="394"/>
      <c r="R27" s="394"/>
      <c r="S27" s="504">
        <f>'IRA and CHIPS'!E187</f>
        <v>0</v>
      </c>
      <c r="T27" s="504">
        <f>'IRA and CHIPS'!F187</f>
        <v>1.2969999999999999</v>
      </c>
      <c r="U27" s="504">
        <f>'IRA and CHIPS'!G187</f>
        <v>1.2969999999999999</v>
      </c>
      <c r="V27" s="504">
        <f>'IRA and CHIPS'!H187</f>
        <v>1.2969999999999999</v>
      </c>
      <c r="W27" s="500">
        <f>'IRA and CHIPS'!I187</f>
        <v>1.2969999999999999</v>
      </c>
      <c r="X27" s="504">
        <f>'IRA and CHIPS'!J187</f>
        <v>3.8479999999999999</v>
      </c>
      <c r="Y27" s="526">
        <f>'IRA and CHIPS'!K187</f>
        <v>3.8479999999999999</v>
      </c>
      <c r="Z27" s="526">
        <f>'IRA and CHIPS'!L187</f>
        <v>3.8479999999999999</v>
      </c>
      <c r="AA27" s="526">
        <f>'IRA and CHIPS'!M187</f>
        <v>3.8479999999999999</v>
      </c>
      <c r="AB27" s="526">
        <f>'IRA and CHIPS'!N187</f>
        <v>6.4420000000000002</v>
      </c>
      <c r="AC27" s="526">
        <f>'IRA and CHIPS'!O187</f>
        <v>6.4420000000000002</v>
      </c>
      <c r="AD27" s="526">
        <f>'IRA and CHIPS'!P187</f>
        <v>6.4420000000000002</v>
      </c>
      <c r="AE27" s="526">
        <f>'IRA and CHIPS'!Q187</f>
        <v>6.4420000000000002</v>
      </c>
      <c r="AF27" s="526">
        <f>'IRA and CHIPS'!R187</f>
        <v>9.532</v>
      </c>
      <c r="AG27" s="526">
        <f>'IRA and CHIPS'!S187</f>
        <v>9.532</v>
      </c>
    </row>
    <row r="28" spans="2:34" ht="15" customHeight="1" x14ac:dyDescent="0.35">
      <c r="B28" s="1346" t="s">
        <v>418</v>
      </c>
      <c r="C28" s="1347"/>
      <c r="D28" s="527"/>
      <c r="E28" s="496"/>
      <c r="F28" s="496"/>
      <c r="G28" s="496"/>
      <c r="H28" s="36"/>
      <c r="I28" s="36"/>
      <c r="J28" s="36"/>
      <c r="K28" s="36"/>
      <c r="L28" s="36"/>
      <c r="M28" s="36"/>
      <c r="N28" s="36"/>
      <c r="O28" s="36"/>
      <c r="P28" s="435"/>
      <c r="Q28" s="36"/>
      <c r="R28" s="36"/>
      <c r="S28" s="36"/>
      <c r="T28" s="36"/>
      <c r="U28" s="36"/>
      <c r="V28" s="502"/>
      <c r="W28" s="502"/>
      <c r="X28" s="502"/>
      <c r="Y28" s="507"/>
      <c r="Z28" s="507"/>
      <c r="AA28" s="507"/>
      <c r="AB28" s="507"/>
      <c r="AC28" s="507"/>
      <c r="AD28" s="508"/>
      <c r="AE28" s="516"/>
      <c r="AF28" s="516"/>
      <c r="AG28" s="508"/>
    </row>
    <row r="29" spans="2:34" x14ac:dyDescent="0.35">
      <c r="B29" s="424" t="s">
        <v>419</v>
      </c>
      <c r="C29" s="283"/>
      <c r="D29" s="481"/>
      <c r="E29" s="283"/>
      <c r="F29" s="230"/>
      <c r="G29" s="230"/>
      <c r="H29" s="36"/>
      <c r="I29" s="36"/>
      <c r="J29" s="36"/>
      <c r="K29" s="36"/>
      <c r="L29" s="36"/>
      <c r="M29" s="36"/>
      <c r="N29" s="36">
        <f>SUM(N30:N34)</f>
        <v>23</v>
      </c>
      <c r="O29" s="36">
        <f>SUM(O30:O34)</f>
        <v>162</v>
      </c>
      <c r="P29" s="36"/>
      <c r="Q29" s="36"/>
      <c r="R29" s="36"/>
      <c r="S29" s="36"/>
      <c r="T29" s="36"/>
      <c r="U29" s="36"/>
      <c r="V29" s="56"/>
      <c r="W29" s="56"/>
      <c r="X29" s="56"/>
      <c r="Y29" s="508"/>
      <c r="Z29" s="508"/>
      <c r="AA29" s="508"/>
      <c r="AB29" s="508"/>
      <c r="AC29" s="508"/>
      <c r="AD29" s="508"/>
      <c r="AE29" s="516"/>
      <c r="AF29" s="516"/>
      <c r="AG29" s="508"/>
    </row>
    <row r="30" spans="2:34" x14ac:dyDescent="0.35">
      <c r="B30" s="363" t="s">
        <v>420</v>
      </c>
      <c r="C30" s="283"/>
      <c r="D30" s="481"/>
      <c r="E30" s="283"/>
      <c r="F30" s="230"/>
      <c r="G30" s="230"/>
      <c r="H30" s="36"/>
      <c r="I30" s="36"/>
      <c r="J30" s="36"/>
      <c r="K30" s="36"/>
      <c r="L30" s="531"/>
      <c r="M30" s="36"/>
      <c r="N30" s="36">
        <f>(4*'Response and Relief Act Score'!$F$15-$M$18)/2</f>
        <v>11</v>
      </c>
      <c r="O30" s="36">
        <f>(4*'Response and Relief Act Score'!$F$15-$M$18)/2</f>
        <v>11</v>
      </c>
      <c r="P30" s="36"/>
      <c r="Q30" s="36"/>
      <c r="R30" s="36"/>
      <c r="S30" s="36"/>
      <c r="T30" s="36"/>
      <c r="U30" s="36"/>
      <c r="V30" s="56"/>
      <c r="W30" s="56"/>
      <c r="X30" s="56"/>
      <c r="Y30" s="508"/>
      <c r="Z30" s="508"/>
      <c r="AA30" s="508"/>
      <c r="AB30" s="508"/>
      <c r="AC30" s="508"/>
      <c r="AD30" s="508"/>
      <c r="AE30" s="516"/>
      <c r="AF30" s="516"/>
      <c r="AG30" s="508"/>
    </row>
    <row r="31" spans="2:34" x14ac:dyDescent="0.35">
      <c r="B31" s="363" t="s">
        <v>417</v>
      </c>
      <c r="C31" s="283"/>
      <c r="D31" s="481"/>
      <c r="E31" s="283"/>
      <c r="F31" s="230"/>
      <c r="G31" s="230"/>
      <c r="H31" s="36"/>
      <c r="I31" s="36"/>
      <c r="J31" s="36"/>
      <c r="K31" s="36"/>
      <c r="L31" s="531"/>
      <c r="M31" s="36"/>
      <c r="N31" s="36"/>
      <c r="O31" s="36"/>
      <c r="P31" s="36"/>
      <c r="Q31" s="36"/>
      <c r="R31" s="36"/>
      <c r="S31" s="36"/>
      <c r="T31" s="36"/>
      <c r="U31" s="36"/>
      <c r="V31" s="56"/>
      <c r="W31" s="56"/>
      <c r="X31" s="56"/>
      <c r="Y31" s="508"/>
      <c r="Z31" s="508"/>
      <c r="AA31" s="508"/>
      <c r="AB31" s="508"/>
      <c r="AC31" s="508"/>
      <c r="AD31" s="508"/>
      <c r="AE31" s="516"/>
      <c r="AF31" s="516"/>
      <c r="AG31" s="508"/>
    </row>
    <row r="32" spans="2:34" x14ac:dyDescent="0.35">
      <c r="B32" s="544" t="s">
        <v>414</v>
      </c>
      <c r="C32" s="283"/>
      <c r="D32" s="481"/>
      <c r="E32" s="283"/>
      <c r="F32" s="230"/>
      <c r="G32" s="230"/>
      <c r="H32" s="36"/>
      <c r="I32" s="36"/>
      <c r="J32" s="36"/>
      <c r="K32" s="36"/>
      <c r="L32" s="36"/>
      <c r="M32" s="36"/>
      <c r="N32" s="36"/>
      <c r="O32" s="36">
        <v>79</v>
      </c>
      <c r="P32" s="36"/>
      <c r="Q32" s="401"/>
      <c r="R32" s="401"/>
      <c r="S32" s="401"/>
      <c r="T32" s="401"/>
      <c r="U32" s="401"/>
      <c r="V32" s="56"/>
      <c r="W32" s="56"/>
      <c r="X32" s="56"/>
      <c r="Y32" s="508"/>
      <c r="Z32" s="508"/>
      <c r="AA32" s="508"/>
      <c r="AB32" s="508"/>
      <c r="AC32" s="508"/>
      <c r="AD32" s="508"/>
      <c r="AE32" s="516"/>
      <c r="AF32" s="516"/>
      <c r="AG32" s="508"/>
    </row>
    <row r="33" spans="1:78" x14ac:dyDescent="0.35">
      <c r="B33" s="545" t="s">
        <v>421</v>
      </c>
      <c r="C33" s="283"/>
      <c r="D33" s="481"/>
      <c r="E33" s="283"/>
      <c r="F33" s="230"/>
      <c r="G33" s="230"/>
      <c r="H33" s="36"/>
      <c r="I33" s="36"/>
      <c r="J33" s="36"/>
      <c r="K33" s="36"/>
      <c r="L33" s="36"/>
      <c r="M33" s="36"/>
      <c r="N33" s="36"/>
      <c r="O33" s="36">
        <f>'Response and Relief Act Score'!F13*4</f>
        <v>60</v>
      </c>
      <c r="P33" s="36"/>
      <c r="Q33" s="401"/>
      <c r="R33" s="401"/>
      <c r="S33" s="401"/>
      <c r="T33" s="401"/>
      <c r="U33" s="401"/>
      <c r="V33" s="56"/>
      <c r="W33" s="56"/>
      <c r="X33" s="56"/>
      <c r="Y33" s="508"/>
      <c r="Z33" s="508"/>
      <c r="AA33" s="508"/>
      <c r="AB33" s="508"/>
      <c r="AC33" s="508"/>
      <c r="AD33" s="508"/>
      <c r="AE33" s="516"/>
      <c r="AF33" s="516"/>
      <c r="AG33" s="508"/>
    </row>
    <row r="34" spans="1:78" ht="27.65" customHeight="1" x14ac:dyDescent="0.35">
      <c r="B34" s="545" t="s">
        <v>422</v>
      </c>
      <c r="C34" s="283"/>
      <c r="D34" s="529"/>
      <c r="E34" s="530"/>
      <c r="F34" s="525"/>
      <c r="G34" s="525"/>
      <c r="H34" s="394"/>
      <c r="I34" s="394"/>
      <c r="J34" s="394"/>
      <c r="K34" s="394"/>
      <c r="L34" s="535"/>
      <c r="M34" s="394"/>
      <c r="N34" s="394">
        <f>'Response and Relief Act Score'!F14*4/2</f>
        <v>12</v>
      </c>
      <c r="O34" s="394">
        <f>'Response and Relief Act Score'!F14*4/2</f>
        <v>12</v>
      </c>
      <c r="P34" s="394"/>
      <c r="Q34" s="394"/>
      <c r="R34" s="394"/>
      <c r="S34" s="394"/>
      <c r="T34" s="394"/>
      <c r="U34" s="36"/>
      <c r="V34" s="56"/>
      <c r="W34" s="56"/>
      <c r="X34" s="56"/>
      <c r="Y34" s="508"/>
      <c r="Z34" s="508"/>
      <c r="AA34" s="508"/>
      <c r="AB34" s="508"/>
      <c r="AC34" s="508"/>
      <c r="AD34" s="508"/>
      <c r="AE34" s="516"/>
      <c r="AF34" s="516"/>
      <c r="AG34" s="508"/>
    </row>
    <row r="35" spans="1:78" ht="15" customHeight="1" x14ac:dyDescent="0.35">
      <c r="B35" s="1344" t="s">
        <v>423</v>
      </c>
      <c r="C35" s="1345"/>
      <c r="D35" s="481"/>
      <c r="E35" s="283"/>
      <c r="F35" s="230"/>
      <c r="G35" s="230"/>
      <c r="H35" s="36"/>
      <c r="I35" s="36"/>
      <c r="J35" s="36"/>
      <c r="K35" s="36"/>
      <c r="L35" s="531"/>
      <c r="M35" s="36"/>
      <c r="N35" s="36"/>
      <c r="O35" s="36"/>
      <c r="P35" s="36"/>
      <c r="Q35" s="36"/>
      <c r="R35" s="36"/>
      <c r="S35" s="36"/>
      <c r="T35" s="414"/>
      <c r="U35" s="510"/>
      <c r="V35" s="502"/>
      <c r="W35" s="502"/>
      <c r="X35" s="502"/>
      <c r="Y35" s="507"/>
      <c r="Z35" s="507"/>
      <c r="AA35" s="507"/>
      <c r="AB35" s="507"/>
      <c r="AC35" s="507"/>
      <c r="AD35" s="508"/>
      <c r="AE35" s="516"/>
      <c r="AF35" s="516"/>
      <c r="AG35" s="508"/>
    </row>
    <row r="36" spans="1:78" ht="13.5" customHeight="1" x14ac:dyDescent="0.35">
      <c r="B36" s="545" t="s">
        <v>143</v>
      </c>
      <c r="C36" s="283"/>
      <c r="D36" s="481"/>
      <c r="E36" s="283"/>
      <c r="F36" s="230"/>
      <c r="G36" s="230"/>
      <c r="H36" s="36"/>
      <c r="I36" s="36"/>
      <c r="J36" s="36"/>
      <c r="K36" s="36"/>
      <c r="L36" s="531"/>
      <c r="M36" s="36">
        <f>'ARP Quarterly'!C18</f>
        <v>0</v>
      </c>
      <c r="N36" s="36">
        <f>'ARP Quarterly'!D18</f>
        <v>2.2132800000000001</v>
      </c>
      <c r="O36" s="36">
        <f>'ARP Quarterly'!E18</f>
        <v>10.082720000000002</v>
      </c>
      <c r="P36" s="36">
        <f>'ARP Quarterly'!F18</f>
        <v>7.1439999999999992</v>
      </c>
      <c r="Q36" s="36">
        <f>'ARP Quarterly'!G18</f>
        <v>7.1439999999999992</v>
      </c>
      <c r="R36" s="36">
        <f>'ARP Quarterly'!H18</f>
        <v>7.1439999999999992</v>
      </c>
      <c r="S36" s="36">
        <f>'ARP Quarterly'!I18</f>
        <v>7.1439999999999992</v>
      </c>
      <c r="T36" s="36">
        <f>'ARP Quarterly'!J18</f>
        <v>0</v>
      </c>
      <c r="U36" s="36">
        <f>'ARP Quarterly'!K18</f>
        <v>0</v>
      </c>
      <c r="V36" s="36">
        <f>'ARP Quarterly'!L18</f>
        <v>0</v>
      </c>
      <c r="W36" s="36">
        <f>'ARP Quarterly'!M18</f>
        <v>0</v>
      </c>
      <c r="X36" s="36">
        <f>'ARP Quarterly'!N18</f>
        <v>0</v>
      </c>
      <c r="Y36" s="334">
        <f>'ARP Quarterly'!O18</f>
        <v>0</v>
      </c>
      <c r="Z36" s="334">
        <f>'ARP Quarterly'!P18</f>
        <v>0</v>
      </c>
      <c r="AA36" s="334">
        <f>'ARP Quarterly'!Q18</f>
        <v>0</v>
      </c>
      <c r="AB36" s="334">
        <f>'ARP Quarterly'!R18</f>
        <v>0</v>
      </c>
      <c r="AC36" s="334">
        <f>'ARP Quarterly'!S18</f>
        <v>0</v>
      </c>
      <c r="AD36" s="508"/>
      <c r="AE36" s="516"/>
      <c r="AF36" s="516"/>
      <c r="AG36" s="508"/>
    </row>
    <row r="37" spans="1:78" x14ac:dyDescent="0.35">
      <c r="B37" s="545" t="s">
        <v>424</v>
      </c>
      <c r="C37" s="283"/>
      <c r="D37" s="481"/>
      <c r="E37" s="283"/>
      <c r="F37" s="230"/>
      <c r="G37" s="230"/>
      <c r="H37" s="36"/>
      <c r="I37" s="36"/>
      <c r="J37" s="36"/>
      <c r="K37" s="36"/>
      <c r="L37" s="531"/>
      <c r="M37" s="36">
        <f>'ARP Quarterly'!C19</f>
        <v>0</v>
      </c>
      <c r="N37" s="36">
        <f>'ARP Quarterly'!D19</f>
        <v>15.128640000000001</v>
      </c>
      <c r="O37" s="36">
        <f>'ARP Quarterly'!E19</f>
        <v>68.919360000000012</v>
      </c>
      <c r="P37" s="36">
        <f>'ARP Quarterly'!F19</f>
        <v>5.6120000000000001</v>
      </c>
      <c r="Q37" s="36">
        <f>'ARP Quarterly'!G19</f>
        <v>5.6120000000000001</v>
      </c>
      <c r="R37" s="36">
        <f>'ARP Quarterly'!H19</f>
        <v>5.6120000000000001</v>
      </c>
      <c r="S37" s="36">
        <f>'ARP Quarterly'!I19</f>
        <v>5.6120000000000001</v>
      </c>
      <c r="T37" s="36">
        <f>'ARP Quarterly'!J19</f>
        <v>0.48599999999999993</v>
      </c>
      <c r="U37" s="36">
        <f>'ARP Quarterly'!K19</f>
        <v>0.48599999999999993</v>
      </c>
      <c r="V37" s="36">
        <f>'ARP Quarterly'!L19</f>
        <v>0.48599999999999993</v>
      </c>
      <c r="W37" s="36">
        <f>'ARP Quarterly'!M19</f>
        <v>0.48599999999999993</v>
      </c>
      <c r="X37" s="36">
        <f>'ARP Quarterly'!N19</f>
        <v>0</v>
      </c>
      <c r="Y37" s="334">
        <f>'ARP Quarterly'!O19</f>
        <v>0</v>
      </c>
      <c r="Z37" s="334">
        <f>'ARP Quarterly'!P19</f>
        <v>0</v>
      </c>
      <c r="AA37" s="334">
        <f>'ARP Quarterly'!Q19</f>
        <v>0</v>
      </c>
      <c r="AB37" s="334">
        <f>'ARP Quarterly'!R19</f>
        <v>0</v>
      </c>
      <c r="AC37" s="334">
        <f>'ARP Quarterly'!S19</f>
        <v>0</v>
      </c>
      <c r="AD37" s="508"/>
      <c r="AE37" s="516"/>
      <c r="AF37" s="516"/>
      <c r="AG37" s="508"/>
    </row>
    <row r="38" spans="1:78" x14ac:dyDescent="0.35">
      <c r="B38" s="545" t="s">
        <v>148</v>
      </c>
      <c r="C38" s="283"/>
      <c r="D38" s="481"/>
      <c r="E38" s="283"/>
      <c r="F38" s="230"/>
      <c r="G38" s="230"/>
      <c r="H38" s="36"/>
      <c r="I38" s="36"/>
      <c r="J38" s="36"/>
      <c r="K38" s="36"/>
      <c r="L38" s="531"/>
      <c r="M38" s="36">
        <f>'ARP Quarterly'!C20</f>
        <v>0</v>
      </c>
      <c r="N38" s="36">
        <f>'ARP Quarterly'!D20</f>
        <v>3.2479199999999997</v>
      </c>
      <c r="O38" s="36">
        <f>'ARP Quarterly'!E20</f>
        <v>14.796080000000002</v>
      </c>
      <c r="P38" s="36">
        <f>'ARP Quarterly'!F20</f>
        <v>1.7329999999999999</v>
      </c>
      <c r="Q38" s="36">
        <f>'ARP Quarterly'!G20</f>
        <v>1.7329999999999999</v>
      </c>
      <c r="R38" s="36">
        <f>'ARP Quarterly'!H20</f>
        <v>1.7329999999999999</v>
      </c>
      <c r="S38" s="36">
        <f>'ARP Quarterly'!I20</f>
        <v>1.7329999999999999</v>
      </c>
      <c r="T38" s="36">
        <f>'ARP Quarterly'!J20</f>
        <v>0</v>
      </c>
      <c r="U38" s="36">
        <f>'ARP Quarterly'!K20</f>
        <v>0</v>
      </c>
      <c r="V38" s="36">
        <f>'ARP Quarterly'!L20</f>
        <v>0</v>
      </c>
      <c r="W38" s="36">
        <f>'ARP Quarterly'!M20</f>
        <v>0</v>
      </c>
      <c r="X38" s="36">
        <f>'ARP Quarterly'!N20</f>
        <v>0</v>
      </c>
      <c r="Y38" s="334">
        <f>'ARP Quarterly'!O20</f>
        <v>0</v>
      </c>
      <c r="Z38" s="334">
        <f>'ARP Quarterly'!P20</f>
        <v>0</v>
      </c>
      <c r="AA38" s="334">
        <f>'ARP Quarterly'!Q20</f>
        <v>0</v>
      </c>
      <c r="AB38" s="334">
        <f>'ARP Quarterly'!R20</f>
        <v>0</v>
      </c>
      <c r="AC38" s="334">
        <f>'ARP Quarterly'!S20</f>
        <v>0</v>
      </c>
      <c r="AD38" s="508"/>
      <c r="AE38" s="516"/>
      <c r="AF38" s="516"/>
      <c r="AG38" s="508"/>
    </row>
    <row r="39" spans="1:78" x14ac:dyDescent="0.35">
      <c r="B39" s="545" t="s">
        <v>414</v>
      </c>
      <c r="C39" s="283"/>
      <c r="D39" s="481"/>
      <c r="E39" s="283"/>
      <c r="F39" s="230"/>
      <c r="G39" s="230"/>
      <c r="H39" s="36"/>
      <c r="I39" s="36"/>
      <c r="J39" s="36"/>
      <c r="K39" s="36"/>
      <c r="L39" s="531"/>
      <c r="M39" s="36">
        <f>'ARP Quarterly'!C21</f>
        <v>0</v>
      </c>
      <c r="N39" s="36">
        <f>'ARP Quarterly'!D21</f>
        <v>13.2921</v>
      </c>
      <c r="O39" s="36">
        <f>'ARP Quarterly'!E21</f>
        <v>60.552900000000008</v>
      </c>
      <c r="P39" s="36">
        <f>'ARP Quarterly'!F21</f>
        <v>1.0687500000000001</v>
      </c>
      <c r="Q39" s="36">
        <f>'ARP Quarterly'!G21</f>
        <v>1.0687500000000001</v>
      </c>
      <c r="R39" s="36">
        <f>'ARP Quarterly'!H21</f>
        <v>1.0687500000000001</v>
      </c>
      <c r="S39" s="36">
        <f>'ARP Quarterly'!I21</f>
        <v>1.0687500000000001</v>
      </c>
      <c r="T39" s="36">
        <f>'ARP Quarterly'!J21</f>
        <v>0.78750000000000009</v>
      </c>
      <c r="U39" s="36">
        <f>'ARP Quarterly'!K21</f>
        <v>0.78750000000000009</v>
      </c>
      <c r="V39" s="36">
        <f>'ARP Quarterly'!L21</f>
        <v>0.78750000000000009</v>
      </c>
      <c r="W39" s="36">
        <f>'ARP Quarterly'!M21</f>
        <v>0.78750000000000009</v>
      </c>
      <c r="X39" s="36">
        <f>'ARP Quarterly'!N21</f>
        <v>0</v>
      </c>
      <c r="Y39" s="334">
        <f>'ARP Quarterly'!O21</f>
        <v>0</v>
      </c>
      <c r="Z39" s="334">
        <f>'ARP Quarterly'!P21</f>
        <v>0</v>
      </c>
      <c r="AA39" s="334">
        <f>'ARP Quarterly'!Q21</f>
        <v>0</v>
      </c>
      <c r="AB39" s="334">
        <f>'ARP Quarterly'!R21</f>
        <v>0</v>
      </c>
      <c r="AC39" s="334">
        <f>'ARP Quarterly'!S21</f>
        <v>0</v>
      </c>
      <c r="AD39" s="508"/>
      <c r="AE39" s="516"/>
      <c r="AF39" s="516"/>
      <c r="AG39" s="508"/>
    </row>
    <row r="40" spans="1:78" ht="30" customHeight="1" x14ac:dyDescent="0.35">
      <c r="B40" s="545" t="s">
        <v>425</v>
      </c>
      <c r="C40" s="283"/>
      <c r="D40" s="481"/>
      <c r="E40" s="283"/>
      <c r="F40" s="230"/>
      <c r="G40" s="230"/>
      <c r="H40" s="36"/>
      <c r="I40" s="36"/>
      <c r="J40" s="36"/>
      <c r="K40" s="36"/>
      <c r="L40" s="531"/>
      <c r="M40" s="36">
        <f>'ARP Quarterly'!C22</f>
        <v>0</v>
      </c>
      <c r="N40" s="36">
        <f>'ARP Quarterly'!D22</f>
        <v>22.153499999999998</v>
      </c>
      <c r="O40" s="36">
        <f>'ARP Quarterly'!E22</f>
        <v>100.92150000000002</v>
      </c>
      <c r="P40" s="36">
        <f>'ARP Quarterly'!F22</f>
        <v>1.7812500000000002</v>
      </c>
      <c r="Q40" s="36">
        <f>'ARP Quarterly'!G22</f>
        <v>1.7812500000000002</v>
      </c>
      <c r="R40" s="36">
        <f>'ARP Quarterly'!H22</f>
        <v>1.7812500000000002</v>
      </c>
      <c r="S40" s="36">
        <f>'ARP Quarterly'!I22</f>
        <v>1.7812500000000002</v>
      </c>
      <c r="T40" s="36">
        <f>'ARP Quarterly'!J22</f>
        <v>1.3125000000000002</v>
      </c>
      <c r="U40" s="36">
        <f>'ARP Quarterly'!K22</f>
        <v>1.3125000000000002</v>
      </c>
      <c r="V40" s="36">
        <f>'ARP Quarterly'!L22</f>
        <v>1.3125000000000002</v>
      </c>
      <c r="W40" s="36">
        <f>'ARP Quarterly'!M22</f>
        <v>1.3125000000000002</v>
      </c>
      <c r="X40" s="36">
        <f>'ARP Quarterly'!N22</f>
        <v>0</v>
      </c>
      <c r="Y40" s="334">
        <f>'ARP Quarterly'!O22</f>
        <v>0</v>
      </c>
      <c r="Z40" s="334">
        <f>'ARP Quarterly'!P22</f>
        <v>0</v>
      </c>
      <c r="AA40" s="334">
        <f>'ARP Quarterly'!Q22</f>
        <v>0</v>
      </c>
      <c r="AB40" s="334">
        <f>'ARP Quarterly'!R22</f>
        <v>0</v>
      </c>
      <c r="AC40" s="334">
        <f>'ARP Quarterly'!S22</f>
        <v>0</v>
      </c>
      <c r="AD40" s="508"/>
      <c r="AE40" s="516"/>
      <c r="AF40" s="516"/>
      <c r="AG40" s="508"/>
    </row>
    <row r="41" spans="1:78" x14ac:dyDescent="0.35">
      <c r="B41" s="545" t="s">
        <v>426</v>
      </c>
      <c r="C41" s="283"/>
      <c r="D41" s="481"/>
      <c r="E41" s="283"/>
      <c r="F41" s="230"/>
      <c r="G41" s="230"/>
      <c r="H41" s="36"/>
      <c r="I41" s="36"/>
      <c r="J41" s="36"/>
      <c r="K41" s="36"/>
      <c r="L41" s="531"/>
      <c r="M41" s="36">
        <f>'ARP Quarterly'!C23</f>
        <v>0</v>
      </c>
      <c r="N41" s="36">
        <f>'ARP Quarterly'!D23</f>
        <v>2.9519999999999995</v>
      </c>
      <c r="O41" s="36">
        <f>'ARP Quarterly'!E23</f>
        <v>13.448</v>
      </c>
      <c r="P41" s="36">
        <f>'ARP Quarterly'!F23</f>
        <v>11.3</v>
      </c>
      <c r="Q41" s="36">
        <f>'ARP Quarterly'!G23</f>
        <v>11.3</v>
      </c>
      <c r="R41" s="36">
        <f>'ARP Quarterly'!H23</f>
        <v>11.3</v>
      </c>
      <c r="S41" s="36">
        <f>'ARP Quarterly'!I23</f>
        <v>11.3</v>
      </c>
      <c r="T41" s="36">
        <f>'ARP Quarterly'!J23</f>
        <v>8.4</v>
      </c>
      <c r="U41" s="36">
        <f>'ARP Quarterly'!K23</f>
        <v>8.4</v>
      </c>
      <c r="V41" s="36">
        <f>'ARP Quarterly'!L23</f>
        <v>8.4</v>
      </c>
      <c r="W41" s="36">
        <f>'ARP Quarterly'!M23</f>
        <v>8.4</v>
      </c>
      <c r="X41" s="36">
        <f>'ARP Quarterly'!N23</f>
        <v>0.2</v>
      </c>
      <c r="Y41" s="334">
        <f>'ARP Quarterly'!O23</f>
        <v>0.2</v>
      </c>
      <c r="Z41" s="334">
        <f>'ARP Quarterly'!P23</f>
        <v>0.2</v>
      </c>
      <c r="AA41" s="334">
        <f>'ARP Quarterly'!Q23</f>
        <v>0.2</v>
      </c>
      <c r="AB41" s="334">
        <f>'ARP Quarterly'!R23</f>
        <v>0</v>
      </c>
      <c r="AC41" s="334">
        <f>'ARP Quarterly'!S23</f>
        <v>0</v>
      </c>
      <c r="AD41" s="508"/>
      <c r="AE41" s="516"/>
      <c r="AF41" s="516"/>
      <c r="AG41" s="508"/>
    </row>
    <row r="42" spans="1:78" x14ac:dyDescent="0.35">
      <c r="B42" s="545" t="s">
        <v>427</v>
      </c>
      <c r="C42" s="283"/>
      <c r="D42" s="481"/>
      <c r="E42" s="283"/>
      <c r="F42" s="230"/>
      <c r="G42" s="230"/>
      <c r="H42" s="36"/>
      <c r="I42" s="36"/>
      <c r="J42" s="36"/>
      <c r="K42" s="36"/>
      <c r="L42" s="531"/>
      <c r="M42" s="36">
        <f>'ARP Quarterly'!C24</f>
        <v>0</v>
      </c>
      <c r="N42" s="36">
        <f>'ARP Quarterly'!D24</f>
        <v>-0.20447999999999997</v>
      </c>
      <c r="O42" s="36">
        <f>'ARP Quarterly'!E24</f>
        <v>-0.93152000000000001</v>
      </c>
      <c r="P42" s="36">
        <v>0</v>
      </c>
      <c r="Q42" s="36">
        <v>0</v>
      </c>
      <c r="R42" s="36">
        <v>0</v>
      </c>
      <c r="S42" s="36">
        <v>0</v>
      </c>
      <c r="T42" s="36">
        <v>0</v>
      </c>
      <c r="U42" s="36">
        <v>0</v>
      </c>
      <c r="V42" s="36">
        <v>0</v>
      </c>
      <c r="W42" s="36">
        <v>0</v>
      </c>
      <c r="X42" s="36">
        <v>0</v>
      </c>
      <c r="Y42" s="334">
        <v>0</v>
      </c>
      <c r="Z42" s="334">
        <v>0</v>
      </c>
      <c r="AA42" s="334">
        <v>0</v>
      </c>
      <c r="AB42" s="334">
        <v>0</v>
      </c>
      <c r="AC42" s="334">
        <v>0</v>
      </c>
      <c r="AD42" s="508"/>
      <c r="AE42" s="516"/>
      <c r="AF42" s="516"/>
      <c r="AG42" s="508"/>
    </row>
    <row r="43" spans="1:78" x14ac:dyDescent="0.35">
      <c r="B43" s="545" t="s">
        <v>312</v>
      </c>
      <c r="C43" s="283"/>
      <c r="D43" s="529"/>
      <c r="E43" s="530"/>
      <c r="F43" s="525"/>
      <c r="G43" s="525"/>
      <c r="H43" s="394"/>
      <c r="I43" s="394"/>
      <c r="J43" s="394"/>
      <c r="K43" s="394"/>
      <c r="L43" s="535"/>
      <c r="M43" s="394">
        <f>'ARP Quarterly'!C25</f>
        <v>0</v>
      </c>
      <c r="N43" s="394">
        <f>'ARP Quarterly'!D25</f>
        <v>58.782959999999996</v>
      </c>
      <c r="O43" s="394">
        <f>'ARP Quarterly'!E25</f>
        <v>267.78904000000006</v>
      </c>
      <c r="P43" s="394">
        <f>'ARP Quarterly'!F25</f>
        <v>110.24799999999999</v>
      </c>
      <c r="Q43" s="394">
        <f>'ARP Quarterly'!G25</f>
        <v>110.24799999999999</v>
      </c>
      <c r="R43" s="394">
        <f>'ARP Quarterly'!H25</f>
        <v>110.24799999999999</v>
      </c>
      <c r="S43" s="394">
        <f>'ARP Quarterly'!I25</f>
        <v>110.24799999999999</v>
      </c>
      <c r="T43" s="394">
        <f>'ARP Quarterly'!J25</f>
        <v>12.362</v>
      </c>
      <c r="U43" s="36">
        <f>'ARP Quarterly'!K25</f>
        <v>12.362</v>
      </c>
      <c r="V43" s="36">
        <f>'ARP Quarterly'!L25</f>
        <v>12.362</v>
      </c>
      <c r="W43" s="36">
        <f>'ARP Quarterly'!M25</f>
        <v>12.362</v>
      </c>
      <c r="X43" s="36">
        <f>'ARP Quarterly'!N25</f>
        <v>-0.67500000000000004</v>
      </c>
      <c r="Y43" s="334">
        <f>'ARP Quarterly'!O25</f>
        <v>-0.67500000000000004</v>
      </c>
      <c r="Z43" s="334">
        <f>'ARP Quarterly'!P25</f>
        <v>-0.67500000000000004</v>
      </c>
      <c r="AA43" s="334">
        <f>'ARP Quarterly'!Q25</f>
        <v>-0.67500000000000004</v>
      </c>
      <c r="AB43" s="334">
        <f>'ARP Quarterly'!R25</f>
        <v>0</v>
      </c>
      <c r="AC43" s="334">
        <f>'ARP Quarterly'!S25</f>
        <v>0</v>
      </c>
      <c r="AD43" s="508"/>
      <c r="AE43" s="516"/>
      <c r="AF43" s="516"/>
      <c r="AG43" s="508"/>
    </row>
    <row r="44" spans="1:78" ht="15" customHeight="1" x14ac:dyDescent="0.35">
      <c r="B44" s="1344" t="s">
        <v>428</v>
      </c>
      <c r="C44" s="1345"/>
      <c r="D44" s="528"/>
      <c r="E44" s="55"/>
      <c r="F44" s="230"/>
      <c r="G44" s="230"/>
      <c r="H44" s="36"/>
      <c r="I44" s="36"/>
      <c r="J44" s="36"/>
      <c r="K44" s="36"/>
      <c r="L44" s="531"/>
      <c r="M44" s="36"/>
      <c r="N44" s="36"/>
      <c r="O44" s="36"/>
      <c r="P44" s="36"/>
      <c r="Q44" s="36"/>
      <c r="R44" s="36"/>
      <c r="S44" s="36"/>
      <c r="T44" s="36"/>
      <c r="U44" s="510"/>
      <c r="V44" s="502"/>
      <c r="W44" s="502"/>
      <c r="X44" s="502"/>
      <c r="Y44" s="507"/>
      <c r="Z44" s="507"/>
      <c r="AA44" s="507"/>
      <c r="AB44" s="507"/>
      <c r="AC44" s="507"/>
      <c r="AD44" s="508"/>
      <c r="AE44" s="516"/>
      <c r="AF44" s="516"/>
      <c r="AG44" s="508"/>
    </row>
    <row r="45" spans="1:78" ht="21" customHeight="1" x14ac:dyDescent="0.35">
      <c r="B45" s="429" t="s">
        <v>429</v>
      </c>
      <c r="C45" s="532"/>
      <c r="D45" s="429"/>
      <c r="E45" s="532"/>
      <c r="F45" s="523"/>
      <c r="G45" s="523"/>
      <c r="H45" s="511"/>
      <c r="I45" s="511"/>
      <c r="J45" s="511"/>
      <c r="K45" s="511"/>
      <c r="L45" s="533"/>
      <c r="M45" s="511">
        <f>'ARP Quarterly'!C6</f>
        <v>0</v>
      </c>
      <c r="N45" s="511">
        <f>'ARP Quarterly'!D6</f>
        <v>58.782959999999989</v>
      </c>
      <c r="O45" s="511">
        <f>'ARP Quarterly'!E6</f>
        <v>267.78904</v>
      </c>
      <c r="P45" s="511">
        <f>'ARP Quarterly'!F6</f>
        <v>110.24799999999999</v>
      </c>
      <c r="Q45" s="511">
        <f>'ARP Quarterly'!G6</f>
        <v>110.24799999999999</v>
      </c>
      <c r="R45" s="511">
        <f>'ARP Quarterly'!H6</f>
        <v>110.24799999999999</v>
      </c>
      <c r="S45" s="511">
        <f>'ARP Quarterly'!I6</f>
        <v>110.24799999999999</v>
      </c>
      <c r="T45" s="511">
        <f>'ARP Quarterly'!J6</f>
        <v>12.726000000000001</v>
      </c>
      <c r="U45" s="511">
        <f>'ARP Quarterly'!K6</f>
        <v>12.726000000000001</v>
      </c>
      <c r="V45" s="511">
        <f>'ARP Quarterly'!L6</f>
        <v>12.726000000000001</v>
      </c>
      <c r="W45" s="511">
        <f>'ARP Quarterly'!M6</f>
        <v>12.726000000000001</v>
      </c>
      <c r="X45" s="511">
        <f>'ARP Quarterly'!N6</f>
        <v>1.365</v>
      </c>
      <c r="Y45" s="509">
        <f>'ARP Quarterly'!O6</f>
        <v>1.365</v>
      </c>
      <c r="Z45" s="509">
        <f>'ARP Quarterly'!P6</f>
        <v>1.365</v>
      </c>
      <c r="AA45" s="509">
        <f>'ARP Quarterly'!Q6</f>
        <v>1.365</v>
      </c>
      <c r="AB45" s="509">
        <f>'ARP Quarterly'!R6</f>
        <v>-0.90100000000000025</v>
      </c>
      <c r="AC45" s="509">
        <f>'ARP Quarterly'!S6</f>
        <v>-0.90100000000000025</v>
      </c>
      <c r="AD45" s="509">
        <f>'ARP Quarterly'!T6</f>
        <v>-0.90100000000000025</v>
      </c>
      <c r="AE45" s="509">
        <f>'ARP Quarterly'!U6</f>
        <v>-0.90100000000000025</v>
      </c>
      <c r="AF45" s="509">
        <f>'ARP Quarterly'!V6</f>
        <v>-2.1500000000000004</v>
      </c>
      <c r="AG45" s="505">
        <v>0</v>
      </c>
    </row>
    <row r="46" spans="1:78" ht="19.5" customHeight="1" x14ac:dyDescent="0.35">
      <c r="A46" s="501"/>
      <c r="B46" s="540" t="s">
        <v>199</v>
      </c>
      <c r="C46" s="541"/>
      <c r="D46" s="540"/>
      <c r="E46" s="541"/>
      <c r="F46" s="512">
        <f>F11-F45</f>
        <v>60.5</v>
      </c>
      <c r="G46" s="512">
        <f>G11-G45</f>
        <v>81.400000000000006</v>
      </c>
      <c r="H46" s="512">
        <f t="shared" ref="H46:AE46" si="38">H11-H45</f>
        <v>82.1</v>
      </c>
      <c r="I46" s="512">
        <f>I11-I45</f>
        <v>80</v>
      </c>
      <c r="J46" s="512">
        <f t="shared" si="38"/>
        <v>975.8</v>
      </c>
      <c r="K46" s="512">
        <f t="shared" si="38"/>
        <v>1108.4000000000001</v>
      </c>
      <c r="L46" s="512">
        <f>L11-L45</f>
        <v>460.7</v>
      </c>
      <c r="M46" s="512">
        <f>M11-M45</f>
        <v>385.5</v>
      </c>
      <c r="N46" s="512">
        <f t="shared" si="38"/>
        <v>633.91704000000004</v>
      </c>
      <c r="O46" s="512">
        <f>O11-O45</f>
        <v>279.31096000000002</v>
      </c>
      <c r="P46" s="512">
        <f>P11-P45</f>
        <v>182.952</v>
      </c>
      <c r="Q46" s="512">
        <f t="shared" si="38"/>
        <v>41.152000000000015</v>
      </c>
      <c r="R46" s="512">
        <f t="shared" si="38"/>
        <v>19.25200000000001</v>
      </c>
      <c r="S46" s="512">
        <f t="shared" si="38"/>
        <v>7.4520000000000124</v>
      </c>
      <c r="T46" s="512">
        <f t="shared" si="38"/>
        <v>95.873999999999995</v>
      </c>
      <c r="U46" s="512">
        <f t="shared" si="38"/>
        <v>87.974000000000004</v>
      </c>
      <c r="V46" s="512">
        <f>V11-V45</f>
        <v>86.474000000000004</v>
      </c>
      <c r="W46" s="512">
        <f t="shared" si="38"/>
        <v>89.674000000000007</v>
      </c>
      <c r="X46" s="512">
        <f>X11-X45</f>
        <v>97.935000000000002</v>
      </c>
      <c r="Y46" s="543">
        <f t="shared" si="38"/>
        <v>95.135000000000005</v>
      </c>
      <c r="Z46" s="543">
        <f t="shared" si="38"/>
        <v>95.135000000000005</v>
      </c>
      <c r="AA46" s="543">
        <f t="shared" si="38"/>
        <v>95.135000000000005</v>
      </c>
      <c r="AB46" s="543">
        <f t="shared" si="38"/>
        <v>102.23399999999999</v>
      </c>
      <c r="AC46" s="543">
        <f>AC11-AC45</f>
        <v>102.23399999999999</v>
      </c>
      <c r="AD46" s="543">
        <f t="shared" si="38"/>
        <v>95.212000000000003</v>
      </c>
      <c r="AE46" s="543">
        <f t="shared" si="38"/>
        <v>96.212000000000003</v>
      </c>
      <c r="AF46" s="543">
        <f>AF11-AF45</f>
        <v>101.551</v>
      </c>
      <c r="AG46" s="543">
        <f>AG11-AG45</f>
        <v>100.401</v>
      </c>
      <c r="AH46" s="501"/>
      <c r="AI46" s="501"/>
      <c r="AJ46" s="501"/>
      <c r="AK46" s="501"/>
      <c r="AL46" s="501"/>
      <c r="AM46" s="501"/>
      <c r="AN46" s="501"/>
      <c r="AO46" s="501"/>
      <c r="AP46" s="501"/>
      <c r="AQ46" s="501"/>
      <c r="AR46" s="501"/>
      <c r="AS46" s="501"/>
      <c r="AT46" s="501"/>
      <c r="AU46" s="501"/>
      <c r="AV46" s="501"/>
      <c r="AW46" s="501"/>
      <c r="AX46" s="501"/>
      <c r="AY46" s="501"/>
      <c r="AZ46" s="501"/>
      <c r="BA46" s="501"/>
      <c r="BB46" s="501"/>
      <c r="BC46" s="501"/>
      <c r="BD46" s="501"/>
      <c r="BE46" s="501"/>
      <c r="BF46" s="501"/>
      <c r="BG46" s="501"/>
      <c r="BH46" s="501"/>
      <c r="BI46" s="501"/>
      <c r="BJ46" s="501"/>
      <c r="BK46" s="501"/>
      <c r="BL46" s="501"/>
      <c r="BM46" s="501"/>
      <c r="BN46" s="501"/>
      <c r="BO46" s="501"/>
      <c r="BP46" s="501"/>
      <c r="BQ46" s="501"/>
      <c r="BR46" s="501"/>
      <c r="BS46" s="501"/>
      <c r="BT46" s="501"/>
      <c r="BU46" s="501"/>
      <c r="BV46" s="501"/>
      <c r="BW46" s="501"/>
      <c r="BX46" s="501"/>
      <c r="BY46" s="501"/>
      <c r="BZ46" s="501"/>
    </row>
    <row r="47" spans="1:78" ht="19.5" customHeight="1" x14ac:dyDescent="0.35">
      <c r="A47" s="501"/>
      <c r="B47" s="263"/>
      <c r="C47" s="263"/>
      <c r="D47" s="263"/>
      <c r="E47" s="263"/>
      <c r="F47" s="542"/>
      <c r="G47" s="542"/>
      <c r="H47" s="542"/>
      <c r="I47" s="542"/>
      <c r="J47" s="542"/>
      <c r="K47" s="542"/>
      <c r="L47" s="542"/>
      <c r="M47" s="542"/>
      <c r="N47" s="542"/>
      <c r="O47" s="542"/>
      <c r="P47" s="542"/>
      <c r="Q47" s="542"/>
      <c r="R47" s="542"/>
      <c r="S47" s="542"/>
      <c r="T47" s="542"/>
      <c r="U47" s="542"/>
      <c r="V47" s="542"/>
      <c r="W47" s="542"/>
      <c r="X47" s="542"/>
      <c r="Y47" s="542"/>
      <c r="Z47" s="542"/>
      <c r="AA47" s="542"/>
      <c r="AB47" s="542"/>
      <c r="AC47" s="542"/>
      <c r="AG47" s="501"/>
      <c r="AH47" s="501"/>
      <c r="AI47" s="501"/>
      <c r="AJ47" s="501"/>
      <c r="AK47" s="501"/>
      <c r="AL47" s="501"/>
      <c r="AM47" s="501"/>
      <c r="AN47" s="501"/>
      <c r="AO47" s="501"/>
      <c r="AP47" s="501"/>
      <c r="AQ47" s="501"/>
      <c r="AR47" s="501"/>
      <c r="AS47" s="501"/>
      <c r="AT47" s="501"/>
      <c r="AU47" s="501"/>
      <c r="AV47" s="501"/>
      <c r="AW47" s="501"/>
      <c r="AX47" s="501"/>
      <c r="AY47" s="501"/>
      <c r="AZ47" s="501"/>
      <c r="BA47" s="501"/>
      <c r="BB47" s="501"/>
      <c r="BC47" s="501"/>
      <c r="BD47" s="501"/>
      <c r="BE47" s="501"/>
      <c r="BF47" s="501"/>
      <c r="BG47" s="501"/>
      <c r="BH47" s="501"/>
      <c r="BI47" s="501"/>
      <c r="BJ47" s="501"/>
      <c r="BK47" s="501"/>
      <c r="BL47" s="501"/>
      <c r="BM47" s="501"/>
      <c r="BN47" s="501"/>
      <c r="BO47" s="501"/>
      <c r="BP47" s="501"/>
      <c r="BQ47" s="501"/>
      <c r="BR47" s="501"/>
      <c r="BS47" s="501"/>
      <c r="BT47" s="501"/>
      <c r="BU47" s="501"/>
      <c r="BV47" s="501"/>
      <c r="BW47" s="501"/>
      <c r="BX47" s="501"/>
      <c r="BY47" s="501"/>
      <c r="BZ47" s="501"/>
    </row>
    <row r="48" spans="1:78" ht="19.5" customHeight="1" x14ac:dyDescent="0.35">
      <c r="A48" s="501"/>
      <c r="B48" s="263" t="s">
        <v>864</v>
      </c>
      <c r="C48" s="263"/>
      <c r="D48" s="263"/>
      <c r="E48" s="263"/>
      <c r="F48" s="542"/>
      <c r="G48" s="542"/>
      <c r="H48" s="542"/>
      <c r="I48" s="542"/>
      <c r="J48" s="542"/>
      <c r="K48" s="542"/>
      <c r="L48" s="542"/>
      <c r="M48" s="542"/>
      <c r="N48" s="542"/>
      <c r="O48" s="542"/>
      <c r="P48" s="542"/>
      <c r="Q48" s="542"/>
      <c r="R48" s="542"/>
      <c r="S48" s="542"/>
      <c r="T48" s="542">
        <v>110.8</v>
      </c>
      <c r="U48" s="522">
        <v>96.021999999999991</v>
      </c>
      <c r="V48" s="229">
        <v>88.50800000000001</v>
      </c>
      <c r="W48" s="229">
        <v>88.50800000000001</v>
      </c>
      <c r="X48" s="229">
        <v>85.631</v>
      </c>
      <c r="Y48" s="229">
        <v>85.631</v>
      </c>
      <c r="Z48" s="229">
        <v>85.631</v>
      </c>
      <c r="AA48" s="229">
        <v>85.631</v>
      </c>
      <c r="AB48" s="229">
        <v>90.463999999999999</v>
      </c>
      <c r="AC48" s="229">
        <v>90.463999999999999</v>
      </c>
      <c r="AD48" s="521">
        <f>U11-U48</f>
        <v>4.6780000000000115</v>
      </c>
      <c r="AG48" s="501"/>
      <c r="AH48" s="501"/>
      <c r="AI48" s="501"/>
      <c r="AJ48" s="501"/>
      <c r="AK48" s="501"/>
      <c r="AL48" s="501"/>
      <c r="AM48" s="501"/>
      <c r="AN48" s="501"/>
      <c r="AO48" s="501"/>
      <c r="AP48" s="501"/>
      <c r="AQ48" s="501"/>
      <c r="AR48" s="501"/>
      <c r="AS48" s="501"/>
      <c r="AT48" s="501"/>
      <c r="AU48" s="501"/>
      <c r="AV48" s="501"/>
      <c r="AW48" s="501"/>
      <c r="AX48" s="501"/>
      <c r="AY48" s="501"/>
      <c r="AZ48" s="501"/>
      <c r="BA48" s="501"/>
      <c r="BB48" s="501"/>
      <c r="BC48" s="501"/>
      <c r="BD48" s="501"/>
      <c r="BE48" s="501"/>
      <c r="BF48" s="501"/>
      <c r="BG48" s="501"/>
      <c r="BH48" s="501"/>
      <c r="BI48" s="501"/>
      <c r="BJ48" s="501"/>
      <c r="BK48" s="501"/>
      <c r="BL48" s="501"/>
      <c r="BM48" s="501"/>
      <c r="BN48" s="501"/>
      <c r="BO48" s="501"/>
      <c r="BP48" s="501"/>
      <c r="BQ48" s="501"/>
      <c r="BR48" s="501"/>
      <c r="BS48" s="501"/>
      <c r="BT48" s="501"/>
      <c r="BU48" s="501"/>
      <c r="BV48" s="501"/>
      <c r="BW48" s="501"/>
      <c r="BX48" s="501"/>
      <c r="BY48" s="501"/>
      <c r="BZ48" s="501"/>
    </row>
    <row r="49" spans="2:30" x14ac:dyDescent="0.35">
      <c r="B49" s="517" t="s">
        <v>405</v>
      </c>
      <c r="C49" s="240"/>
      <c r="D49" s="240"/>
      <c r="E49" s="240"/>
      <c r="F49" s="240"/>
      <c r="G49" s="240"/>
      <c r="H49" s="240"/>
      <c r="I49" s="240"/>
      <c r="J49" s="240"/>
      <c r="K49" s="240"/>
      <c r="L49" s="240"/>
      <c r="M49" s="240"/>
      <c r="N49" s="240"/>
      <c r="O49" s="240"/>
      <c r="P49" s="486"/>
      <c r="Q49" s="486"/>
      <c r="R49" s="486"/>
      <c r="S49" s="486"/>
      <c r="T49" s="518">
        <v>78.977999999999994</v>
      </c>
      <c r="U49" s="519">
        <v>76</v>
      </c>
      <c r="V49" s="519">
        <v>76</v>
      </c>
      <c r="W49" s="519">
        <v>76</v>
      </c>
      <c r="X49" s="519">
        <v>76</v>
      </c>
      <c r="Y49" s="519">
        <v>76</v>
      </c>
      <c r="Z49" s="519">
        <v>76</v>
      </c>
      <c r="AA49" s="519">
        <v>76</v>
      </c>
      <c r="AB49" s="519">
        <v>76</v>
      </c>
      <c r="AC49" s="519">
        <v>76</v>
      </c>
      <c r="AD49" s="521">
        <f t="shared" ref="AD49:AD83" si="39">U12-U49</f>
        <v>12.192000000000007</v>
      </c>
    </row>
    <row r="50" spans="2:30" x14ac:dyDescent="0.35">
      <c r="B50" t="s">
        <v>406</v>
      </c>
      <c r="T50" s="201">
        <v>31.822000000000003</v>
      </c>
      <c r="U50" s="201">
        <v>20.021999999999998</v>
      </c>
      <c r="V50" s="201">
        <v>12.508000000000003</v>
      </c>
      <c r="W50" s="201">
        <v>12.508000000000003</v>
      </c>
      <c r="X50" s="201">
        <v>9.6310000000000002</v>
      </c>
      <c r="Y50" s="201">
        <v>9.6310000000000002</v>
      </c>
      <c r="Z50" s="201">
        <v>9.6310000000000002</v>
      </c>
      <c r="AA50" s="201">
        <v>9.6310000000000002</v>
      </c>
      <c r="AB50" s="201">
        <v>14.464</v>
      </c>
      <c r="AC50" s="201">
        <v>14.464</v>
      </c>
      <c r="AD50" s="521">
        <f t="shared" si="39"/>
        <v>-7.5139999999999958</v>
      </c>
    </row>
    <row r="51" spans="2:30" x14ac:dyDescent="0.35">
      <c r="B51" t="s">
        <v>50</v>
      </c>
      <c r="S51" s="56"/>
      <c r="T51" s="73">
        <v>0</v>
      </c>
      <c r="U51" s="201"/>
      <c r="V51" s="201"/>
      <c r="W51" s="201"/>
      <c r="X51" s="201"/>
      <c r="Y51" s="201"/>
      <c r="AD51" s="521">
        <f t="shared" si="39"/>
        <v>0</v>
      </c>
    </row>
    <row r="52" spans="2:30" x14ac:dyDescent="0.35">
      <c r="B52" t="s">
        <v>407</v>
      </c>
      <c r="T52" s="73">
        <v>28.200000000000003</v>
      </c>
      <c r="U52" s="73">
        <v>16.399999999999999</v>
      </c>
      <c r="V52" s="73">
        <v>8.886000000000001</v>
      </c>
      <c r="W52" s="73">
        <v>8.886000000000001</v>
      </c>
      <c r="X52" s="73">
        <v>0.2</v>
      </c>
      <c r="Y52" s="73">
        <v>0.2</v>
      </c>
      <c r="Z52" s="73">
        <v>0.2</v>
      </c>
      <c r="AA52" s="73">
        <v>0.2</v>
      </c>
      <c r="AB52" s="73">
        <v>0</v>
      </c>
      <c r="AC52" s="73">
        <v>0</v>
      </c>
      <c r="AD52" s="521">
        <f t="shared" si="39"/>
        <v>-7.5139999999999976</v>
      </c>
    </row>
    <row r="53" spans="2:30" x14ac:dyDescent="0.35">
      <c r="B53" t="s">
        <v>145</v>
      </c>
      <c r="T53" s="73">
        <v>0</v>
      </c>
      <c r="U53" s="201"/>
      <c r="V53" s="201"/>
      <c r="W53" s="201"/>
      <c r="X53" s="201"/>
      <c r="Y53" s="201"/>
      <c r="AD53" s="521">
        <f t="shared" si="39"/>
        <v>0</v>
      </c>
    </row>
    <row r="54" spans="2:30" x14ac:dyDescent="0.35">
      <c r="B54" t="s">
        <v>143</v>
      </c>
      <c r="T54" s="73">
        <v>0</v>
      </c>
      <c r="U54" s="201">
        <v>0</v>
      </c>
      <c r="V54" s="201">
        <v>0</v>
      </c>
      <c r="W54" s="201">
        <v>0</v>
      </c>
      <c r="X54" s="201">
        <v>0</v>
      </c>
      <c r="Y54" s="201">
        <v>0</v>
      </c>
      <c r="Z54" s="201">
        <v>0</v>
      </c>
      <c r="AA54" s="201">
        <v>0</v>
      </c>
      <c r="AB54" s="201">
        <v>0</v>
      </c>
      <c r="AC54" s="201">
        <v>0</v>
      </c>
      <c r="AD54" s="521">
        <f t="shared" si="39"/>
        <v>0</v>
      </c>
    </row>
    <row r="55" spans="2:30" x14ac:dyDescent="0.35">
      <c r="B55" t="s">
        <v>142</v>
      </c>
      <c r="T55" s="73">
        <v>0.4</v>
      </c>
      <c r="U55" s="201">
        <v>0</v>
      </c>
      <c r="V55" s="201">
        <v>0</v>
      </c>
      <c r="W55" s="201">
        <v>0</v>
      </c>
      <c r="X55" s="201">
        <v>0</v>
      </c>
      <c r="Y55" s="201">
        <v>0</v>
      </c>
      <c r="Z55" s="201">
        <v>0</v>
      </c>
      <c r="AA55" s="201">
        <v>0</v>
      </c>
      <c r="AB55" s="201">
        <v>0</v>
      </c>
      <c r="AC55" s="201">
        <v>0</v>
      </c>
      <c r="AD55" s="521">
        <f t="shared" si="39"/>
        <v>0</v>
      </c>
    </row>
    <row r="56" spans="2:30" x14ac:dyDescent="0.35">
      <c r="B56" t="s">
        <v>411</v>
      </c>
      <c r="T56" s="73">
        <v>3.6</v>
      </c>
      <c r="U56" s="201"/>
      <c r="V56" s="201"/>
      <c r="W56" s="201"/>
      <c r="X56" s="201"/>
      <c r="Y56" s="201"/>
      <c r="AD56" s="521">
        <f t="shared" si="39"/>
        <v>0</v>
      </c>
    </row>
    <row r="57" spans="2:30" x14ac:dyDescent="0.35">
      <c r="B57" t="s">
        <v>144</v>
      </c>
      <c r="T57" s="73">
        <v>15.8</v>
      </c>
      <c r="U57" s="201">
        <v>8</v>
      </c>
      <c r="V57" s="201">
        <v>0.48599999999999993</v>
      </c>
      <c r="W57" s="201">
        <v>0.48599999999999993</v>
      </c>
      <c r="X57" s="201">
        <v>0</v>
      </c>
      <c r="Y57" s="201">
        <v>0</v>
      </c>
      <c r="Z57" s="201">
        <v>0</v>
      </c>
      <c r="AA57" s="201">
        <v>0</v>
      </c>
      <c r="AB57" s="201">
        <v>0</v>
      </c>
      <c r="AC57" s="201">
        <v>0</v>
      </c>
      <c r="AD57" s="521">
        <f t="shared" si="39"/>
        <v>-7.5140000000000002</v>
      </c>
    </row>
    <row r="58" spans="2:30" x14ac:dyDescent="0.35">
      <c r="B58" t="s">
        <v>148</v>
      </c>
      <c r="T58" s="73">
        <v>0</v>
      </c>
      <c r="U58" s="201">
        <v>0</v>
      </c>
      <c r="V58" s="201">
        <v>0</v>
      </c>
      <c r="W58" s="201">
        <v>0</v>
      </c>
      <c r="X58" s="201">
        <v>0</v>
      </c>
      <c r="Y58" s="201">
        <v>0</v>
      </c>
      <c r="Z58" s="201">
        <v>0</v>
      </c>
      <c r="AA58" s="201">
        <v>0</v>
      </c>
      <c r="AB58" s="201">
        <v>0</v>
      </c>
      <c r="AC58" s="201">
        <v>0</v>
      </c>
      <c r="AD58" s="521">
        <f t="shared" si="39"/>
        <v>0</v>
      </c>
    </row>
    <row r="59" spans="2:30" x14ac:dyDescent="0.35">
      <c r="B59" t="s">
        <v>414</v>
      </c>
      <c r="T59" s="73">
        <v>0</v>
      </c>
      <c r="U59" s="201">
        <v>0</v>
      </c>
      <c r="V59" s="201">
        <v>0</v>
      </c>
      <c r="W59" s="201">
        <v>0</v>
      </c>
      <c r="X59" s="201">
        <v>0</v>
      </c>
      <c r="Y59" s="201">
        <v>0</v>
      </c>
      <c r="Z59" s="201">
        <v>0</v>
      </c>
      <c r="AA59" s="201">
        <v>0</v>
      </c>
      <c r="AB59" s="201">
        <v>0</v>
      </c>
      <c r="AC59" s="201">
        <v>0</v>
      </c>
      <c r="AD59" s="521">
        <f t="shared" si="39"/>
        <v>0</v>
      </c>
    </row>
    <row r="60" spans="2:30" x14ac:dyDescent="0.35">
      <c r="B60" t="s">
        <v>415</v>
      </c>
      <c r="T60" s="73">
        <v>0</v>
      </c>
      <c r="U60" s="201">
        <v>0</v>
      </c>
      <c r="V60" s="201">
        <v>0</v>
      </c>
      <c r="W60" s="201">
        <v>0</v>
      </c>
      <c r="X60" s="201">
        <v>0</v>
      </c>
      <c r="Y60" s="201">
        <v>0</v>
      </c>
      <c r="Z60" s="201">
        <v>0</v>
      </c>
      <c r="AA60" s="201">
        <v>0</v>
      </c>
      <c r="AB60" s="201">
        <v>0</v>
      </c>
      <c r="AC60" s="201">
        <v>0</v>
      </c>
      <c r="AD60" s="521">
        <f t="shared" si="39"/>
        <v>0</v>
      </c>
    </row>
    <row r="61" spans="2:30" x14ac:dyDescent="0.35">
      <c r="B61" t="s">
        <v>416</v>
      </c>
      <c r="T61" s="201">
        <v>8.4</v>
      </c>
      <c r="U61" s="201">
        <v>8.4</v>
      </c>
      <c r="V61" s="201">
        <v>8.4</v>
      </c>
      <c r="W61" s="201">
        <v>8.4</v>
      </c>
      <c r="X61" s="201">
        <v>0.2</v>
      </c>
      <c r="Y61" s="201">
        <v>0.2</v>
      </c>
      <c r="Z61" s="201">
        <v>0.2</v>
      </c>
      <c r="AA61" s="201">
        <v>0.2</v>
      </c>
      <c r="AB61" s="201">
        <v>0</v>
      </c>
      <c r="AC61" s="201">
        <v>0</v>
      </c>
      <c r="AD61" s="521">
        <f t="shared" si="39"/>
        <v>0</v>
      </c>
    </row>
    <row r="62" spans="2:30" x14ac:dyDescent="0.35">
      <c r="B62" t="s">
        <v>417</v>
      </c>
      <c r="T62" s="201">
        <v>0</v>
      </c>
      <c r="U62" s="201">
        <v>0</v>
      </c>
      <c r="V62" s="201">
        <v>0</v>
      </c>
      <c r="W62" s="201">
        <v>0</v>
      </c>
      <c r="X62" s="201">
        <v>0</v>
      </c>
      <c r="Y62" s="201">
        <v>0</v>
      </c>
      <c r="Z62" s="201">
        <v>0</v>
      </c>
      <c r="AA62" s="201">
        <v>0</v>
      </c>
      <c r="AB62" s="201">
        <v>0</v>
      </c>
      <c r="AC62" s="201">
        <v>0</v>
      </c>
      <c r="AD62" s="521">
        <f t="shared" si="39"/>
        <v>0</v>
      </c>
    </row>
    <row r="63" spans="2:30" x14ac:dyDescent="0.35">
      <c r="B63" t="s">
        <v>1377</v>
      </c>
      <c r="T63" s="201">
        <v>2.3250000000000002</v>
      </c>
      <c r="U63" s="201">
        <v>2.3250000000000002</v>
      </c>
      <c r="V63" s="201">
        <v>2.3250000000000002</v>
      </c>
      <c r="W63" s="201">
        <v>2.3250000000000002</v>
      </c>
      <c r="X63" s="201">
        <v>5.5830000000000002</v>
      </c>
      <c r="Y63" s="201">
        <v>5.5830000000000002</v>
      </c>
      <c r="Z63" s="201">
        <v>5.5830000000000002</v>
      </c>
      <c r="AA63" s="201">
        <v>5.5830000000000002</v>
      </c>
      <c r="AB63" s="201">
        <v>8.0220000000000002</v>
      </c>
      <c r="AC63" s="201">
        <v>8.0220000000000002</v>
      </c>
      <c r="AD63" s="521">
        <f t="shared" si="39"/>
        <v>0</v>
      </c>
    </row>
    <row r="64" spans="2:30" x14ac:dyDescent="0.35">
      <c r="B64" t="s">
        <v>1185</v>
      </c>
      <c r="T64" s="201">
        <v>1.2969999999999999</v>
      </c>
      <c r="U64" s="201">
        <v>1.2969999999999999</v>
      </c>
      <c r="V64" s="201">
        <v>1.2969999999999999</v>
      </c>
      <c r="W64" s="201">
        <v>1.2969999999999999</v>
      </c>
      <c r="X64" s="201">
        <v>3.8479999999999999</v>
      </c>
      <c r="Y64" s="201">
        <v>3.8479999999999999</v>
      </c>
      <c r="Z64" s="201">
        <v>3.8479999999999999</v>
      </c>
      <c r="AA64" s="201">
        <v>3.8479999999999999</v>
      </c>
      <c r="AB64" s="201">
        <v>6.4420000000000002</v>
      </c>
      <c r="AC64" s="201">
        <v>6.4420000000000002</v>
      </c>
      <c r="AD64" s="521">
        <f t="shared" si="39"/>
        <v>0</v>
      </c>
    </row>
    <row r="65" spans="2:30" x14ac:dyDescent="0.35">
      <c r="B65" t="s">
        <v>418</v>
      </c>
      <c r="T65" s="201"/>
      <c r="U65" s="201"/>
      <c r="AD65" s="521">
        <f t="shared" si="39"/>
        <v>0</v>
      </c>
    </row>
    <row r="66" spans="2:30" x14ac:dyDescent="0.35">
      <c r="B66" t="s">
        <v>419</v>
      </c>
      <c r="T66" s="201"/>
      <c r="U66" s="201"/>
      <c r="AD66" s="521">
        <f t="shared" si="39"/>
        <v>0</v>
      </c>
    </row>
    <row r="67" spans="2:30" x14ac:dyDescent="0.35">
      <c r="B67" t="s">
        <v>420</v>
      </c>
      <c r="T67" s="201"/>
      <c r="U67" s="201"/>
      <c r="AD67" s="521">
        <f t="shared" si="39"/>
        <v>0</v>
      </c>
    </row>
    <row r="68" spans="2:30" x14ac:dyDescent="0.35">
      <c r="B68" t="s">
        <v>417</v>
      </c>
      <c r="T68" s="201"/>
      <c r="U68" s="201"/>
      <c r="AD68" s="521">
        <f t="shared" si="39"/>
        <v>0</v>
      </c>
    </row>
    <row r="69" spans="2:30" x14ac:dyDescent="0.35">
      <c r="B69" t="s">
        <v>414</v>
      </c>
      <c r="T69" s="520"/>
      <c r="U69" s="520"/>
      <c r="AD69" s="521">
        <f t="shared" si="39"/>
        <v>0</v>
      </c>
    </row>
    <row r="70" spans="2:30" x14ac:dyDescent="0.35">
      <c r="B70" t="s">
        <v>421</v>
      </c>
      <c r="T70" s="520"/>
      <c r="U70" s="520"/>
      <c r="AD70" s="521">
        <f t="shared" si="39"/>
        <v>0</v>
      </c>
    </row>
    <row r="71" spans="2:30" x14ac:dyDescent="0.35">
      <c r="B71" t="s">
        <v>422</v>
      </c>
      <c r="T71" s="201"/>
      <c r="U71" s="201"/>
      <c r="AD71" s="521">
        <f t="shared" si="39"/>
        <v>0</v>
      </c>
    </row>
    <row r="72" spans="2:30" x14ac:dyDescent="0.35">
      <c r="B72" t="s">
        <v>423</v>
      </c>
      <c r="T72" s="201"/>
      <c r="U72" s="201"/>
      <c r="AD72" s="521">
        <f t="shared" si="39"/>
        <v>0</v>
      </c>
    </row>
    <row r="73" spans="2:30" x14ac:dyDescent="0.35">
      <c r="B73" t="s">
        <v>143</v>
      </c>
      <c r="T73" s="201">
        <v>0</v>
      </c>
      <c r="U73" s="201">
        <v>0</v>
      </c>
      <c r="V73" s="201">
        <v>0</v>
      </c>
      <c r="W73" s="201">
        <v>0</v>
      </c>
      <c r="X73" s="201">
        <v>0</v>
      </c>
      <c r="Y73" s="201">
        <v>0</v>
      </c>
      <c r="Z73" s="201">
        <v>0</v>
      </c>
      <c r="AA73" s="201">
        <v>0</v>
      </c>
      <c r="AB73" s="201">
        <v>0</v>
      </c>
      <c r="AC73" s="201">
        <v>0</v>
      </c>
      <c r="AD73" s="521">
        <f t="shared" si="39"/>
        <v>0</v>
      </c>
    </row>
    <row r="74" spans="2:30" x14ac:dyDescent="0.35">
      <c r="B74" t="s">
        <v>424</v>
      </c>
      <c r="T74" s="201">
        <v>0.48599999999999993</v>
      </c>
      <c r="U74" s="201">
        <v>0.48599999999999993</v>
      </c>
      <c r="V74" s="201">
        <v>0.48599999999999993</v>
      </c>
      <c r="W74" s="201">
        <v>0.48599999999999993</v>
      </c>
      <c r="X74" s="201">
        <v>0</v>
      </c>
      <c r="Y74" s="201">
        <v>0</v>
      </c>
      <c r="Z74" s="201">
        <v>0</v>
      </c>
      <c r="AA74" s="201">
        <v>0</v>
      </c>
      <c r="AB74" s="201">
        <v>0</v>
      </c>
      <c r="AC74" s="201">
        <v>0</v>
      </c>
      <c r="AD74" s="521">
        <f t="shared" si="39"/>
        <v>0</v>
      </c>
    </row>
    <row r="75" spans="2:30" x14ac:dyDescent="0.35">
      <c r="B75" t="s">
        <v>148</v>
      </c>
      <c r="T75" s="201">
        <v>0</v>
      </c>
      <c r="U75" s="201">
        <v>0</v>
      </c>
      <c r="V75" s="201">
        <v>0</v>
      </c>
      <c r="W75" s="201">
        <v>0</v>
      </c>
      <c r="X75" s="201">
        <v>0</v>
      </c>
      <c r="Y75" s="201">
        <v>0</v>
      </c>
      <c r="Z75" s="201">
        <v>0</v>
      </c>
      <c r="AA75" s="201">
        <v>0</v>
      </c>
      <c r="AB75" s="201">
        <v>0</v>
      </c>
      <c r="AC75" s="201">
        <v>0</v>
      </c>
      <c r="AD75" s="521">
        <f t="shared" si="39"/>
        <v>0</v>
      </c>
    </row>
    <row r="76" spans="2:30" x14ac:dyDescent="0.35">
      <c r="B76" t="s">
        <v>414</v>
      </c>
      <c r="T76" s="201">
        <v>0.78750000000000009</v>
      </c>
      <c r="U76" s="201">
        <v>0.78750000000000009</v>
      </c>
      <c r="V76" s="201">
        <v>0.78750000000000009</v>
      </c>
      <c r="W76" s="201">
        <v>0.78750000000000009</v>
      </c>
      <c r="X76" s="201">
        <v>0</v>
      </c>
      <c r="Y76" s="201">
        <v>0</v>
      </c>
      <c r="Z76" s="201">
        <v>0</v>
      </c>
      <c r="AA76" s="201">
        <v>0</v>
      </c>
      <c r="AB76" s="201">
        <v>0</v>
      </c>
      <c r="AC76" s="201">
        <v>0</v>
      </c>
      <c r="AD76" s="521">
        <f t="shared" si="39"/>
        <v>0</v>
      </c>
    </row>
    <row r="77" spans="2:30" x14ac:dyDescent="0.35">
      <c r="B77" t="s">
        <v>425</v>
      </c>
      <c r="T77" s="201">
        <v>1.3125000000000002</v>
      </c>
      <c r="U77" s="201">
        <v>1.3125000000000002</v>
      </c>
      <c r="V77" s="201">
        <v>1.3125000000000002</v>
      </c>
      <c r="W77" s="201">
        <v>1.3125000000000002</v>
      </c>
      <c r="X77" s="201">
        <v>0</v>
      </c>
      <c r="Y77" s="201">
        <v>0</v>
      </c>
      <c r="Z77" s="201">
        <v>0</v>
      </c>
      <c r="AA77" s="201">
        <v>0</v>
      </c>
      <c r="AB77" s="201">
        <v>0</v>
      </c>
      <c r="AC77" s="201">
        <v>0</v>
      </c>
      <c r="AD77" s="521">
        <f t="shared" si="39"/>
        <v>0</v>
      </c>
    </row>
    <row r="78" spans="2:30" x14ac:dyDescent="0.35">
      <c r="B78" t="s">
        <v>426</v>
      </c>
      <c r="T78" s="201">
        <v>8.4</v>
      </c>
      <c r="U78" s="201">
        <v>8.4</v>
      </c>
      <c r="V78" s="201">
        <v>8.4</v>
      </c>
      <c r="W78" s="201">
        <v>8.4</v>
      </c>
      <c r="X78" s="201">
        <v>0.2</v>
      </c>
      <c r="Y78" s="201">
        <v>0.2</v>
      </c>
      <c r="Z78" s="201">
        <v>0.2</v>
      </c>
      <c r="AA78" s="201">
        <v>0.2</v>
      </c>
      <c r="AB78" s="201">
        <v>0</v>
      </c>
      <c r="AC78" s="201">
        <v>0</v>
      </c>
      <c r="AD78" s="521">
        <f t="shared" si="39"/>
        <v>0</v>
      </c>
    </row>
    <row r="79" spans="2:30" x14ac:dyDescent="0.35">
      <c r="B79" t="s">
        <v>427</v>
      </c>
      <c r="T79" s="201">
        <v>0</v>
      </c>
      <c r="U79" s="201">
        <v>0</v>
      </c>
      <c r="V79" s="201">
        <v>0</v>
      </c>
      <c r="W79" s="201">
        <v>0</v>
      </c>
      <c r="X79" s="201">
        <v>0</v>
      </c>
      <c r="Y79" s="201">
        <v>0</v>
      </c>
      <c r="Z79" s="201">
        <v>0</v>
      </c>
      <c r="AA79" s="201">
        <v>0</v>
      </c>
      <c r="AB79" s="201">
        <v>0</v>
      </c>
      <c r="AC79" s="201">
        <v>0</v>
      </c>
      <c r="AD79" s="521">
        <f t="shared" si="39"/>
        <v>0</v>
      </c>
    </row>
    <row r="80" spans="2:30" x14ac:dyDescent="0.35">
      <c r="B80" t="s">
        <v>312</v>
      </c>
      <c r="T80" s="201">
        <v>12.362</v>
      </c>
      <c r="U80" s="201">
        <v>12.362</v>
      </c>
      <c r="V80" s="201">
        <v>12.362</v>
      </c>
      <c r="W80" s="201">
        <v>12.362</v>
      </c>
      <c r="X80" s="201">
        <v>-0.67500000000000004</v>
      </c>
      <c r="Y80" s="201">
        <v>-0.67500000000000004</v>
      </c>
      <c r="Z80" s="201">
        <v>-0.67500000000000004</v>
      </c>
      <c r="AA80" s="201">
        <v>-0.67500000000000004</v>
      </c>
      <c r="AB80" s="201">
        <v>0</v>
      </c>
      <c r="AC80" s="201">
        <v>0</v>
      </c>
      <c r="AD80" s="521">
        <f t="shared" si="39"/>
        <v>0</v>
      </c>
    </row>
    <row r="81" spans="2:30" x14ac:dyDescent="0.35">
      <c r="B81" t="s">
        <v>428</v>
      </c>
      <c r="T81" s="201"/>
      <c r="U81" s="201"/>
      <c r="AD81" s="521">
        <f t="shared" si="39"/>
        <v>0</v>
      </c>
    </row>
    <row r="82" spans="2:30" x14ac:dyDescent="0.35">
      <c r="B82" t="s">
        <v>429</v>
      </c>
      <c r="T82" s="201">
        <v>12.726000000000001</v>
      </c>
      <c r="U82" s="201">
        <v>12.726000000000001</v>
      </c>
      <c r="V82" s="201">
        <v>12.726000000000001</v>
      </c>
      <c r="W82" s="201">
        <v>12.726000000000001</v>
      </c>
      <c r="X82" s="201">
        <v>1.365</v>
      </c>
      <c r="Y82" s="201">
        <v>1.365</v>
      </c>
      <c r="Z82" s="201">
        <v>1.365</v>
      </c>
      <c r="AA82" s="201">
        <v>1.365</v>
      </c>
      <c r="AB82" s="201">
        <v>-0.90100000000000025</v>
      </c>
      <c r="AC82" s="201">
        <v>-0.90100000000000025</v>
      </c>
      <c r="AD82" s="521">
        <f t="shared" si="39"/>
        <v>0</v>
      </c>
    </row>
    <row r="83" spans="2:30" x14ac:dyDescent="0.35">
      <c r="B83" t="s">
        <v>199</v>
      </c>
      <c r="T83" s="73">
        <v>98.073999999999998</v>
      </c>
      <c r="U83" s="521">
        <v>83.295999999999992</v>
      </c>
      <c r="V83" s="73">
        <v>75.782000000000011</v>
      </c>
      <c r="W83" s="73">
        <v>75.782000000000011</v>
      </c>
      <c r="X83" s="73">
        <v>84.266000000000005</v>
      </c>
      <c r="Y83" s="73">
        <v>84.266000000000005</v>
      </c>
      <c r="Z83" s="73">
        <v>84.266000000000005</v>
      </c>
      <c r="AA83" s="73">
        <v>84.266000000000005</v>
      </c>
      <c r="AB83" s="73">
        <v>91.364999999999995</v>
      </c>
      <c r="AC83" s="73">
        <v>91.364999999999995</v>
      </c>
      <c r="AD83" s="521">
        <f t="shared" si="39"/>
        <v>4.6780000000000115</v>
      </c>
    </row>
    <row r="84" spans="2:30" x14ac:dyDescent="0.35">
      <c r="AD84" s="521"/>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9"/>
  <sheetViews>
    <sheetView topLeftCell="A7" zoomScale="90" zoomScaleNormal="90" workbookViewId="0">
      <selection activeCell="G16" sqref="G16"/>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77" t="s">
        <v>54</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c r="AD1" s="212"/>
      <c r="AE1" s="212"/>
      <c r="AF1" s="212"/>
      <c r="AG1" s="212"/>
    </row>
    <row r="2" spans="2:36" ht="14.25" customHeight="1" x14ac:dyDescent="0.35">
      <c r="B2" s="1370" t="s">
        <v>859</v>
      </c>
      <c r="C2" s="1370"/>
      <c r="D2" s="1370"/>
      <c r="E2" s="1370"/>
      <c r="F2" s="1370"/>
      <c r="G2" s="1370"/>
      <c r="H2" s="1370"/>
      <c r="I2" s="1370"/>
      <c r="J2" s="1370"/>
      <c r="K2" s="1370"/>
      <c r="L2" s="1370"/>
      <c r="M2" s="1370"/>
      <c r="N2" s="1370"/>
      <c r="O2" s="1370"/>
      <c r="P2" s="1370"/>
      <c r="Q2" s="1370"/>
      <c r="R2" s="1370"/>
      <c r="S2" s="1370"/>
      <c r="T2" s="1370"/>
      <c r="U2" s="1370"/>
      <c r="V2" s="1369" t="s">
        <v>910</v>
      </c>
      <c r="W2" s="1369"/>
      <c r="X2" s="1369"/>
      <c r="Y2" s="1369"/>
      <c r="Z2" s="1369"/>
      <c r="AA2" s="1369"/>
      <c r="AB2" s="1369"/>
      <c r="AC2" s="599"/>
      <c r="AD2" s="599"/>
      <c r="AE2" s="599"/>
      <c r="AF2" s="599"/>
      <c r="AG2" s="599"/>
    </row>
    <row r="3" spans="2:36" ht="59.9" customHeight="1" x14ac:dyDescent="0.35">
      <c r="B3" s="1370"/>
      <c r="C3" s="1370"/>
      <c r="D3" s="1370"/>
      <c r="E3" s="1370"/>
      <c r="F3" s="1370"/>
      <c r="G3" s="1370"/>
      <c r="H3" s="1370"/>
      <c r="I3" s="1370"/>
      <c r="J3" s="1370"/>
      <c r="K3" s="1370"/>
      <c r="L3" s="1370"/>
      <c r="M3" s="1370"/>
      <c r="N3" s="1370"/>
      <c r="O3" s="1370"/>
      <c r="P3" s="1370"/>
      <c r="Q3" s="1370"/>
      <c r="R3" s="1370"/>
      <c r="S3" s="1370"/>
      <c r="T3" s="1370"/>
      <c r="U3" s="1370"/>
      <c r="V3" s="1369"/>
      <c r="W3" s="1369"/>
      <c r="X3" s="1369"/>
      <c r="Y3" s="1369"/>
      <c r="Z3" s="1369"/>
      <c r="AA3" s="1369"/>
      <c r="AB3" s="1369"/>
      <c r="AC3" s="599"/>
      <c r="AD3" s="599"/>
      <c r="AE3" s="599"/>
      <c r="AF3" s="599"/>
      <c r="AG3" s="599"/>
    </row>
    <row r="4" spans="2:36" ht="88.5" customHeight="1" x14ac:dyDescent="0.35">
      <c r="B4" s="1370"/>
      <c r="C4" s="1370"/>
      <c r="D4" s="1370"/>
      <c r="E4" s="1370"/>
      <c r="F4" s="1370"/>
      <c r="G4" s="1370"/>
      <c r="H4" s="1370"/>
      <c r="I4" s="1370"/>
      <c r="J4" s="1370"/>
      <c r="K4" s="1370"/>
      <c r="L4" s="1370"/>
      <c r="M4" s="1370"/>
      <c r="N4" s="1370"/>
      <c r="O4" s="1370"/>
      <c r="P4" s="1370"/>
      <c r="Q4" s="1370"/>
      <c r="R4" s="1370"/>
      <c r="S4" s="1370"/>
      <c r="T4" s="1370"/>
      <c r="U4" s="1370"/>
      <c r="V4" s="1369"/>
      <c r="W4" s="1369"/>
      <c r="X4" s="1369"/>
      <c r="Y4" s="1369"/>
      <c r="Z4" s="1369"/>
      <c r="AA4" s="1369"/>
      <c r="AB4" s="1369"/>
      <c r="AC4" s="599"/>
      <c r="AD4" s="599"/>
      <c r="AE4" s="599"/>
      <c r="AF4" s="599"/>
      <c r="AG4" s="599"/>
    </row>
    <row r="5" spans="2:36" ht="33" customHeight="1" x14ac:dyDescent="0.35">
      <c r="B5" s="599"/>
      <c r="C5" s="599"/>
      <c r="D5" s="599"/>
      <c r="E5" s="599"/>
      <c r="F5" s="599"/>
      <c r="G5" s="599"/>
      <c r="H5" s="599"/>
      <c r="I5" s="599"/>
      <c r="J5" s="599"/>
      <c r="K5" s="599"/>
      <c r="L5" s="599"/>
      <c r="M5" s="599"/>
      <c r="N5" s="599"/>
      <c r="O5" s="599"/>
      <c r="P5" s="599"/>
      <c r="Q5" s="599"/>
      <c r="R5" s="599"/>
      <c r="S5" s="599"/>
      <c r="T5" s="599"/>
      <c r="U5" s="599"/>
      <c r="V5" s="599"/>
      <c r="W5" s="599"/>
      <c r="X5" s="599"/>
      <c r="Y5" s="599"/>
      <c r="Z5" s="599"/>
      <c r="AA5" s="599"/>
      <c r="AB5" s="599"/>
      <c r="AC5" s="599"/>
      <c r="AD5" s="599"/>
      <c r="AE5" s="599"/>
      <c r="AF5" s="599"/>
      <c r="AG5" s="599"/>
    </row>
    <row r="6" spans="2:36" x14ac:dyDescent="0.35">
      <c r="B6" s="599"/>
      <c r="C6" s="599"/>
      <c r="D6" s="599"/>
      <c r="E6" s="599"/>
      <c r="F6" s="599"/>
      <c r="G6" s="599"/>
      <c r="H6" s="599"/>
      <c r="I6" s="599"/>
      <c r="J6" s="599"/>
      <c r="K6" s="599"/>
      <c r="L6" s="599"/>
      <c r="M6" s="599"/>
      <c r="N6" s="599"/>
      <c r="O6" s="599"/>
      <c r="P6" s="599"/>
      <c r="Q6" s="599"/>
      <c r="R6" s="599"/>
      <c r="S6" s="599"/>
      <c r="T6" s="599"/>
      <c r="U6" s="599"/>
      <c r="V6" s="599"/>
      <c r="W6" s="599"/>
      <c r="X6" s="599"/>
      <c r="Y6" s="599"/>
      <c r="Z6" s="599"/>
      <c r="AA6" s="599"/>
      <c r="AB6" s="599"/>
      <c r="AC6" s="599"/>
      <c r="AD6" s="599"/>
      <c r="AE6" s="599"/>
      <c r="AF6" s="599"/>
      <c r="AG6" s="599"/>
    </row>
    <row r="7" spans="2:36" ht="14.9" customHeight="1" x14ac:dyDescent="0.35">
      <c r="B7" s="1282" t="s">
        <v>404</v>
      </c>
      <c r="C7" s="1283"/>
      <c r="D7" s="1286" t="s">
        <v>280</v>
      </c>
      <c r="E7" s="1299"/>
      <c r="F7" s="1299"/>
      <c r="G7" s="1299"/>
      <c r="H7" s="1299"/>
      <c r="I7" s="1299"/>
      <c r="J7" s="1299"/>
      <c r="K7" s="1299"/>
      <c r="L7" s="1299"/>
      <c r="M7" s="1299"/>
      <c r="N7" s="1299"/>
      <c r="O7" s="1299"/>
      <c r="P7" s="1299"/>
      <c r="Q7" s="1299"/>
      <c r="R7" s="1299"/>
      <c r="S7" s="1299"/>
      <c r="T7" s="1299"/>
      <c r="U7" s="1299"/>
      <c r="V7" s="1287"/>
      <c r="W7" s="1311" t="s">
        <v>281</v>
      </c>
      <c r="X7" s="1312"/>
      <c r="Y7" s="1312"/>
      <c r="Z7" s="1312"/>
      <c r="AA7" s="1312"/>
      <c r="AB7" s="1312"/>
      <c r="AC7" s="1312"/>
      <c r="AD7" s="1312"/>
      <c r="AE7" s="1312"/>
      <c r="AF7" s="1312"/>
      <c r="AG7" s="1312"/>
    </row>
    <row r="8" spans="2:36" x14ac:dyDescent="0.35">
      <c r="B8" s="1284"/>
      <c r="C8" s="1300"/>
      <c r="D8" s="219">
        <v>2018</v>
      </c>
      <c r="E8" s="1291">
        <v>2019</v>
      </c>
      <c r="F8" s="1292"/>
      <c r="G8" s="1292"/>
      <c r="H8" s="1293"/>
      <c r="I8" s="1291">
        <v>2020</v>
      </c>
      <c r="J8" s="1292"/>
      <c r="K8" s="1292"/>
      <c r="L8" s="1292"/>
      <c r="M8" s="1291">
        <v>2021</v>
      </c>
      <c r="N8" s="1292"/>
      <c r="O8" s="1292"/>
      <c r="P8" s="1292"/>
      <c r="Q8" s="1291">
        <v>2022</v>
      </c>
      <c r="R8" s="1321"/>
      <c r="S8" s="1321"/>
      <c r="T8" s="1293"/>
      <c r="U8" s="288"/>
      <c r="V8" s="288">
        <v>2023</v>
      </c>
      <c r="W8" s="556"/>
      <c r="X8" s="260"/>
      <c r="Y8" s="1288">
        <v>2024</v>
      </c>
      <c r="Z8" s="1301"/>
      <c r="AA8" s="1301"/>
      <c r="AB8" s="1290"/>
      <c r="AC8" s="1288">
        <v>2025</v>
      </c>
      <c r="AD8" s="1301"/>
      <c r="AE8" s="1301"/>
      <c r="AF8" s="1290"/>
      <c r="AG8" s="506">
        <v>2026</v>
      </c>
      <c r="AH8" s="240"/>
      <c r="AI8" s="240"/>
      <c r="AJ8" s="240"/>
    </row>
    <row r="9" spans="2:36" x14ac:dyDescent="0.35">
      <c r="B9" s="1284"/>
      <c r="C9" s="1300"/>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6" t="s">
        <v>282</v>
      </c>
      <c r="U9" s="215" t="s">
        <v>283</v>
      </c>
      <c r="V9" s="286" t="s">
        <v>284</v>
      </c>
      <c r="W9" s="270" t="s">
        <v>238</v>
      </c>
      <c r="X9" s="271" t="s">
        <v>282</v>
      </c>
      <c r="Y9" s="269" t="s">
        <v>283</v>
      </c>
      <c r="Z9" s="267" t="s">
        <v>284</v>
      </c>
      <c r="AA9" s="270" t="s">
        <v>238</v>
      </c>
      <c r="AB9" s="270" t="s">
        <v>282</v>
      </c>
      <c r="AC9" s="269" t="s">
        <v>283</v>
      </c>
      <c r="AD9" s="267" t="s">
        <v>284</v>
      </c>
      <c r="AE9" s="270" t="s">
        <v>238</v>
      </c>
      <c r="AF9" s="270" t="s">
        <v>282</v>
      </c>
      <c r="AG9" s="269" t="s">
        <v>283</v>
      </c>
      <c r="AH9" s="231"/>
      <c r="AI9" s="234"/>
      <c r="AJ9" s="234"/>
    </row>
    <row r="10" spans="2:36" x14ac:dyDescent="0.35">
      <c r="B10" s="565" t="s">
        <v>101</v>
      </c>
      <c r="C10" s="443" t="s">
        <v>430</v>
      </c>
      <c r="D10" s="574">
        <f>'Haver Pivoted'!GO13</f>
        <v>589.5</v>
      </c>
      <c r="E10" s="575">
        <f>'Haver Pivoted'!GP13</f>
        <v>598.70000000000005</v>
      </c>
      <c r="F10" s="575">
        <f>'Haver Pivoted'!GQ13</f>
        <v>614.4</v>
      </c>
      <c r="G10" s="575">
        <f>'Haver Pivoted'!GR13</f>
        <v>622.4</v>
      </c>
      <c r="H10" s="575">
        <f>'Haver Pivoted'!GS13</f>
        <v>620.6</v>
      </c>
      <c r="I10" s="575">
        <f>'Haver Pivoted'!GT13</f>
        <v>606.4</v>
      </c>
      <c r="J10" s="575">
        <f>'Haver Pivoted'!GU13</f>
        <v>654.6</v>
      </c>
      <c r="K10" s="575">
        <f>'Haver Pivoted'!GV13</f>
        <v>690.8</v>
      </c>
      <c r="L10" s="575">
        <f>'Haver Pivoted'!GW13</f>
        <v>678.6</v>
      </c>
      <c r="M10" s="575">
        <f>'Haver Pivoted'!GX13</f>
        <v>705</v>
      </c>
      <c r="N10" s="575">
        <f>'Haver Pivoted'!GY13</f>
        <v>745.7</v>
      </c>
      <c r="O10" s="575">
        <f>'Haver Pivoted'!GZ13</f>
        <v>749.2</v>
      </c>
      <c r="P10" s="575">
        <f>'Haver Pivoted'!HA13</f>
        <v>746.1</v>
      </c>
      <c r="Q10" s="575">
        <f>'Haver Pivoted'!HB13</f>
        <v>791.4</v>
      </c>
      <c r="R10" s="575">
        <f>'Haver Pivoted'!HC13</f>
        <v>818.7</v>
      </c>
      <c r="S10" s="576">
        <f>'Haver Pivoted'!HD13</f>
        <v>819</v>
      </c>
      <c r="T10" s="563">
        <f>'Haver Pivoted'!HE13</f>
        <v>828.4</v>
      </c>
      <c r="U10" s="576">
        <f>'Haver Pivoted'!HF13</f>
        <v>871.5</v>
      </c>
      <c r="V10" s="576">
        <f>'Haver Pivoted'!HG13</f>
        <v>911.4</v>
      </c>
      <c r="W10" s="576">
        <f>'Haver Pivoted'!HH13</f>
        <v>880.6</v>
      </c>
      <c r="X10" s="576">
        <f>'Haver Pivoted'!HI13</f>
        <v>868.3</v>
      </c>
      <c r="Y10" s="576">
        <f>'Haver Pivoted'!HJ13</f>
        <v>916.9</v>
      </c>
      <c r="Z10" s="291"/>
      <c r="AA10" s="291"/>
      <c r="AB10" s="291"/>
      <c r="AC10" s="217"/>
      <c r="AD10" s="326"/>
      <c r="AE10" s="326"/>
      <c r="AF10" s="326"/>
      <c r="AG10" s="326"/>
      <c r="AH10" t="s">
        <v>1825</v>
      </c>
    </row>
    <row r="11" spans="2:36" x14ac:dyDescent="0.35">
      <c r="B11" s="551" t="s">
        <v>431</v>
      </c>
      <c r="C11" s="240" t="s">
        <v>339</v>
      </c>
      <c r="D11" s="595">
        <f>'Haver Pivoted'!GO40</f>
        <v>391.92099999999999</v>
      </c>
      <c r="E11" s="555">
        <f>'Haver Pivoted'!GP40</f>
        <v>406.23</v>
      </c>
      <c r="F11" s="555">
        <f>'Haver Pivoted'!GQ40</f>
        <v>414.87200000000001</v>
      </c>
      <c r="G11" s="555">
        <f>'Haver Pivoted'!GR40</f>
        <v>418.36200000000002</v>
      </c>
      <c r="H11" s="555">
        <f>'Haver Pivoted'!GS40</f>
        <v>414.971</v>
      </c>
      <c r="I11" s="555">
        <f>'Haver Pivoted'!GT40</f>
        <v>424.089</v>
      </c>
      <c r="J11" s="555">
        <f>'Haver Pivoted'!GU40</f>
        <v>505.45</v>
      </c>
      <c r="K11" s="555">
        <f>'Haver Pivoted'!GV40</f>
        <v>483.86599999999999</v>
      </c>
      <c r="L11" s="555">
        <f>'Haver Pivoted'!GW40</f>
        <v>506.75599999999997</v>
      </c>
      <c r="M11" s="555">
        <f>'Haver Pivoted'!GX40</f>
        <v>501.459</v>
      </c>
      <c r="N11" s="555">
        <f>'Haver Pivoted'!GY40</f>
        <v>526.38599999999997</v>
      </c>
      <c r="O11" s="555">
        <f>'Haver Pivoted'!GZ40</f>
        <v>541.66800000000001</v>
      </c>
      <c r="P11" s="555">
        <f>'Haver Pivoted'!HA40</f>
        <v>563.64300000000003</v>
      </c>
      <c r="Q11" s="555">
        <f>'Haver Pivoted'!HB40</f>
        <v>594.56200000000001</v>
      </c>
      <c r="R11" s="555">
        <f>'Haver Pivoted'!HC40</f>
        <v>595.59299999999996</v>
      </c>
      <c r="S11" s="558">
        <f>'Haver Pivoted'!HD40</f>
        <v>607.94899999999996</v>
      </c>
      <c r="T11" s="558">
        <f>'Haver Pivoted'!HE40</f>
        <v>607.13699999999994</v>
      </c>
      <c r="U11" s="558">
        <f>'Haver Pivoted'!HF40</f>
        <v>630.96299999999997</v>
      </c>
      <c r="V11" s="558">
        <f>'Haver Pivoted'!HG40</f>
        <v>639.71100000000001</v>
      </c>
      <c r="W11" s="558">
        <f>'Haver Pivoted'!HH40</f>
        <v>590.947</v>
      </c>
      <c r="X11" s="558">
        <f>'Haver Pivoted'!HI40</f>
        <v>616.99699999999996</v>
      </c>
      <c r="Y11" s="558">
        <f>'Haver Pivoted'!HJ40</f>
        <v>613.56899999999996</v>
      </c>
      <c r="Z11" s="326"/>
      <c r="AA11" s="326"/>
      <c r="AB11" s="326"/>
      <c r="AC11" s="326"/>
      <c r="AD11" s="326"/>
      <c r="AE11" s="326"/>
      <c r="AF11" s="326"/>
      <c r="AG11" s="326"/>
    </row>
    <row r="12" spans="2:36" ht="27.65" customHeight="1" x14ac:dyDescent="0.35">
      <c r="B12" s="529" t="s">
        <v>893</v>
      </c>
      <c r="C12" s="57"/>
      <c r="D12" s="598">
        <f t="shared" ref="D12:N12" si="0">D11/D10</f>
        <v>0.66483630195080579</v>
      </c>
      <c r="E12" s="582">
        <f t="shared" si="0"/>
        <v>0.67852012694170705</v>
      </c>
      <c r="F12" s="582">
        <f t="shared" si="0"/>
        <v>0.67524739583333337</v>
      </c>
      <c r="G12" s="582">
        <f t="shared" si="0"/>
        <v>0.67217544987146538</v>
      </c>
      <c r="H12" s="582">
        <f t="shared" si="0"/>
        <v>0.66866097325169194</v>
      </c>
      <c r="I12" s="582">
        <f t="shared" si="0"/>
        <v>0.69935521108179421</v>
      </c>
      <c r="J12" s="582">
        <f t="shared" si="0"/>
        <v>0.77215093186678885</v>
      </c>
      <c r="K12" s="582">
        <f t="shared" si="0"/>
        <v>0.70044296467863354</v>
      </c>
      <c r="L12" s="582">
        <f t="shared" si="0"/>
        <v>0.74676687297376942</v>
      </c>
      <c r="M12" s="582">
        <f t="shared" si="0"/>
        <v>0.71128936170212764</v>
      </c>
      <c r="N12" s="582">
        <f t="shared" si="0"/>
        <v>0.70589513209065302</v>
      </c>
      <c r="O12" s="582">
        <f t="shared" ref="O12:T12" si="1">O11/O10</f>
        <v>0.72299519487453279</v>
      </c>
      <c r="P12" s="582">
        <f t="shared" si="1"/>
        <v>0.75545235223160434</v>
      </c>
      <c r="Q12" s="582">
        <f t="shared" si="1"/>
        <v>0.75127874652514537</v>
      </c>
      <c r="R12" s="582">
        <f t="shared" si="1"/>
        <v>0.72748625870282146</v>
      </c>
      <c r="S12" s="577">
        <f>S11/S10</f>
        <v>0.74230647130647121</v>
      </c>
      <c r="T12" s="577">
        <f t="shared" si="1"/>
        <v>0.73290318686624811</v>
      </c>
      <c r="U12" s="577">
        <f t="shared" ref="U12:W12" si="2">U11/U10</f>
        <v>0.72399655765920823</v>
      </c>
      <c r="V12" s="577">
        <f t="shared" si="2"/>
        <v>0.70189927583936806</v>
      </c>
      <c r="W12" s="577">
        <f t="shared" si="2"/>
        <v>0.6710731319554849</v>
      </c>
      <c r="X12" s="577">
        <f>X11/X10</f>
        <v>0.71058044454681557</v>
      </c>
      <c r="Y12" s="577">
        <f>Y11/Y10</f>
        <v>0.6691776638673792</v>
      </c>
      <c r="Z12" s="601">
        <f t="shared" ref="Z12" si="3">Y12</f>
        <v>0.6691776638673792</v>
      </c>
      <c r="AA12" s="601">
        <f t="shared" ref="AA12" si="4">Z12</f>
        <v>0.6691776638673792</v>
      </c>
      <c r="AB12" s="601">
        <f>AA12</f>
        <v>0.6691776638673792</v>
      </c>
      <c r="AC12" s="601">
        <f t="shared" ref="AC12" si="5">AB12</f>
        <v>0.6691776638673792</v>
      </c>
      <c r="AD12" s="601">
        <f t="shared" ref="AD12" si="6">AC12</f>
        <v>0.6691776638673792</v>
      </c>
      <c r="AE12" s="601">
        <f t="shared" ref="AE12" si="7">AD12</f>
        <v>0.6691776638673792</v>
      </c>
      <c r="AF12" s="601">
        <f t="shared" ref="AF12" si="8">AE12</f>
        <v>0.6691776638673792</v>
      </c>
      <c r="AG12" s="601">
        <f t="shared" ref="AG12" si="9">AF12</f>
        <v>0.6691776638673792</v>
      </c>
    </row>
    <row r="13" spans="2:36" ht="27.65" customHeight="1" x14ac:dyDescent="0.35">
      <c r="O13" s="56"/>
      <c r="P13" s="56"/>
      <c r="Q13" s="56"/>
      <c r="R13" s="56"/>
      <c r="S13" s="56"/>
      <c r="T13" s="56"/>
      <c r="Y13" s="559"/>
      <c r="Z13" s="559"/>
      <c r="AA13" s="559"/>
      <c r="AB13" s="559"/>
      <c r="AC13" s="559"/>
      <c r="AD13" s="559"/>
      <c r="AE13" s="559"/>
      <c r="AF13" s="559"/>
      <c r="AG13" s="559"/>
      <c r="AH13" s="56"/>
    </row>
    <row r="14" spans="2:36" x14ac:dyDescent="0.35">
      <c r="O14" s="56"/>
      <c r="P14" s="240"/>
      <c r="Q14" s="56"/>
      <c r="R14" s="56"/>
      <c r="S14" s="56"/>
      <c r="T14" s="555"/>
      <c r="Y14" s="234"/>
      <c r="Z14" s="234"/>
      <c r="AA14" s="234"/>
      <c r="AB14" s="234"/>
      <c r="AC14" s="234"/>
      <c r="AD14" s="234"/>
      <c r="AE14" s="234"/>
      <c r="AF14" s="234"/>
      <c r="AG14" s="234"/>
      <c r="AH14" s="56"/>
    </row>
    <row r="15" spans="2:36" x14ac:dyDescent="0.35">
      <c r="B15" s="517" t="s">
        <v>352</v>
      </c>
      <c r="G15" t="s">
        <v>1966</v>
      </c>
      <c r="O15" s="56"/>
      <c r="P15" s="240"/>
      <c r="Q15" s="56"/>
      <c r="R15" s="56"/>
      <c r="S15" s="56"/>
      <c r="T15" s="555"/>
      <c r="Y15" s="234"/>
      <c r="Z15" s="234"/>
      <c r="AA15" s="234"/>
      <c r="AB15" s="234"/>
      <c r="AC15" s="234"/>
      <c r="AD15" s="234"/>
      <c r="AE15" s="234"/>
      <c r="AF15" s="234"/>
      <c r="AG15" s="234"/>
      <c r="AH15" s="56"/>
    </row>
    <row r="16" spans="2:36" ht="25.4" customHeight="1" x14ac:dyDescent="0.35">
      <c r="B16" s="569" t="s">
        <v>432</v>
      </c>
      <c r="C16" s="567">
        <v>2020</v>
      </c>
      <c r="D16" s="567">
        <v>2021</v>
      </c>
      <c r="E16" s="567">
        <v>2022</v>
      </c>
      <c r="F16" s="567">
        <v>2023</v>
      </c>
      <c r="G16" s="567">
        <v>2024</v>
      </c>
      <c r="H16" s="567">
        <v>2025</v>
      </c>
      <c r="I16" s="567">
        <v>2026</v>
      </c>
      <c r="J16" s="568">
        <v>2027</v>
      </c>
      <c r="O16" s="56"/>
      <c r="P16" s="240"/>
      <c r="Q16" s="56"/>
      <c r="R16" s="56"/>
      <c r="S16" s="56"/>
      <c r="T16" s="559"/>
      <c r="U16" s="559"/>
      <c r="V16" s="559"/>
      <c r="W16" s="559"/>
      <c r="X16" s="559"/>
      <c r="Y16" s="559"/>
      <c r="Z16" s="559"/>
      <c r="AA16" s="559"/>
      <c r="AB16" s="559"/>
      <c r="AC16" s="559"/>
      <c r="AD16" s="559"/>
      <c r="AE16" s="559"/>
      <c r="AF16" s="559"/>
      <c r="AG16" s="559"/>
      <c r="AH16" s="56"/>
    </row>
    <row r="17" spans="2:34" ht="31.5" customHeight="1" x14ac:dyDescent="0.35">
      <c r="B17" s="597" t="s">
        <v>1963</v>
      </c>
      <c r="C17" s="252">
        <v>458.46800000000002</v>
      </c>
      <c r="D17" s="266">
        <v>520.58799999999997</v>
      </c>
      <c r="E17" s="266">
        <v>591.94899999999996</v>
      </c>
      <c r="F17" s="266">
        <v>615.77200000000005</v>
      </c>
      <c r="G17" s="266">
        <v>606.89800000000002</v>
      </c>
      <c r="H17" s="266">
        <v>600.45899999999995</v>
      </c>
      <c r="I17" s="266">
        <v>614.44100000000003</v>
      </c>
      <c r="J17" s="266">
        <v>642.08799999999997</v>
      </c>
      <c r="K17" s="266">
        <v>679.89200000000005</v>
      </c>
      <c r="L17" s="266">
        <v>717.14099999999996</v>
      </c>
      <c r="M17" s="266">
        <v>756.26</v>
      </c>
      <c r="N17" s="266">
        <v>795.53099999999995</v>
      </c>
      <c r="O17" s="266">
        <v>837.52499999999998</v>
      </c>
      <c r="P17" s="266">
        <v>885.98900000000003</v>
      </c>
      <c r="Q17" s="266">
        <v>932.56399999999996</v>
      </c>
      <c r="R17" s="56"/>
      <c r="S17" s="56"/>
      <c r="T17" s="56"/>
      <c r="U17" s="56"/>
      <c r="V17" s="56"/>
      <c r="W17" s="56"/>
      <c r="X17" s="56"/>
      <c r="Y17" s="56"/>
      <c r="Z17" s="56"/>
      <c r="AA17" s="56"/>
      <c r="AB17" s="56"/>
      <c r="AC17" s="56"/>
      <c r="AD17" s="56"/>
      <c r="AE17" s="56"/>
      <c r="AF17" s="56"/>
      <c r="AG17" s="56"/>
      <c r="AH17" s="56"/>
    </row>
    <row r="18" spans="2:34" x14ac:dyDescent="0.35">
      <c r="B18" s="551" t="s">
        <v>433</v>
      </c>
      <c r="C18" s="559">
        <f>AVERAGE(H12:K12)</f>
        <v>0.71015252021972719</v>
      </c>
      <c r="D18" s="559">
        <f>AVERAGE(L12:O12)</f>
        <v>0.72173664041027075</v>
      </c>
      <c r="E18" s="559">
        <f>AVERAGE(P12:S12)</f>
        <v>0.74413095719151068</v>
      </c>
      <c r="F18" s="559">
        <f>AVERAGE(T12:W12)</f>
        <v>0.70746803808007741</v>
      </c>
      <c r="G18" s="559">
        <f>AVERAGE(X12:AA12)</f>
        <v>0.67952835903723829</v>
      </c>
      <c r="H18" s="559">
        <f>AVERAGE(Y12:AB12)</f>
        <v>0.6691776638673792</v>
      </c>
      <c r="I18" s="559">
        <f>AVERAGE(Z12:AC12)</f>
        <v>0.6691776638673792</v>
      </c>
      <c r="J18" s="581">
        <f>AVERAGE(AA12:AH12)</f>
        <v>0.6691776638673792</v>
      </c>
    </row>
    <row r="19" spans="2:34" x14ac:dyDescent="0.35">
      <c r="B19" s="551" t="s">
        <v>434</v>
      </c>
      <c r="C19" s="234">
        <f>C17/C18</f>
        <v>645.59089342969048</v>
      </c>
      <c r="D19" s="234">
        <f>D17/D18</f>
        <v>721.29911501246772</v>
      </c>
      <c r="E19" s="234">
        <f>E17/E18</f>
        <v>795.49035593697931</v>
      </c>
      <c r="F19" s="234">
        <f>F17/F18</f>
        <v>870.3884371526924</v>
      </c>
      <c r="G19" s="234">
        <f>G17/G18</f>
        <v>893.11651519571365</v>
      </c>
      <c r="H19" s="234">
        <f t="shared" ref="H19:J19" si="10">H17/H18</f>
        <v>897.30879020941404</v>
      </c>
      <c r="I19" s="234">
        <f t="shared" si="10"/>
        <v>918.20309190979344</v>
      </c>
      <c r="J19" s="572">
        <f t="shared" si="10"/>
        <v>959.51797955894119</v>
      </c>
    </row>
    <row r="20" spans="2:34" ht="32.25" customHeight="1" x14ac:dyDescent="0.35">
      <c r="B20" s="529" t="s">
        <v>435</v>
      </c>
      <c r="C20" s="566"/>
      <c r="D20" s="582">
        <f>D19/C19-1</f>
        <v>0.11726965537041356</v>
      </c>
      <c r="E20" s="582">
        <f t="shared" ref="E20" si="11">E19/D19-1</f>
        <v>0.1028578011262764</v>
      </c>
      <c r="F20" s="582">
        <f>F19/E19-1</f>
        <v>9.4153349134564079E-2</v>
      </c>
      <c r="G20" s="582">
        <f>G19/F19-1+0.01</f>
        <v>3.6112568909315572E-2</v>
      </c>
      <c r="H20" s="582">
        <f>H19/G19-1+0.024</f>
        <v>2.869398442686031E-2</v>
      </c>
      <c r="I20" s="582">
        <f t="shared" ref="I20" si="12">I19/H19-1</f>
        <v>2.3285519910601904E-2</v>
      </c>
      <c r="J20" s="600">
        <f t="shared" ref="J20" si="13">J19/I19-1</f>
        <v>4.4995369775128857E-2</v>
      </c>
      <c r="K20" s="584"/>
      <c r="L20" s="584"/>
      <c r="R20" s="56"/>
      <c r="S20" s="520"/>
      <c r="T20" s="520"/>
      <c r="U20" s="520"/>
    </row>
    <row r="21" spans="2:34" ht="32.25" customHeight="1" x14ac:dyDescent="0.35">
      <c r="B21" s="283"/>
      <c r="C21" s="234"/>
      <c r="D21" s="559"/>
      <c r="E21" s="559"/>
      <c r="F21" s="559"/>
      <c r="G21" s="559"/>
      <c r="H21" s="559"/>
      <c r="I21" s="559"/>
      <c r="J21" s="559"/>
      <c r="K21" s="584"/>
      <c r="L21" s="584"/>
      <c r="R21" s="56"/>
      <c r="S21" s="520"/>
      <c r="T21" s="520"/>
      <c r="U21" s="520"/>
    </row>
    <row r="23" spans="2:34" x14ac:dyDescent="0.35">
      <c r="B23" s="517" t="s">
        <v>365</v>
      </c>
    </row>
    <row r="24" spans="2:34" x14ac:dyDescent="0.35">
      <c r="B24" s="1282" t="s">
        <v>436</v>
      </c>
      <c r="C24" s="1332"/>
      <c r="D24" s="1286" t="s">
        <v>280</v>
      </c>
      <c r="E24" s="1299"/>
      <c r="F24" s="1299"/>
      <c r="G24" s="1299"/>
      <c r="H24" s="1299"/>
      <c r="I24" s="1299"/>
      <c r="J24" s="1299"/>
      <c r="K24" s="1299"/>
      <c r="L24" s="1299"/>
      <c r="M24" s="1299"/>
      <c r="N24" s="1299"/>
      <c r="O24" s="1299"/>
      <c r="P24" s="1299"/>
      <c r="Q24" s="1299"/>
      <c r="R24" s="1299"/>
      <c r="S24" s="1299"/>
      <c r="T24" s="1299"/>
      <c r="U24" s="1299"/>
      <c r="V24" s="1287"/>
      <c r="W24" s="1322" t="s">
        <v>281</v>
      </c>
      <c r="X24" s="1323"/>
      <c r="Y24" s="1323"/>
      <c r="Z24" s="1323"/>
      <c r="AA24" s="1323"/>
      <c r="AB24" s="1323"/>
      <c r="AC24" s="1323"/>
      <c r="AD24" s="1323"/>
      <c r="AE24" s="1323"/>
      <c r="AF24" s="1323"/>
      <c r="AG24" s="1323"/>
    </row>
    <row r="25" spans="2:34" x14ac:dyDescent="0.35">
      <c r="B25" s="1284"/>
      <c r="C25" s="1300"/>
      <c r="D25" s="219">
        <v>2018</v>
      </c>
      <c r="E25" s="1291">
        <v>2019</v>
      </c>
      <c r="F25" s="1292"/>
      <c r="G25" s="1292"/>
      <c r="H25" s="1293"/>
      <c r="I25" s="1291">
        <v>2020</v>
      </c>
      <c r="J25" s="1292"/>
      <c r="K25" s="1292"/>
      <c r="L25" s="1292"/>
      <c r="M25" s="1291">
        <v>2021</v>
      </c>
      <c r="N25" s="1292"/>
      <c r="O25" s="1292"/>
      <c r="P25" s="1292"/>
      <c r="Q25" s="1291">
        <v>2022</v>
      </c>
      <c r="R25" s="1321"/>
      <c r="S25" s="1321"/>
      <c r="T25" s="1293"/>
      <c r="U25" s="239"/>
      <c r="V25" s="560">
        <v>2023</v>
      </c>
      <c r="W25" s="556"/>
      <c r="X25" s="260"/>
      <c r="Y25" s="1288">
        <v>2024</v>
      </c>
      <c r="Z25" s="1301"/>
      <c r="AA25" s="1301"/>
      <c r="AB25" s="1290"/>
      <c r="AC25" s="1288">
        <v>2025</v>
      </c>
      <c r="AD25" s="1301"/>
      <c r="AE25" s="1301"/>
      <c r="AF25" s="1290"/>
      <c r="AG25" s="506">
        <v>2026</v>
      </c>
    </row>
    <row r="26" spans="2:34" x14ac:dyDescent="0.35">
      <c r="B26" s="1286"/>
      <c r="C26" s="1299"/>
      <c r="D26" s="214" t="s">
        <v>282</v>
      </c>
      <c r="E26" s="214" t="s">
        <v>283</v>
      </c>
      <c r="F26" s="215" t="s">
        <v>284</v>
      </c>
      <c r="G26" s="215" t="s">
        <v>238</v>
      </c>
      <c r="H26" s="216" t="s">
        <v>282</v>
      </c>
      <c r="I26" s="215" t="s">
        <v>283</v>
      </c>
      <c r="J26" s="215" t="s">
        <v>284</v>
      </c>
      <c r="K26" s="215" t="s">
        <v>238</v>
      </c>
      <c r="L26" s="215" t="s">
        <v>282</v>
      </c>
      <c r="M26" s="214" t="s">
        <v>283</v>
      </c>
      <c r="N26" s="215" t="s">
        <v>284</v>
      </c>
      <c r="O26" s="215" t="s">
        <v>238</v>
      </c>
      <c r="P26" s="215" t="s">
        <v>282</v>
      </c>
      <c r="Q26" s="214" t="s">
        <v>283</v>
      </c>
      <c r="R26" s="215" t="s">
        <v>284</v>
      </c>
      <c r="S26" s="215" t="s">
        <v>238</v>
      </c>
      <c r="T26" s="216" t="s">
        <v>282</v>
      </c>
      <c r="U26" s="285" t="s">
        <v>283</v>
      </c>
      <c r="V26" s="561" t="s">
        <v>284</v>
      </c>
      <c r="W26" s="270" t="s">
        <v>238</v>
      </c>
      <c r="X26" s="270" t="s">
        <v>282</v>
      </c>
      <c r="Y26" s="269" t="s">
        <v>283</v>
      </c>
      <c r="Z26" s="267" t="s">
        <v>284</v>
      </c>
      <c r="AA26" s="270" t="s">
        <v>238</v>
      </c>
      <c r="AB26" s="270" t="s">
        <v>282</v>
      </c>
      <c r="AC26" s="269" t="s">
        <v>283</v>
      </c>
      <c r="AD26" s="267" t="s">
        <v>284</v>
      </c>
      <c r="AE26" s="270" t="s">
        <v>238</v>
      </c>
      <c r="AF26" s="270" t="s">
        <v>282</v>
      </c>
      <c r="AG26" s="269" t="s">
        <v>283</v>
      </c>
    </row>
    <row r="27" spans="2:34" ht="19.5" customHeight="1" x14ac:dyDescent="0.35">
      <c r="B27" s="592" t="s">
        <v>437</v>
      </c>
      <c r="C27" s="593"/>
      <c r="D27" s="578">
        <f t="shared" ref="D27:X27" si="14">D10</f>
        <v>589.5</v>
      </c>
      <c r="E27" s="579">
        <f t="shared" si="14"/>
        <v>598.70000000000005</v>
      </c>
      <c r="F27" s="579">
        <f t="shared" si="14"/>
        <v>614.4</v>
      </c>
      <c r="G27" s="579">
        <f t="shared" si="14"/>
        <v>622.4</v>
      </c>
      <c r="H27" s="579">
        <f t="shared" si="14"/>
        <v>620.6</v>
      </c>
      <c r="I27" s="579">
        <f t="shared" si="14"/>
        <v>606.4</v>
      </c>
      <c r="J27" s="579">
        <f t="shared" si="14"/>
        <v>654.6</v>
      </c>
      <c r="K27" s="579">
        <f t="shared" si="14"/>
        <v>690.8</v>
      </c>
      <c r="L27" s="579">
        <f t="shared" si="14"/>
        <v>678.6</v>
      </c>
      <c r="M27" s="579">
        <f t="shared" si="14"/>
        <v>705</v>
      </c>
      <c r="N27" s="579">
        <f t="shared" si="14"/>
        <v>745.7</v>
      </c>
      <c r="O27" s="579">
        <f t="shared" si="14"/>
        <v>749.2</v>
      </c>
      <c r="P27" s="579">
        <f t="shared" si="14"/>
        <v>746.1</v>
      </c>
      <c r="Q27" s="579">
        <f t="shared" si="14"/>
        <v>791.4</v>
      </c>
      <c r="R27" s="579">
        <f t="shared" si="14"/>
        <v>818.7</v>
      </c>
      <c r="S27" s="580">
        <f t="shared" si="14"/>
        <v>819</v>
      </c>
      <c r="T27" s="564">
        <f t="shared" si="14"/>
        <v>828.4</v>
      </c>
      <c r="U27" s="580">
        <f t="shared" si="14"/>
        <v>871.5</v>
      </c>
      <c r="V27" s="580">
        <f t="shared" si="14"/>
        <v>911.4</v>
      </c>
      <c r="W27" s="580">
        <f t="shared" si="14"/>
        <v>880.6</v>
      </c>
      <c r="X27" s="580">
        <f t="shared" si="14"/>
        <v>868.3</v>
      </c>
      <c r="Y27" s="580">
        <f>Y10</f>
        <v>916.9</v>
      </c>
      <c r="Z27" s="591">
        <f>Y27*(1+$G$20)^0.25+Z28</f>
        <v>974.06810687091604</v>
      </c>
      <c r="AA27" s="591">
        <f>Z27*(1+$G$20)^0.25+AA28</f>
        <v>994.74548978777989</v>
      </c>
      <c r="AB27" s="570">
        <f>AA27*(1+$H$20)^0.25+AB28</f>
        <v>1001.8057700902358</v>
      </c>
      <c r="AC27" s="591">
        <f t="shared" ref="AC27:AE27" si="15">AB27*(1+$H$20)^0.25+AC28</f>
        <v>1008.9161612586981</v>
      </c>
      <c r="AD27" s="591">
        <f t="shared" si="15"/>
        <v>1016.0770189587756</v>
      </c>
      <c r="AE27" s="591">
        <f t="shared" si="15"/>
        <v>1023.2887013804402</v>
      </c>
      <c r="AF27" s="553">
        <f>AE27*(1+$I$20)^0.25+AF28</f>
        <v>1029.1943326480559</v>
      </c>
      <c r="AG27" s="562">
        <f>AF27*(1+$I$20)^0.25+AG28</f>
        <v>1035.1340466536342</v>
      </c>
      <c r="AH27" s="571" t="s">
        <v>1836</v>
      </c>
    </row>
    <row r="28" spans="2:34" ht="19.5" customHeight="1" x14ac:dyDescent="0.35">
      <c r="B28" s="583" t="s">
        <v>1704</v>
      </c>
      <c r="C28" s="263"/>
      <c r="D28" s="594"/>
      <c r="E28" s="552"/>
      <c r="F28" s="552"/>
      <c r="G28" s="552"/>
      <c r="H28" s="552"/>
      <c r="I28" s="552"/>
      <c r="J28" s="552"/>
      <c r="K28" s="552"/>
      <c r="L28" s="552"/>
      <c r="M28" s="552"/>
      <c r="N28" s="552"/>
      <c r="O28" s="552"/>
      <c r="P28" s="552"/>
      <c r="Q28" s="552"/>
      <c r="R28" s="552"/>
      <c r="S28" s="552"/>
      <c r="T28" s="552"/>
      <c r="U28" s="552"/>
      <c r="V28" s="552"/>
      <c r="W28" s="552"/>
      <c r="X28" s="552">
        <v>-11</v>
      </c>
      <c r="Y28" s="557">
        <v>49</v>
      </c>
      <c r="Z28" s="557">
        <v>49</v>
      </c>
      <c r="AA28" s="557">
        <v>12</v>
      </c>
      <c r="AB28" s="557"/>
      <c r="AC28" s="557"/>
      <c r="AD28" s="557"/>
      <c r="AE28" s="557"/>
      <c r="AF28" s="557"/>
      <c r="AG28" s="557"/>
    </row>
    <row r="29" spans="2:34" ht="19.399999999999999" customHeight="1" x14ac:dyDescent="0.35">
      <c r="B29" s="583" t="s">
        <v>207</v>
      </c>
      <c r="C29" s="263"/>
      <c r="D29" s="594">
        <f t="shared" ref="D29:Q29" si="16">D10*D12</f>
        <v>391.92099999999999</v>
      </c>
      <c r="E29" s="552">
        <f t="shared" si="16"/>
        <v>406.23</v>
      </c>
      <c r="F29" s="552">
        <f t="shared" si="16"/>
        <v>414.87200000000001</v>
      </c>
      <c r="G29" s="552">
        <f t="shared" si="16"/>
        <v>418.36200000000002</v>
      </c>
      <c r="H29" s="552">
        <f t="shared" si="16"/>
        <v>414.971</v>
      </c>
      <c r="I29" s="552">
        <f t="shared" si="16"/>
        <v>424.089</v>
      </c>
      <c r="J29" s="552">
        <f t="shared" si="16"/>
        <v>505.45</v>
      </c>
      <c r="K29" s="552">
        <f t="shared" si="16"/>
        <v>483.86600000000004</v>
      </c>
      <c r="L29" s="552">
        <f t="shared" si="16"/>
        <v>506.75599999999997</v>
      </c>
      <c r="M29" s="552">
        <f t="shared" si="16"/>
        <v>501.459</v>
      </c>
      <c r="N29" s="552">
        <f t="shared" si="16"/>
        <v>526.38599999999997</v>
      </c>
      <c r="O29" s="552">
        <f t="shared" si="16"/>
        <v>541.66800000000001</v>
      </c>
      <c r="P29" s="552">
        <f t="shared" si="16"/>
        <v>563.64300000000003</v>
      </c>
      <c r="Q29" s="552">
        <f t="shared" si="16"/>
        <v>594.56200000000001</v>
      </c>
      <c r="R29" s="552">
        <f t="shared" ref="R29:AG29" si="17">R27*R12</f>
        <v>595.59299999999996</v>
      </c>
      <c r="S29" s="552">
        <f t="shared" si="17"/>
        <v>607.94899999999996</v>
      </c>
      <c r="T29" s="552">
        <f t="shared" si="17"/>
        <v>607.13699999999994</v>
      </c>
      <c r="U29" s="552">
        <f t="shared" si="17"/>
        <v>630.96299999999997</v>
      </c>
      <c r="V29" s="552">
        <f t="shared" si="17"/>
        <v>639.71100000000001</v>
      </c>
      <c r="W29" s="552">
        <f t="shared" si="17"/>
        <v>590.947</v>
      </c>
      <c r="X29" s="552">
        <f t="shared" si="17"/>
        <v>616.99699999999996</v>
      </c>
      <c r="Y29" s="557">
        <f>Y27*Y12</f>
        <v>613.56899999999996</v>
      </c>
      <c r="Z29" s="557">
        <f t="shared" si="17"/>
        <v>651.82462020360026</v>
      </c>
      <c r="AA29" s="557">
        <f t="shared" si="17"/>
        <v>665.66146299879847</v>
      </c>
      <c r="AB29" s="557">
        <f t="shared" si="17"/>
        <v>670.38604487784482</v>
      </c>
      <c r="AC29" s="557">
        <f t="shared" si="17"/>
        <v>675.14415982913965</v>
      </c>
      <c r="AD29" s="557">
        <f t="shared" si="17"/>
        <v>679.93604585616424</v>
      </c>
      <c r="AE29" s="557">
        <f t="shared" si="17"/>
        <v>684.76194265164725</v>
      </c>
      <c r="AF29" s="557">
        <f t="shared" si="17"/>
        <v>688.7138591869724</v>
      </c>
      <c r="AG29" s="557">
        <f t="shared" si="17"/>
        <v>692.68858312926568</v>
      </c>
    </row>
    <row r="30" spans="2:34" ht="19.399999999999999" customHeight="1" x14ac:dyDescent="0.35">
      <c r="B30" s="357" t="s">
        <v>438</v>
      </c>
      <c r="C30" s="358"/>
      <c r="D30" s="596">
        <f t="shared" ref="D30:G30" si="18">D27-D29</f>
        <v>197.57900000000001</v>
      </c>
      <c r="E30" s="554">
        <f t="shared" si="18"/>
        <v>192.47000000000003</v>
      </c>
      <c r="F30" s="554">
        <f t="shared" si="18"/>
        <v>199.52799999999996</v>
      </c>
      <c r="G30" s="554">
        <f t="shared" si="18"/>
        <v>204.03799999999995</v>
      </c>
      <c r="H30" s="554">
        <f t="shared" ref="H30:AC30" si="19">H27-H29</f>
        <v>205.62900000000002</v>
      </c>
      <c r="I30" s="554">
        <f t="shared" si="19"/>
        <v>182.31099999999998</v>
      </c>
      <c r="J30" s="554">
        <f t="shared" si="19"/>
        <v>149.15000000000003</v>
      </c>
      <c r="K30" s="554">
        <f t="shared" si="19"/>
        <v>206.93399999999991</v>
      </c>
      <c r="L30" s="554">
        <f t="shared" si="19"/>
        <v>171.84400000000005</v>
      </c>
      <c r="M30" s="554">
        <f t="shared" si="19"/>
        <v>203.541</v>
      </c>
      <c r="N30" s="554">
        <f t="shared" si="19"/>
        <v>219.31400000000008</v>
      </c>
      <c r="O30" s="554">
        <f>O27-O29</f>
        <v>207.53200000000004</v>
      </c>
      <c r="P30" s="554">
        <f>P27-P29</f>
        <v>182.45699999999999</v>
      </c>
      <c r="Q30" s="554">
        <f t="shared" si="19"/>
        <v>196.83799999999997</v>
      </c>
      <c r="R30" s="554">
        <f t="shared" si="19"/>
        <v>223.10700000000008</v>
      </c>
      <c r="S30" s="554">
        <f t="shared" si="19"/>
        <v>211.05100000000004</v>
      </c>
      <c r="T30" s="554">
        <f t="shared" si="19"/>
        <v>221.26300000000003</v>
      </c>
      <c r="U30" s="554">
        <f t="shared" si="19"/>
        <v>240.53700000000003</v>
      </c>
      <c r="V30" s="554">
        <f t="shared" si="19"/>
        <v>271.68899999999996</v>
      </c>
      <c r="W30" s="554">
        <f t="shared" si="19"/>
        <v>289.65300000000002</v>
      </c>
      <c r="X30" s="554">
        <f t="shared" si="19"/>
        <v>251.303</v>
      </c>
      <c r="Y30" s="590">
        <f t="shared" si="19"/>
        <v>303.33100000000002</v>
      </c>
      <c r="Z30" s="590">
        <f t="shared" si="19"/>
        <v>322.24348666731578</v>
      </c>
      <c r="AA30" s="590">
        <f t="shared" si="19"/>
        <v>329.08402678898142</v>
      </c>
      <c r="AB30" s="590">
        <f t="shared" si="19"/>
        <v>331.41972521239097</v>
      </c>
      <c r="AC30" s="590">
        <f t="shared" si="19"/>
        <v>333.77200142955849</v>
      </c>
      <c r="AD30" s="590">
        <f t="shared" ref="AD30:AG30" si="20">AD27-AD29</f>
        <v>336.14097310261138</v>
      </c>
      <c r="AE30" s="590">
        <f t="shared" si="20"/>
        <v>338.52675872879297</v>
      </c>
      <c r="AF30" s="590">
        <f t="shared" si="20"/>
        <v>340.48047346108353</v>
      </c>
      <c r="AG30" s="590">
        <f t="shared" si="20"/>
        <v>342.44546352436851</v>
      </c>
    </row>
    <row r="31" spans="2:34" ht="19.399999999999999" customHeight="1" x14ac:dyDescent="0.35">
      <c r="B31" s="240"/>
      <c r="C31" s="240"/>
      <c r="D31" s="555"/>
      <c r="E31" s="555"/>
      <c r="F31" s="555"/>
      <c r="G31" s="555"/>
      <c r="H31" s="555"/>
      <c r="I31" s="555"/>
      <c r="J31" s="555"/>
      <c r="K31" s="555"/>
      <c r="L31" s="555"/>
      <c r="M31" s="555"/>
      <c r="N31" s="555"/>
      <c r="O31" s="555"/>
      <c r="P31" s="555"/>
      <c r="Q31" s="555"/>
      <c r="R31" s="555"/>
      <c r="S31" s="555"/>
      <c r="T31" s="555"/>
      <c r="Y31" s="555"/>
      <c r="Z31" s="555"/>
      <c r="AA31" s="555"/>
      <c r="AB31" s="555"/>
      <c r="AC31" s="555"/>
      <c r="AD31" s="555"/>
      <c r="AE31" s="555"/>
      <c r="AF31" s="555"/>
      <c r="AG31" s="555"/>
    </row>
    <row r="32" spans="2:34" ht="19.399999999999999" customHeight="1" x14ac:dyDescent="0.35">
      <c r="B32" s="240"/>
      <c r="C32" s="240"/>
      <c r="D32" s="555"/>
      <c r="E32" s="555"/>
      <c r="F32" s="555"/>
      <c r="G32" s="555"/>
      <c r="H32" s="555"/>
      <c r="I32" s="555"/>
      <c r="J32" s="555"/>
      <c r="K32" s="555"/>
      <c r="L32" s="555"/>
      <c r="M32" s="555"/>
      <c r="N32" s="555"/>
      <c r="O32" s="555"/>
      <c r="AG32" s="555"/>
    </row>
    <row r="33" spans="2:33" ht="19.399999999999999" customHeight="1" x14ac:dyDescent="0.35">
      <c r="B33" s="240"/>
      <c r="C33" s="240"/>
      <c r="D33" s="555"/>
      <c r="E33" s="555"/>
      <c r="F33" s="555"/>
      <c r="G33" s="555"/>
      <c r="H33" s="555"/>
      <c r="I33" s="555"/>
      <c r="J33" s="555"/>
      <c r="K33" s="555"/>
      <c r="L33" s="555"/>
      <c r="M33" s="555"/>
      <c r="N33" s="555"/>
      <c r="O33" s="555"/>
      <c r="AG33" s="555"/>
    </row>
    <row r="34" spans="2:33" ht="19.399999999999999" customHeight="1" x14ac:dyDescent="0.35">
      <c r="B34" s="240"/>
      <c r="C34" s="240"/>
      <c r="D34" s="555"/>
      <c r="E34" s="555"/>
      <c r="F34" s="555"/>
      <c r="G34" s="555"/>
      <c r="H34" s="555"/>
      <c r="I34" s="555"/>
      <c r="J34" s="555"/>
      <c r="K34" s="555"/>
      <c r="L34" s="555"/>
      <c r="M34" s="555"/>
      <c r="N34" s="555"/>
      <c r="O34" s="555"/>
      <c r="P34" s="555"/>
      <c r="Q34" s="555"/>
      <c r="R34" s="555"/>
      <c r="S34" s="555"/>
      <c r="T34" s="555"/>
      <c r="Y34" s="555"/>
      <c r="Z34" s="555"/>
      <c r="AA34" s="555"/>
      <c r="AB34" s="555"/>
      <c r="AC34" s="555"/>
      <c r="AD34" s="555"/>
      <c r="AE34" s="555"/>
      <c r="AF34" s="555"/>
      <c r="AG34" s="555"/>
    </row>
    <row r="35" spans="2:33" ht="14.9" customHeight="1" x14ac:dyDescent="0.35">
      <c r="B35" s="585" t="s">
        <v>439</v>
      </c>
      <c r="C35" s="586"/>
      <c r="D35" s="586"/>
      <c r="E35" s="587"/>
      <c r="F35" s="588">
        <v>2021</v>
      </c>
      <c r="G35" s="588">
        <v>2022</v>
      </c>
      <c r="H35" s="588">
        <v>2023</v>
      </c>
      <c r="I35" s="588">
        <v>2024</v>
      </c>
      <c r="J35" s="588">
        <v>2025</v>
      </c>
      <c r="K35" s="588">
        <v>2025</v>
      </c>
      <c r="L35" s="588">
        <v>2027</v>
      </c>
      <c r="M35" s="588">
        <v>2028</v>
      </c>
      <c r="N35" s="588">
        <v>2029</v>
      </c>
      <c r="O35" s="588">
        <v>2030</v>
      </c>
      <c r="P35" s="589">
        <v>2031</v>
      </c>
    </row>
    <row r="36" spans="2:33" ht="15" customHeight="1" x14ac:dyDescent="0.35">
      <c r="B36" s="1357" t="s">
        <v>440</v>
      </c>
      <c r="C36" s="1358"/>
      <c r="D36" s="1358"/>
      <c r="E36" s="1359"/>
      <c r="F36" s="234">
        <v>287</v>
      </c>
      <c r="G36" s="234">
        <v>534</v>
      </c>
      <c r="H36" s="234">
        <v>247</v>
      </c>
      <c r="I36" s="234">
        <v>63</v>
      </c>
      <c r="J36" s="234"/>
      <c r="K36" s="234"/>
      <c r="L36" s="234"/>
      <c r="M36" s="234"/>
      <c r="N36" s="234"/>
      <c r="O36" s="234"/>
      <c r="P36" s="572"/>
    </row>
    <row r="37" spans="2:33" ht="15" customHeight="1" x14ac:dyDescent="0.35">
      <c r="B37" s="1351" t="s">
        <v>441</v>
      </c>
      <c r="C37" s="1352"/>
      <c r="D37" s="1352"/>
      <c r="E37" s="1353"/>
      <c r="F37" s="234">
        <v>0</v>
      </c>
      <c r="G37" s="234">
        <v>0</v>
      </c>
      <c r="H37" s="234">
        <v>756</v>
      </c>
      <c r="I37" s="234">
        <v>1249</v>
      </c>
      <c r="J37" s="234">
        <v>1417</v>
      </c>
      <c r="K37" s="234">
        <v>1522</v>
      </c>
      <c r="L37" s="234">
        <v>1107</v>
      </c>
      <c r="M37" s="234"/>
      <c r="N37" s="234"/>
      <c r="O37" s="234"/>
      <c r="P37" s="572"/>
    </row>
    <row r="38" spans="2:33" x14ac:dyDescent="0.35">
      <c r="B38" s="1351" t="s">
        <v>442</v>
      </c>
      <c r="C38" s="1352"/>
      <c r="D38" s="1352"/>
      <c r="E38" s="1353"/>
      <c r="F38" s="234">
        <v>0</v>
      </c>
      <c r="G38" s="234">
        <v>5</v>
      </c>
      <c r="H38" s="234">
        <v>77</v>
      </c>
      <c r="I38" s="234">
        <v>307</v>
      </c>
      <c r="J38" s="234">
        <v>332</v>
      </c>
      <c r="K38" s="234">
        <v>270</v>
      </c>
      <c r="L38" s="234">
        <v>25</v>
      </c>
      <c r="M38" s="234">
        <v>32</v>
      </c>
      <c r="N38" s="234">
        <v>40</v>
      </c>
      <c r="O38" s="234">
        <v>49</v>
      </c>
      <c r="P38" s="572">
        <v>58</v>
      </c>
    </row>
    <row r="39" spans="2:33" ht="32.9" customHeight="1" x14ac:dyDescent="0.35">
      <c r="B39" s="1354" t="s">
        <v>443</v>
      </c>
      <c r="C39" s="1355"/>
      <c r="D39" s="1355"/>
      <c r="E39" s="1356"/>
      <c r="F39" s="234">
        <v>0</v>
      </c>
      <c r="G39" s="234">
        <v>0</v>
      </c>
      <c r="H39" s="234">
        <v>3768</v>
      </c>
      <c r="I39" s="234">
        <v>3428</v>
      </c>
      <c r="J39" s="234">
        <v>2176</v>
      </c>
      <c r="K39" s="234">
        <v>2304</v>
      </c>
      <c r="L39" s="234">
        <v>2129</v>
      </c>
      <c r="M39" s="234">
        <v>1335</v>
      </c>
      <c r="N39" s="234">
        <v>478</v>
      </c>
      <c r="O39" s="234">
        <v>531</v>
      </c>
      <c r="P39" s="572">
        <v>212</v>
      </c>
    </row>
    <row r="40" spans="2:33" ht="32.9" customHeight="1" x14ac:dyDescent="0.35">
      <c r="B40" s="1354" t="s">
        <v>444</v>
      </c>
      <c r="C40" s="1355"/>
      <c r="D40" s="1355"/>
      <c r="E40" s="1356"/>
      <c r="F40" s="234">
        <v>38</v>
      </c>
      <c r="G40" s="234">
        <v>81</v>
      </c>
      <c r="H40" s="234">
        <v>43</v>
      </c>
      <c r="I40" s="234"/>
      <c r="J40" s="234"/>
      <c r="K40" s="234"/>
      <c r="L40" s="234"/>
      <c r="M40" s="234"/>
      <c r="N40" s="234"/>
      <c r="O40" s="234"/>
      <c r="P40" s="572"/>
    </row>
    <row r="41" spans="2:33" x14ac:dyDescent="0.35">
      <c r="B41" s="1351" t="s">
        <v>445</v>
      </c>
      <c r="C41" s="1352"/>
      <c r="D41" s="1352"/>
      <c r="E41" s="1353"/>
      <c r="F41" s="234"/>
      <c r="G41" s="234"/>
      <c r="H41" s="234"/>
      <c r="I41" s="234">
        <v>-184</v>
      </c>
      <c r="J41" s="234">
        <v>-1830</v>
      </c>
      <c r="K41" s="234">
        <v>-2406</v>
      </c>
      <c r="L41" s="234">
        <v>-2419</v>
      </c>
      <c r="M41" s="234">
        <v>-2467</v>
      </c>
      <c r="N41" s="234">
        <v>-2531</v>
      </c>
      <c r="O41" s="234">
        <v>-2667</v>
      </c>
      <c r="P41" s="572">
        <v>-2809</v>
      </c>
    </row>
    <row r="42" spans="2:33" ht="15.75" customHeight="1" x14ac:dyDescent="0.35">
      <c r="B42" s="1363" t="s">
        <v>446</v>
      </c>
      <c r="C42" s="1364"/>
      <c r="D42" s="1364"/>
      <c r="E42" s="1365"/>
      <c r="F42" s="234">
        <v>6524</v>
      </c>
      <c r="G42" s="234">
        <v>6143</v>
      </c>
      <c r="H42" s="234"/>
      <c r="I42" s="234"/>
      <c r="J42" s="234"/>
      <c r="K42" s="234"/>
      <c r="L42" s="234"/>
      <c r="M42" s="234"/>
      <c r="N42" s="234"/>
      <c r="O42" s="234"/>
      <c r="P42" s="572"/>
    </row>
    <row r="43" spans="2:33" x14ac:dyDescent="0.35">
      <c r="B43" s="1351" t="s">
        <v>447</v>
      </c>
      <c r="C43" s="1352"/>
      <c r="D43" s="1352"/>
      <c r="E43" s="1353"/>
      <c r="F43" s="234">
        <v>50</v>
      </c>
      <c r="G43" s="234">
        <v>175</v>
      </c>
      <c r="H43" s="234">
        <v>25</v>
      </c>
      <c r="I43" s="234"/>
      <c r="J43" s="234"/>
      <c r="K43" s="234"/>
      <c r="L43" s="234"/>
      <c r="M43" s="234"/>
      <c r="N43" s="234"/>
      <c r="O43" s="234"/>
      <c r="P43" s="572"/>
    </row>
    <row r="44" spans="2:33" x14ac:dyDescent="0.35">
      <c r="B44" s="1351" t="s">
        <v>448</v>
      </c>
      <c r="C44" s="1352"/>
      <c r="D44" s="1352"/>
      <c r="E44" s="1353"/>
      <c r="F44" s="234">
        <v>829</v>
      </c>
      <c r="G44" s="234">
        <v>844</v>
      </c>
      <c r="H44" s="234"/>
      <c r="I44" s="234"/>
      <c r="J44" s="234"/>
      <c r="K44" s="234"/>
      <c r="L44" s="234"/>
      <c r="M44" s="234"/>
      <c r="N44" s="234"/>
      <c r="O44" s="234"/>
      <c r="P44" s="572"/>
    </row>
    <row r="45" spans="2:33" x14ac:dyDescent="0.35">
      <c r="B45" s="1366" t="s">
        <v>449</v>
      </c>
      <c r="C45" s="1367"/>
      <c r="D45" s="1367"/>
      <c r="E45" s="1368"/>
      <c r="F45" s="234">
        <f t="shared" ref="F45:P45" si="21">SUM(F36:F44)</f>
        <v>7728</v>
      </c>
      <c r="G45" s="234">
        <f t="shared" si="21"/>
        <v>7782</v>
      </c>
      <c r="H45" s="234">
        <f t="shared" si="21"/>
        <v>4916</v>
      </c>
      <c r="I45" s="234">
        <f t="shared" si="21"/>
        <v>4863</v>
      </c>
      <c r="J45" s="234">
        <f t="shared" si="21"/>
        <v>2095</v>
      </c>
      <c r="K45" s="234">
        <f t="shared" si="21"/>
        <v>1690</v>
      </c>
      <c r="L45" s="234">
        <f t="shared" si="21"/>
        <v>842</v>
      </c>
      <c r="M45" s="234">
        <f t="shared" si="21"/>
        <v>-1100</v>
      </c>
      <c r="N45" s="234">
        <f t="shared" si="21"/>
        <v>-2013</v>
      </c>
      <c r="O45" s="234">
        <f t="shared" si="21"/>
        <v>-2087</v>
      </c>
      <c r="P45" s="572">
        <f t="shared" si="21"/>
        <v>-2539</v>
      </c>
    </row>
    <row r="46" spans="2:33" x14ac:dyDescent="0.35">
      <c r="B46" s="1363" t="s">
        <v>450</v>
      </c>
      <c r="C46" s="1364"/>
      <c r="D46" s="1364"/>
      <c r="E46" s="1365"/>
      <c r="F46" s="234">
        <f t="shared" ref="F46:P46" si="22">F42+F40+F39</f>
        <v>6562</v>
      </c>
      <c r="G46" s="234">
        <f t="shared" si="22"/>
        <v>6224</v>
      </c>
      <c r="H46" s="234">
        <f t="shared" si="22"/>
        <v>3811</v>
      </c>
      <c r="I46" s="234">
        <f t="shared" si="22"/>
        <v>3428</v>
      </c>
      <c r="J46" s="234">
        <f t="shared" si="22"/>
        <v>2176</v>
      </c>
      <c r="K46" s="234">
        <f t="shared" si="22"/>
        <v>2304</v>
      </c>
      <c r="L46" s="234">
        <f t="shared" si="22"/>
        <v>2129</v>
      </c>
      <c r="M46" s="234">
        <f t="shared" si="22"/>
        <v>1335</v>
      </c>
      <c r="N46" s="234">
        <f t="shared" si="22"/>
        <v>478</v>
      </c>
      <c r="O46" s="234">
        <f t="shared" si="22"/>
        <v>531</v>
      </c>
      <c r="P46" s="572">
        <f t="shared" si="22"/>
        <v>212</v>
      </c>
      <c r="Q46" s="240" t="s">
        <v>451</v>
      </c>
    </row>
    <row r="47" spans="2:33" x14ac:dyDescent="0.35">
      <c r="B47" s="1351" t="s">
        <v>452</v>
      </c>
      <c r="C47" s="1352"/>
      <c r="D47" s="1352"/>
      <c r="E47" s="1353"/>
      <c r="F47" s="234">
        <f>(F46/1000)/M27</f>
        <v>9.3078014184397161E-3</v>
      </c>
      <c r="G47" s="234">
        <f>(G46/F46)*F47</f>
        <v>8.8283687943262416E-3</v>
      </c>
      <c r="H47" s="234">
        <f>(H46/G46)*G47+H48</f>
        <v>5.4056737588652481E-3</v>
      </c>
      <c r="I47" s="234">
        <f>(I46/H46)*H47+I48</f>
        <v>4.8624113475177304E-3</v>
      </c>
      <c r="J47" s="234">
        <f>J48</f>
        <v>0</v>
      </c>
      <c r="K47" s="234">
        <f t="shared" ref="K47:L47" si="23">K48</f>
        <v>0</v>
      </c>
      <c r="L47" s="234">
        <f t="shared" si="23"/>
        <v>0</v>
      </c>
      <c r="M47" s="234"/>
      <c r="N47" s="234"/>
      <c r="O47" s="234"/>
      <c r="P47" s="572"/>
      <c r="Q47" s="240" t="s">
        <v>453</v>
      </c>
    </row>
    <row r="48" spans="2:33" ht="29.25" customHeight="1" x14ac:dyDescent="0.35">
      <c r="B48" s="548" t="s">
        <v>894</v>
      </c>
      <c r="C48" s="549"/>
      <c r="D48" s="549"/>
      <c r="E48" s="550"/>
      <c r="F48" s="234"/>
      <c r="G48" s="234"/>
      <c r="H48" s="234"/>
      <c r="I48" s="234"/>
      <c r="J48" s="234"/>
      <c r="K48" s="234"/>
      <c r="L48" s="234"/>
      <c r="M48" s="234"/>
      <c r="N48" s="234"/>
      <c r="O48" s="234"/>
      <c r="P48" s="572"/>
      <c r="Q48" s="240"/>
    </row>
    <row r="49" spans="2:16" x14ac:dyDescent="0.35">
      <c r="B49" s="1360"/>
      <c r="C49" s="1361"/>
      <c r="D49" s="1361"/>
      <c r="E49" s="1362"/>
      <c r="F49" s="566"/>
      <c r="G49" s="566"/>
      <c r="H49" s="566"/>
      <c r="I49" s="566"/>
      <c r="J49" s="566"/>
      <c r="K49" s="566"/>
      <c r="L49" s="566"/>
      <c r="M49" s="566"/>
      <c r="N49" s="566"/>
      <c r="O49" s="566"/>
      <c r="P49" s="573"/>
    </row>
  </sheetData>
  <mergeCells count="34">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5:L25"/>
    <mergeCell ref="B24:C26"/>
    <mergeCell ref="E25:H25"/>
    <mergeCell ref="B37:E37"/>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34"/>
  <sheetViews>
    <sheetView zoomScale="90" zoomScaleNormal="90" workbookViewId="0">
      <selection activeCell="N32" sqref="N32"/>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6" x14ac:dyDescent="0.35">
      <c r="B1" s="1277" t="s">
        <v>55</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6" ht="14.25" customHeight="1" x14ac:dyDescent="0.35">
      <c r="B2" s="1370" t="s">
        <v>860</v>
      </c>
      <c r="C2" s="1370"/>
      <c r="D2" s="1370"/>
      <c r="E2" s="1370"/>
      <c r="F2" s="1370"/>
      <c r="G2" s="1370"/>
      <c r="H2" s="1370"/>
      <c r="I2" s="1370"/>
      <c r="J2" s="1370"/>
      <c r="K2" s="1370"/>
      <c r="L2" s="1370"/>
      <c r="M2" s="1370"/>
      <c r="N2" s="1370"/>
      <c r="O2" s="1370"/>
      <c r="P2" s="1370"/>
      <c r="Q2" s="1370"/>
      <c r="R2" s="1370"/>
      <c r="S2" s="599"/>
      <c r="T2" s="1371" t="s">
        <v>911</v>
      </c>
      <c r="U2" s="1371"/>
      <c r="V2" s="1371"/>
      <c r="W2" s="1371"/>
      <c r="X2" s="1371"/>
      <c r="Y2" s="1371"/>
      <c r="Z2" s="1371"/>
      <c r="AA2" s="1371"/>
      <c r="AB2" s="1371"/>
      <c r="AC2" s="1371"/>
    </row>
    <row r="3" spans="2:36" x14ac:dyDescent="0.35">
      <c r="B3" s="1370"/>
      <c r="C3" s="1370"/>
      <c r="D3" s="1370"/>
      <c r="E3" s="1370"/>
      <c r="F3" s="1370"/>
      <c r="G3" s="1370"/>
      <c r="H3" s="1370"/>
      <c r="I3" s="1370"/>
      <c r="J3" s="1370"/>
      <c r="K3" s="1370"/>
      <c r="L3" s="1370"/>
      <c r="M3" s="1370"/>
      <c r="N3" s="1370"/>
      <c r="O3" s="1370"/>
      <c r="P3" s="1370"/>
      <c r="Q3" s="1370"/>
      <c r="R3" s="1370"/>
      <c r="S3" s="599"/>
      <c r="T3" s="1371"/>
      <c r="U3" s="1371"/>
      <c r="V3" s="1371"/>
      <c r="W3" s="1371"/>
      <c r="X3" s="1371"/>
      <c r="Y3" s="1371"/>
      <c r="Z3" s="1371"/>
      <c r="AA3" s="1371"/>
      <c r="AB3" s="1371"/>
      <c r="AC3" s="1371"/>
    </row>
    <row r="4" spans="2:36" ht="21" customHeight="1" x14ac:dyDescent="0.35">
      <c r="B4" s="1370"/>
      <c r="C4" s="1370"/>
      <c r="D4" s="1370"/>
      <c r="E4" s="1370"/>
      <c r="F4" s="1370"/>
      <c r="G4" s="1370"/>
      <c r="H4" s="1370"/>
      <c r="I4" s="1370"/>
      <c r="J4" s="1370"/>
      <c r="K4" s="1370"/>
      <c r="L4" s="1370"/>
      <c r="M4" s="1370"/>
      <c r="N4" s="1370"/>
      <c r="O4" s="1370"/>
      <c r="P4" s="1370"/>
      <c r="Q4" s="1370"/>
      <c r="R4" s="1370"/>
      <c r="S4" s="599"/>
      <c r="T4" s="1371"/>
      <c r="U4" s="1371"/>
      <c r="V4" s="1371"/>
      <c r="W4" s="1371"/>
      <c r="X4" s="1371"/>
      <c r="Y4" s="1371"/>
      <c r="Z4" s="1371"/>
      <c r="AA4" s="1371"/>
      <c r="AB4" s="1371"/>
      <c r="AC4" s="1371"/>
    </row>
    <row r="6" spans="2:36" x14ac:dyDescent="0.35">
      <c r="B6" s="517" t="s">
        <v>333</v>
      </c>
    </row>
    <row r="7" spans="2:36" ht="14.9" customHeight="1" x14ac:dyDescent="0.35">
      <c r="B7" s="1282" t="s">
        <v>404</v>
      </c>
      <c r="C7" s="1283"/>
      <c r="D7" s="1286" t="s">
        <v>280</v>
      </c>
      <c r="E7" s="1299"/>
      <c r="F7" s="1299"/>
      <c r="G7" s="1299"/>
      <c r="H7" s="1299"/>
      <c r="I7" s="1299"/>
      <c r="J7" s="1299"/>
      <c r="K7" s="1299"/>
      <c r="L7" s="1299"/>
      <c r="M7" s="1299"/>
      <c r="N7" s="1299"/>
      <c r="O7" s="1299"/>
      <c r="P7" s="1299"/>
      <c r="Q7" s="1299"/>
      <c r="R7" s="1299"/>
      <c r="S7" s="1299"/>
      <c r="T7" s="1299"/>
      <c r="U7" s="1300"/>
      <c r="V7" s="1285"/>
      <c r="W7" s="1311" t="s">
        <v>281</v>
      </c>
      <c r="X7" s="1312"/>
      <c r="Y7" s="1312"/>
      <c r="Z7" s="1312"/>
      <c r="AA7" s="1312"/>
      <c r="AB7" s="1312"/>
      <c r="AC7" s="1312"/>
      <c r="AD7" s="1312"/>
      <c r="AE7" s="1312"/>
      <c r="AF7" s="1312"/>
      <c r="AG7" s="1312"/>
      <c r="AH7" s="1312"/>
      <c r="AI7" s="1312"/>
      <c r="AJ7" s="1312"/>
    </row>
    <row r="8" spans="2:36" x14ac:dyDescent="0.35">
      <c r="B8" s="1284"/>
      <c r="C8" s="1285"/>
      <c r="D8" s="219">
        <v>2018</v>
      </c>
      <c r="E8" s="1291">
        <v>2019</v>
      </c>
      <c r="F8" s="1292"/>
      <c r="G8" s="1292"/>
      <c r="H8" s="1293"/>
      <c r="I8" s="1291">
        <v>2020</v>
      </c>
      <c r="J8" s="1292"/>
      <c r="K8" s="1292"/>
      <c r="L8" s="1292"/>
      <c r="M8" s="1291">
        <v>2021</v>
      </c>
      <c r="N8" s="1292"/>
      <c r="O8" s="1292"/>
      <c r="P8" s="1321"/>
      <c r="Q8" s="1291">
        <v>2022</v>
      </c>
      <c r="R8" s="1321"/>
      <c r="S8" s="1321"/>
      <c r="T8" s="1321"/>
      <c r="U8" s="239"/>
      <c r="V8" s="288">
        <v>2023</v>
      </c>
      <c r="W8" s="289"/>
      <c r="X8" s="260"/>
      <c r="Y8" s="1289">
        <v>2024</v>
      </c>
      <c r="Z8" s="1301"/>
      <c r="AA8" s="1301"/>
      <c r="AB8" s="1290"/>
      <c r="AC8" s="1288">
        <v>2025</v>
      </c>
      <c r="AD8" s="1301"/>
      <c r="AE8" s="1301"/>
      <c r="AF8" s="1290"/>
      <c r="AG8" s="1288">
        <v>2026</v>
      </c>
      <c r="AH8" s="1301"/>
      <c r="AI8" s="1301"/>
      <c r="AJ8" s="1290"/>
    </row>
    <row r="9" spans="2:36" x14ac:dyDescent="0.35">
      <c r="B9" s="1286"/>
      <c r="C9" s="1287"/>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5" t="s">
        <v>282</v>
      </c>
      <c r="U9" s="285" t="s">
        <v>283</v>
      </c>
      <c r="V9" s="286" t="s">
        <v>284</v>
      </c>
      <c r="W9" s="270" t="s">
        <v>238</v>
      </c>
      <c r="X9" s="271" t="s">
        <v>282</v>
      </c>
      <c r="Y9" s="270" t="s">
        <v>283</v>
      </c>
      <c r="Z9" s="267" t="s">
        <v>284</v>
      </c>
      <c r="AA9" s="270" t="s">
        <v>238</v>
      </c>
      <c r="AB9" s="270" t="s">
        <v>282</v>
      </c>
      <c r="AC9" s="269" t="s">
        <v>283</v>
      </c>
      <c r="AD9" s="267" t="s">
        <v>284</v>
      </c>
      <c r="AE9" s="270" t="s">
        <v>238</v>
      </c>
      <c r="AF9" s="270" t="s">
        <v>282</v>
      </c>
      <c r="AG9" s="269" t="s">
        <v>283</v>
      </c>
      <c r="AH9" s="267" t="s">
        <v>284</v>
      </c>
      <c r="AI9" s="270" t="s">
        <v>238</v>
      </c>
      <c r="AJ9" s="270" t="s">
        <v>282</v>
      </c>
    </row>
    <row r="10" spans="2:36" ht="14.9" customHeight="1" x14ac:dyDescent="0.35">
      <c r="B10" s="606" t="s">
        <v>454</v>
      </c>
      <c r="C10" s="56" t="s">
        <v>907</v>
      </c>
      <c r="D10" s="578">
        <f>'Haver Pivoted'!GO12</f>
        <v>755</v>
      </c>
      <c r="E10" s="579">
        <f>'Haver Pivoted'!GP12</f>
        <v>771.9</v>
      </c>
      <c r="F10" s="579">
        <f>'Haver Pivoted'!GQ12</f>
        <v>785.3</v>
      </c>
      <c r="G10" s="579">
        <f>'Haver Pivoted'!GR12</f>
        <v>793.9</v>
      </c>
      <c r="H10" s="579">
        <f>'Haver Pivoted'!GS12</f>
        <v>797.9</v>
      </c>
      <c r="I10" s="579">
        <f>'Haver Pivoted'!GT12</f>
        <v>798.4</v>
      </c>
      <c r="J10" s="579">
        <f>'Haver Pivoted'!GU12</f>
        <v>811.1</v>
      </c>
      <c r="K10" s="579">
        <f>'Haver Pivoted'!GV12</f>
        <v>823.1</v>
      </c>
      <c r="L10" s="579">
        <f>'Haver Pivoted'!GW12</f>
        <v>834.5</v>
      </c>
      <c r="M10" s="579">
        <f>'Haver Pivoted'!GX12</f>
        <v>849.4</v>
      </c>
      <c r="N10" s="579">
        <f>'Haver Pivoted'!GY12</f>
        <v>865.6</v>
      </c>
      <c r="O10" s="579">
        <f>'Haver Pivoted'!GZ12</f>
        <v>882.6</v>
      </c>
      <c r="P10" s="579">
        <f>'Haver Pivoted'!HA12</f>
        <v>900.3</v>
      </c>
      <c r="Q10" s="579">
        <f>'Haver Pivoted'!HB12</f>
        <v>918.2</v>
      </c>
      <c r="R10" s="579">
        <f>'Haver Pivoted'!HC12</f>
        <v>924.7</v>
      </c>
      <c r="S10" s="580">
        <f>'Haver Pivoted'!HD12</f>
        <v>927.2</v>
      </c>
      <c r="T10" s="564">
        <f>'Haver Pivoted'!HE12</f>
        <v>934.2</v>
      </c>
      <c r="U10" s="604">
        <f>'Haver Pivoted'!HF12</f>
        <v>938.1</v>
      </c>
      <c r="V10" s="580">
        <f>'Haver Pivoted'!HG12</f>
        <v>941.9</v>
      </c>
      <c r="W10" s="580">
        <f>'Haver Pivoted'!HH12</f>
        <v>946.3</v>
      </c>
      <c r="X10" s="580">
        <f>'Haver Pivoted'!HI12</f>
        <v>951.3</v>
      </c>
      <c r="Y10" s="580">
        <f>'Haver Pivoted'!HJ12</f>
        <v>965.3</v>
      </c>
      <c r="Z10" s="591">
        <f t="shared" ref="Z10:AE10" si="0">Y10*(1+Z13)+Z12</f>
        <v>980.56003292022876</v>
      </c>
      <c r="AA10" s="591">
        <f>Z10*(1+AA13)+AA12</f>
        <v>996.18777418821298</v>
      </c>
      <c r="AB10" s="591">
        <f>AA10*(1+AB13)+AB12</f>
        <v>1008.812306797969</v>
      </c>
      <c r="AC10" s="591">
        <f t="shared" si="0"/>
        <v>1021.5968281445319</v>
      </c>
      <c r="AD10" s="591">
        <f t="shared" si="0"/>
        <v>1034.5433657402616</v>
      </c>
      <c r="AE10" s="591">
        <f t="shared" si="0"/>
        <v>1047.6539727918666</v>
      </c>
      <c r="AF10" s="591">
        <f>AE10*(1+AF13)+AF12</f>
        <v>1064.1436593437684</v>
      </c>
      <c r="AG10" s="591">
        <f>AF10*(1+AG13)+AG12</f>
        <v>1080.8928874710773</v>
      </c>
      <c r="AH10" s="591">
        <f t="shared" ref="AH10:AJ10" si="1">AG10*(1+AH13)+AH12</f>
        <v>1097.9057422623216</v>
      </c>
      <c r="AI10" s="591">
        <f t="shared" si="1"/>
        <v>1115.1863731038136</v>
      </c>
      <c r="AJ10" s="591">
        <f t="shared" si="1"/>
        <v>1134.6571550482367</v>
      </c>
    </row>
    <row r="11" spans="2:36" ht="28.5" customHeight="1" x14ac:dyDescent="0.35">
      <c r="B11" s="631" t="s">
        <v>909</v>
      </c>
      <c r="C11" s="621" t="s">
        <v>520</v>
      </c>
      <c r="D11" s="632"/>
      <c r="E11" s="618"/>
      <c r="F11" s="618"/>
      <c r="G11" s="618"/>
      <c r="H11" s="618"/>
      <c r="I11" s="618"/>
      <c r="J11" s="619">
        <f>'Haver Pivoted'!GU46</f>
        <v>9.6</v>
      </c>
      <c r="K11" s="619">
        <f>'Haver Pivoted'!GV46</f>
        <v>14.4</v>
      </c>
      <c r="L11" s="619">
        <f>'Haver Pivoted'!GW46</f>
        <v>14.3</v>
      </c>
      <c r="M11" s="619">
        <f>'Haver Pivoted'!GX46</f>
        <v>15</v>
      </c>
      <c r="N11" s="619">
        <f>'Haver Pivoted'!GY46</f>
        <v>15.3</v>
      </c>
      <c r="O11" s="619">
        <f>'Haver Pivoted'!GZ46</f>
        <v>15.6</v>
      </c>
      <c r="P11" s="619">
        <f>'Haver Pivoted'!HA46</f>
        <v>15.7</v>
      </c>
      <c r="Q11" s="619">
        <f>'Haver Pivoted'!HB46</f>
        <v>15.8</v>
      </c>
      <c r="R11" s="619">
        <f>'Haver Pivoted'!HC46</f>
        <v>7.9</v>
      </c>
      <c r="S11" s="547">
        <f>'Haver Pivoted'!HD46</f>
        <v>0</v>
      </c>
      <c r="T11" s="547">
        <f>'Haver Pivoted'!HE46</f>
        <v>0</v>
      </c>
      <c r="U11" s="547">
        <f>'Haver Pivoted'!HF46</f>
        <v>0</v>
      </c>
      <c r="V11" s="547">
        <f>'Haver Pivoted'!HG46</f>
        <v>0</v>
      </c>
      <c r="W11" s="547">
        <f>'Haver Pivoted'!HH46</f>
        <v>0</v>
      </c>
      <c r="X11" s="547">
        <f>'Haver Pivoted'!HI46</f>
        <v>0</v>
      </c>
      <c r="Y11" s="547">
        <f>'Haver Pivoted'!HJ46</f>
        <v>0</v>
      </c>
      <c r="Z11" s="608">
        <f t="shared" ref="Z11" si="2">Y11</f>
        <v>0</v>
      </c>
      <c r="AA11" s="608"/>
      <c r="AB11" s="608"/>
      <c r="AC11" s="608"/>
      <c r="AD11" s="608"/>
      <c r="AE11" s="608"/>
      <c r="AF11" s="608"/>
      <c r="AG11" s="608"/>
      <c r="AH11" s="608"/>
      <c r="AI11" s="608"/>
      <c r="AJ11" s="608"/>
    </row>
    <row r="12" spans="2:36" ht="28.5" customHeight="1" x14ac:dyDescent="0.35">
      <c r="B12" s="631" t="s">
        <v>1840</v>
      </c>
      <c r="C12" s="621"/>
      <c r="D12" s="632"/>
      <c r="E12" s="618"/>
      <c r="F12" s="618"/>
      <c r="G12" s="618"/>
      <c r="H12" s="618"/>
      <c r="I12" s="618"/>
      <c r="J12" s="619"/>
      <c r="K12" s="619"/>
      <c r="L12" s="619"/>
      <c r="M12" s="619"/>
      <c r="N12" s="619"/>
      <c r="O12" s="619"/>
      <c r="P12" s="619"/>
      <c r="Q12" s="619"/>
      <c r="R12" s="619"/>
      <c r="S12" s="547"/>
      <c r="T12" s="547"/>
      <c r="U12" s="547"/>
      <c r="V12" s="547"/>
      <c r="W12" s="401">
        <v>-7</v>
      </c>
      <c r="X12" s="608"/>
      <c r="Y12" s="608">
        <v>-13.3</v>
      </c>
      <c r="Z12" s="608">
        <v>-8</v>
      </c>
      <c r="AA12" s="608">
        <v>-8</v>
      </c>
      <c r="AB12" s="608"/>
      <c r="AC12" s="608"/>
      <c r="AD12" s="608"/>
      <c r="AE12" s="608"/>
      <c r="AF12" s="608"/>
      <c r="AG12" s="608"/>
      <c r="AH12" s="608"/>
      <c r="AI12" s="608"/>
      <c r="AJ12" s="608"/>
    </row>
    <row r="13" spans="2:36" x14ac:dyDescent="0.35">
      <c r="B13" s="624" t="s">
        <v>455</v>
      </c>
      <c r="C13" s="623"/>
      <c r="D13" s="596"/>
      <c r="E13" s="554"/>
      <c r="F13" s="554"/>
      <c r="G13" s="554"/>
      <c r="H13" s="554"/>
      <c r="I13" s="554"/>
      <c r="J13" s="582"/>
      <c r="K13" s="582"/>
      <c r="L13" s="582"/>
      <c r="M13" s="582"/>
      <c r="N13" s="582">
        <f>(1 + $E$26)^0.25-1</f>
        <v>0</v>
      </c>
      <c r="O13" s="582">
        <f>(1 + $E$26)^0.25-1</f>
        <v>0</v>
      </c>
      <c r="P13" s="582">
        <f>(1 + $F$26)^0.25-1</f>
        <v>3.0584654007782985E-2</v>
      </c>
      <c r="Q13" s="582">
        <f>(1 +$F$26)^0.25-1</f>
        <v>3.0584654007782985E-2</v>
      </c>
      <c r="R13" s="582">
        <f>(1 +$F$26)^0.25-1</f>
        <v>3.0584654007782985E-2</v>
      </c>
      <c r="S13" s="620">
        <f>(1 +$F$26)^0.25-1</f>
        <v>3.0584654007782985E-2</v>
      </c>
      <c r="T13" s="620">
        <f>(1 +$G$26)^0.25-1</f>
        <v>1.0343738735768992E-2</v>
      </c>
      <c r="U13" s="620">
        <f>(1 +$G$26)^0.25-1</f>
        <v>1.0343738735768992E-2</v>
      </c>
      <c r="V13" s="620">
        <f>(1 +$G$26)^0.25-1</f>
        <v>1.0343738735768992E-2</v>
      </c>
      <c r="W13" s="582">
        <f>(1 +$G$26)^0.25-1</f>
        <v>1.0343738735768992E-2</v>
      </c>
      <c r="X13" s="609">
        <f>(1 +$H$26)^0.25-1</f>
        <v>2.4096170019920038E-2</v>
      </c>
      <c r="Y13" s="601">
        <f t="shared" ref="Y13:AA13" si="3">(1 +$H$26)^0.25-1</f>
        <v>2.4096170019920038E-2</v>
      </c>
      <c r="Z13" s="601">
        <f t="shared" si="3"/>
        <v>2.4096170019920038E-2</v>
      </c>
      <c r="AA13" s="601">
        <f t="shared" si="3"/>
        <v>2.4096170019920038E-2</v>
      </c>
      <c r="AB13" s="609">
        <f>(1 +$I$26)^0.25-1</f>
        <v>1.2672844354111534E-2</v>
      </c>
      <c r="AC13" s="601">
        <f>(1 +$I$26)^0.25-1</f>
        <v>1.2672844354111534E-2</v>
      </c>
      <c r="AD13" s="601">
        <f t="shared" ref="AD13:AE13" si="4">(1 +$I$26)^0.25-1</f>
        <v>1.2672844354111534E-2</v>
      </c>
      <c r="AE13" s="601">
        <f t="shared" si="4"/>
        <v>1.2672844354111534E-2</v>
      </c>
      <c r="AF13" s="609">
        <f>(1 +$J$26)^0.25-1</f>
        <v>1.5739630622464862E-2</v>
      </c>
      <c r="AG13" s="601">
        <f>(1 +$J$26)^0.25-1</f>
        <v>1.5739630622464862E-2</v>
      </c>
      <c r="AH13" s="601">
        <f>(1 +$J$26)^0.25-1</f>
        <v>1.5739630622464862E-2</v>
      </c>
      <c r="AI13" s="601">
        <f>(1 +$J$26)^0.25-1</f>
        <v>1.5739630622464862E-2</v>
      </c>
      <c r="AJ13" s="609">
        <f>(1 +$K$26)^0.25-1</f>
        <v>1.7459666306925525E-2</v>
      </c>
    </row>
    <row r="14" spans="2:36" ht="15.75" customHeight="1" x14ac:dyDescent="0.35">
      <c r="B14" s="622"/>
      <c r="C14" s="607"/>
      <c r="D14" s="555"/>
      <c r="E14" s="555"/>
      <c r="F14" s="555"/>
      <c r="G14" s="555"/>
      <c r="H14" s="555"/>
      <c r="I14" s="555"/>
      <c r="J14" s="559"/>
      <c r="K14" s="559"/>
      <c r="L14" s="559"/>
      <c r="M14" s="559"/>
    </row>
    <row r="15" spans="2:36" ht="15.75" customHeight="1" x14ac:dyDescent="0.35">
      <c r="B15" s="622"/>
      <c r="C15" s="607"/>
      <c r="D15" s="555"/>
      <c r="E15" s="602">
        <f t="shared" ref="E15:X15" si="5">E10-D10</f>
        <v>16.899999999999977</v>
      </c>
      <c r="F15" s="602">
        <f t="shared" si="5"/>
        <v>13.399999999999977</v>
      </c>
      <c r="G15" s="602">
        <f t="shared" si="5"/>
        <v>8.6000000000000227</v>
      </c>
      <c r="H15" s="602">
        <f t="shared" si="5"/>
        <v>4</v>
      </c>
      <c r="I15" s="602">
        <f t="shared" si="5"/>
        <v>0.5</v>
      </c>
      <c r="J15" s="602">
        <f t="shared" si="5"/>
        <v>12.700000000000045</v>
      </c>
      <c r="K15" s="602">
        <f t="shared" si="5"/>
        <v>12</v>
      </c>
      <c r="L15" s="602">
        <f t="shared" si="5"/>
        <v>11.399999999999977</v>
      </c>
      <c r="M15" s="602">
        <f t="shared" si="5"/>
        <v>14.899999999999977</v>
      </c>
      <c r="N15" s="602">
        <f t="shared" si="5"/>
        <v>16.200000000000045</v>
      </c>
      <c r="O15" s="602">
        <f t="shared" si="5"/>
        <v>17</v>
      </c>
      <c r="P15" s="602">
        <f t="shared" si="5"/>
        <v>17.699999999999932</v>
      </c>
      <c r="Q15" s="602">
        <f t="shared" si="5"/>
        <v>17.900000000000091</v>
      </c>
      <c r="R15" s="602">
        <f t="shared" si="5"/>
        <v>6.5</v>
      </c>
      <c r="S15" s="602">
        <f t="shared" si="5"/>
        <v>2.5</v>
      </c>
      <c r="T15" s="602">
        <f t="shared" si="5"/>
        <v>7</v>
      </c>
      <c r="U15" s="602">
        <f t="shared" si="5"/>
        <v>3.8999999999999773</v>
      </c>
      <c r="V15" s="602">
        <f t="shared" si="5"/>
        <v>3.7999999999999545</v>
      </c>
      <c r="W15" s="602">
        <f t="shared" si="5"/>
        <v>4.3999999999999773</v>
      </c>
      <c r="X15" s="602">
        <f t="shared" si="5"/>
        <v>5</v>
      </c>
      <c r="Y15" s="602">
        <f>Y10-X10</f>
        <v>14</v>
      </c>
      <c r="Z15" s="602">
        <f t="shared" ref="Z15:AG15" si="6">Z10-Y10</f>
        <v>15.260032920228809</v>
      </c>
      <c r="AA15" s="602">
        <f t="shared" si="6"/>
        <v>15.62774126798422</v>
      </c>
      <c r="AB15" s="602">
        <f t="shared" si="6"/>
        <v>12.624532609755988</v>
      </c>
      <c r="AC15" s="602">
        <f t="shared" si="6"/>
        <v>12.784521346562883</v>
      </c>
      <c r="AD15" s="602">
        <f t="shared" si="6"/>
        <v>12.946537595729751</v>
      </c>
      <c r="AE15" s="602">
        <f t="shared" si="6"/>
        <v>13.110607051605029</v>
      </c>
      <c r="AF15" s="602">
        <f t="shared" si="6"/>
        <v>16.489686551901741</v>
      </c>
      <c r="AG15" s="602">
        <f t="shared" si="6"/>
        <v>16.749228127308925</v>
      </c>
    </row>
    <row r="16" spans="2:36" ht="15.75" customHeight="1" x14ac:dyDescent="0.35">
      <c r="B16" s="622"/>
      <c r="C16" s="607"/>
      <c r="D16" s="555"/>
      <c r="E16" s="555"/>
      <c r="F16" s="555"/>
      <c r="G16" s="555"/>
      <c r="H16" s="555"/>
      <c r="I16" s="555"/>
      <c r="J16" s="559"/>
      <c r="K16" s="559"/>
      <c r="L16" s="559"/>
    </row>
    <row r="17" spans="2:32" x14ac:dyDescent="0.35">
      <c r="B17" s="622"/>
      <c r="C17" s="607"/>
      <c r="D17" s="555"/>
      <c r="E17" s="555"/>
      <c r="F17" s="555"/>
      <c r="G17" s="555"/>
      <c r="H17" s="555"/>
      <c r="I17" s="555"/>
      <c r="J17" s="559"/>
      <c r="K17" s="559"/>
      <c r="L17" s="559"/>
    </row>
    <row r="18" spans="2:32" x14ac:dyDescent="0.35">
      <c r="B18" s="622"/>
      <c r="C18" s="607"/>
      <c r="D18" s="555"/>
      <c r="E18" s="555"/>
      <c r="F18" s="555"/>
      <c r="G18" s="555"/>
      <c r="H18" s="555"/>
      <c r="I18" s="555"/>
      <c r="J18" s="559"/>
      <c r="K18" s="559"/>
      <c r="L18" s="559"/>
    </row>
    <row r="19" spans="2:32" ht="14.9" customHeight="1" x14ac:dyDescent="0.35">
      <c r="B19" s="517" t="s">
        <v>352</v>
      </c>
      <c r="H19" t="s">
        <v>1964</v>
      </c>
    </row>
    <row r="20" spans="2:32" x14ac:dyDescent="0.35">
      <c r="B20" s="628" t="s">
        <v>432</v>
      </c>
      <c r="C20" s="628">
        <v>2019</v>
      </c>
      <c r="D20" s="629">
        <v>2020</v>
      </c>
      <c r="E20" s="629">
        <v>2021</v>
      </c>
      <c r="F20" s="629">
        <v>2022</v>
      </c>
      <c r="G20" s="629">
        <v>2023</v>
      </c>
      <c r="H20" s="630">
        <v>2024</v>
      </c>
      <c r="I20" s="630">
        <v>2025</v>
      </c>
      <c r="J20" s="630">
        <v>2026</v>
      </c>
      <c r="K20" s="630">
        <v>2027</v>
      </c>
    </row>
    <row r="21" spans="2:32" ht="21" customHeight="1" x14ac:dyDescent="0.35">
      <c r="B21" s="614" t="s">
        <v>1965</v>
      </c>
      <c r="C21" s="612"/>
      <c r="D21" s="613"/>
      <c r="E21" s="634">
        <v>867.67600000000004</v>
      </c>
      <c r="F21" s="266">
        <v>974.649</v>
      </c>
      <c r="G21" s="266">
        <v>1008.504</v>
      </c>
      <c r="H21" s="266">
        <v>1088.6869999999999</v>
      </c>
      <c r="I21" s="266">
        <v>1144.932</v>
      </c>
      <c r="J21" s="605">
        <v>1218.7349999999999</v>
      </c>
      <c r="K21" s="611">
        <v>1306.105</v>
      </c>
      <c r="L21" s="611">
        <v>1395.152</v>
      </c>
      <c r="M21" s="611">
        <v>1492.1469999999999</v>
      </c>
      <c r="N21" s="611">
        <v>1600.472</v>
      </c>
      <c r="O21" s="611">
        <v>1717.546</v>
      </c>
      <c r="P21" s="401">
        <v>1841.902</v>
      </c>
      <c r="Q21" s="401">
        <v>1996.52</v>
      </c>
      <c r="R21" s="401">
        <v>2149.098</v>
      </c>
      <c r="S21" s="401"/>
      <c r="T21" s="401"/>
      <c r="U21" s="401"/>
      <c r="V21" s="401"/>
      <c r="W21" s="401"/>
      <c r="X21" s="401"/>
      <c r="Y21" s="401"/>
      <c r="Z21" s="401"/>
      <c r="AA21" s="401"/>
      <c r="AB21" s="401"/>
      <c r="AC21" s="401"/>
    </row>
    <row r="22" spans="2:32" ht="21" customHeight="1" x14ac:dyDescent="0.35">
      <c r="B22" s="615"/>
      <c r="C22" s="610"/>
      <c r="D22" s="611"/>
      <c r="E22" s="266">
        <f>AVERAGE(L10:O10)</f>
        <v>858.02499999999998</v>
      </c>
      <c r="F22" s="266">
        <f>AVERAGE(P10:S10)</f>
        <v>917.59999999999991</v>
      </c>
      <c r="G22" s="266">
        <f>AVERAGE(T10:W10)</f>
        <v>940.125</v>
      </c>
      <c r="H22" s="266">
        <f>AVERAGE(X10:AA10)</f>
        <v>973.33695177711047</v>
      </c>
      <c r="I22" s="266">
        <f>AVERAGE(AB10:AE10)</f>
        <v>1028.1516183686572</v>
      </c>
      <c r="J22" s="603">
        <f>AVERAGE(AF10:AI10)</f>
        <v>1089.5321655452453</v>
      </c>
      <c r="K22" s="611"/>
      <c r="L22" s="611"/>
      <c r="M22" s="611"/>
      <c r="N22" s="611"/>
      <c r="O22" s="611"/>
      <c r="P22" s="401"/>
      <c r="Q22" s="401"/>
      <c r="R22" s="401"/>
      <c r="S22" s="401"/>
      <c r="T22" s="401"/>
      <c r="U22" s="401"/>
      <c r="V22" s="401"/>
      <c r="W22" s="401"/>
      <c r="X22" s="401"/>
      <c r="Y22" s="401"/>
      <c r="Z22" s="401"/>
      <c r="AA22" s="401"/>
      <c r="AB22" s="401"/>
      <c r="AC22" s="401"/>
    </row>
    <row r="23" spans="2:32" ht="21" customHeight="1" x14ac:dyDescent="0.35">
      <c r="B23" s="633" t="s">
        <v>456</v>
      </c>
      <c r="C23" s="240"/>
      <c r="D23" s="240">
        <v>47</v>
      </c>
      <c r="E23" s="240">
        <v>48</v>
      </c>
      <c r="F23" s="56">
        <v>-50</v>
      </c>
      <c r="G23" s="56">
        <v>-45</v>
      </c>
      <c r="H23" s="56"/>
      <c r="I23" s="56"/>
      <c r="J23" s="626">
        <f>SUM(D23:G23)</f>
        <v>0</v>
      </c>
      <c r="K23">
        <v>0</v>
      </c>
      <c r="M23" s="611"/>
      <c r="N23" s="611"/>
      <c r="O23" s="611"/>
      <c r="P23" s="401"/>
      <c r="Q23" s="401"/>
      <c r="R23" s="401"/>
      <c r="S23" s="401"/>
      <c r="T23" s="401"/>
      <c r="U23" s="401"/>
      <c r="V23" s="401"/>
      <c r="W23" s="401"/>
      <c r="X23" s="401"/>
      <c r="Y23" s="401"/>
      <c r="Z23" s="401"/>
      <c r="AA23" s="401"/>
      <c r="AB23" s="401"/>
      <c r="AC23" s="401"/>
    </row>
    <row r="24" spans="2:32" x14ac:dyDescent="0.35">
      <c r="B24" s="633" t="s">
        <v>1378</v>
      </c>
      <c r="C24" s="610"/>
      <c r="D24" s="610"/>
      <c r="E24" s="610">
        <f>E21-E23</f>
        <v>819.67600000000004</v>
      </c>
      <c r="F24" s="610">
        <f>F21+F23</f>
        <v>924.649</v>
      </c>
      <c r="G24" s="610">
        <f>G21+G23</f>
        <v>963.50400000000002</v>
      </c>
      <c r="H24" s="610">
        <f>H21+H23</f>
        <v>1088.6869999999999</v>
      </c>
      <c r="I24" s="610">
        <f>I21+I23</f>
        <v>1144.932</v>
      </c>
      <c r="J24" s="610">
        <f t="shared" ref="J24:K24" si="7">J21+J23</f>
        <v>1218.7349999999999</v>
      </c>
      <c r="K24" s="610">
        <f t="shared" si="7"/>
        <v>1306.105</v>
      </c>
      <c r="N24" s="627"/>
      <c r="O24" s="607"/>
      <c r="P24" s="401"/>
      <c r="Q24" s="401"/>
      <c r="R24" s="401"/>
      <c r="S24" s="401"/>
      <c r="T24" s="401"/>
      <c r="U24" s="401"/>
      <c r="V24" s="401"/>
      <c r="W24" s="401"/>
      <c r="X24" s="401"/>
      <c r="Y24" s="401"/>
      <c r="Z24" s="401"/>
      <c r="AA24" s="401"/>
      <c r="AB24" s="401"/>
      <c r="AC24" s="401"/>
    </row>
    <row r="25" spans="2:32" x14ac:dyDescent="0.35">
      <c r="B25" s="633" t="s">
        <v>458</v>
      </c>
      <c r="C25" s="223">
        <f>AVERAGE(D10:G10)</f>
        <v>776.52499999999998</v>
      </c>
      <c r="D25" s="223">
        <f>AVERAGE(H10:K10)</f>
        <v>807.625</v>
      </c>
      <c r="E25" s="610">
        <f>AVERAGE(L10:O10)</f>
        <v>858.02499999999998</v>
      </c>
      <c r="F25" s="56"/>
      <c r="G25" s="56"/>
      <c r="H25" s="56"/>
      <c r="I25" s="56"/>
      <c r="J25" s="626"/>
      <c r="L25" s="240" t="s">
        <v>457</v>
      </c>
      <c r="P25" s="401"/>
      <c r="Q25" s="401"/>
      <c r="R25" s="401"/>
      <c r="S25" s="401"/>
      <c r="T25" s="401"/>
      <c r="U25" s="401"/>
      <c r="V25" s="401"/>
      <c r="W25" s="401"/>
      <c r="X25" s="401"/>
      <c r="Y25" s="401"/>
      <c r="Z25" s="401"/>
      <c r="AA25" s="401"/>
      <c r="AB25" s="401"/>
      <c r="AC25" s="401"/>
    </row>
    <row r="26" spans="2:32" x14ac:dyDescent="0.35">
      <c r="B26" s="616" t="s">
        <v>920</v>
      </c>
      <c r="C26" s="240"/>
      <c r="D26" s="240"/>
      <c r="E26" s="240"/>
      <c r="F26" s="240">
        <f>F24/E24-1</f>
        <v>0.12806645552632978</v>
      </c>
      <c r="G26" s="240">
        <f>G24/F24-1+G27</f>
        <v>4.2021350804467339E-2</v>
      </c>
      <c r="H26" s="240">
        <f>H24/G24-1+H27-0.03</f>
        <v>9.9924733057672716E-2</v>
      </c>
      <c r="I26" s="240">
        <f>I24/H24-1</f>
        <v>5.166315019835821E-2</v>
      </c>
      <c r="J26" s="626">
        <f>J24/I24-1</f>
        <v>6.446059678653393E-2</v>
      </c>
      <c r="K26" s="626">
        <f>K24/J24-1</f>
        <v>7.1689087455435452E-2</v>
      </c>
      <c r="P26" s="240"/>
      <c r="Q26" s="240"/>
      <c r="R26" s="240"/>
      <c r="S26" s="240"/>
      <c r="T26" s="240"/>
      <c r="U26" s="240"/>
      <c r="V26" s="240"/>
      <c r="W26" s="240"/>
      <c r="X26" s="240"/>
      <c r="Y26" s="240"/>
      <c r="Z26" s="240"/>
      <c r="AA26" s="240"/>
      <c r="AB26" s="240"/>
      <c r="AC26" s="240"/>
    </row>
    <row r="27" spans="2:32" x14ac:dyDescent="0.35">
      <c r="B27" s="617" t="s">
        <v>892</v>
      </c>
      <c r="C27" s="57"/>
      <c r="D27" s="57"/>
      <c r="E27" s="57"/>
      <c r="F27" s="57"/>
      <c r="G27" s="57">
        <v>0</v>
      </c>
      <c r="H27" s="57"/>
      <c r="I27" s="57"/>
      <c r="J27" s="225"/>
      <c r="P27" s="240"/>
      <c r="Q27" s="240"/>
      <c r="R27" s="240"/>
      <c r="S27" s="240"/>
      <c r="T27" s="240"/>
      <c r="U27" s="240"/>
      <c r="V27" s="240"/>
      <c r="W27" s="240"/>
      <c r="X27" s="240"/>
      <c r="Y27" s="240"/>
      <c r="Z27" s="240"/>
      <c r="AA27" s="240"/>
      <c r="AB27" s="240"/>
      <c r="AC27" s="240"/>
    </row>
    <row r="28" spans="2:32" x14ac:dyDescent="0.35">
      <c r="C28" s="625"/>
      <c r="D28" s="625"/>
      <c r="E28" s="625"/>
      <c r="F28" s="625"/>
      <c r="G28" s="625"/>
      <c r="H28" s="625"/>
      <c r="I28" s="625"/>
      <c r="J28" s="625"/>
      <c r="P28" s="240"/>
      <c r="Q28" s="240"/>
      <c r="R28" s="240"/>
      <c r="S28" s="240"/>
      <c r="T28" s="240"/>
      <c r="U28" s="240"/>
      <c r="V28" s="240"/>
      <c r="W28" s="240"/>
      <c r="X28" s="240"/>
      <c r="Y28" s="240"/>
      <c r="Z28" s="240"/>
      <c r="AA28" s="240"/>
      <c r="AB28" s="240"/>
      <c r="AC28" s="240"/>
    </row>
    <row r="29" spans="2:32" x14ac:dyDescent="0.35">
      <c r="P29" s="240"/>
      <c r="Q29" s="240"/>
      <c r="R29" s="240"/>
      <c r="S29" s="240"/>
      <c r="T29" s="240"/>
      <c r="U29" s="240"/>
      <c r="V29" s="240"/>
      <c r="W29" s="240"/>
      <c r="X29" s="240"/>
      <c r="Y29" s="240"/>
      <c r="Z29" s="240"/>
      <c r="AA29" s="240"/>
      <c r="AB29" s="240"/>
      <c r="AC29" s="240"/>
    </row>
    <row r="30" spans="2:32" x14ac:dyDescent="0.35">
      <c r="S30" s="240"/>
      <c r="T30" s="240"/>
      <c r="U30" s="240"/>
      <c r="V30" s="240"/>
      <c r="W30" s="240"/>
      <c r="X30" s="240"/>
      <c r="Y30" s="240"/>
      <c r="Z30" s="240"/>
      <c r="AA30" s="240"/>
      <c r="AB30" s="240"/>
      <c r="AC30" s="240"/>
      <c r="AD30" s="240"/>
      <c r="AE30" s="240"/>
      <c r="AF30" s="240"/>
    </row>
    <row r="31" spans="2:32" x14ac:dyDescent="0.35">
      <c r="P31" s="240"/>
      <c r="Q31" s="240"/>
      <c r="R31" s="240"/>
      <c r="S31" s="240"/>
      <c r="T31" s="240"/>
      <c r="U31" s="240"/>
      <c r="V31" s="240"/>
      <c r="W31" s="240"/>
      <c r="X31" s="240"/>
      <c r="Y31" s="240"/>
      <c r="Z31" s="240"/>
      <c r="AA31" s="240"/>
      <c r="AB31" s="240"/>
      <c r="AC31" s="240"/>
    </row>
    <row r="32" spans="2:32" x14ac:dyDescent="0.35">
      <c r="F32" s="56"/>
      <c r="G32" s="56"/>
      <c r="P32" s="240"/>
      <c r="Q32" s="240"/>
      <c r="R32" s="240"/>
      <c r="S32" s="240"/>
      <c r="T32" s="240"/>
      <c r="U32" s="240"/>
      <c r="V32" s="240"/>
      <c r="W32" s="240"/>
      <c r="X32" s="240"/>
      <c r="Y32" s="240"/>
      <c r="Z32" s="240"/>
      <c r="AA32" s="240"/>
      <c r="AB32" s="240"/>
      <c r="AC32" s="240"/>
    </row>
    <row r="33" spans="16:29" x14ac:dyDescent="0.35">
      <c r="P33" s="240"/>
      <c r="Q33" s="240"/>
      <c r="R33" s="240"/>
      <c r="S33" s="240"/>
      <c r="T33" s="240"/>
      <c r="U33" s="240"/>
      <c r="V33" s="240"/>
      <c r="W33" s="240"/>
      <c r="X33" s="240"/>
      <c r="Y33" s="240"/>
      <c r="Z33" s="240"/>
      <c r="AA33" s="240"/>
      <c r="AB33" s="240"/>
      <c r="AC33" s="240"/>
    </row>
    <row r="34" spans="16:29" x14ac:dyDescent="0.35">
      <c r="P34" s="240"/>
      <c r="Q34" s="240"/>
      <c r="R34" s="240"/>
      <c r="S34" s="240"/>
      <c r="T34" s="240"/>
      <c r="U34" s="240"/>
      <c r="V34" s="240"/>
      <c r="W34" s="240"/>
      <c r="X34" s="240"/>
      <c r="Y34" s="240"/>
      <c r="Z34" s="240"/>
      <c r="AA34" s="240"/>
      <c r="AB34" s="240"/>
      <c r="AC34" s="240"/>
    </row>
  </sheetData>
  <mergeCells count="13">
    <mergeCell ref="AG8:AJ8"/>
    <mergeCell ref="W7:AJ7"/>
    <mergeCell ref="B1:AC1"/>
    <mergeCell ref="B7:C9"/>
    <mergeCell ref="E8:H8"/>
    <mergeCell ref="I8:L8"/>
    <mergeCell ref="Y8:AB8"/>
    <mergeCell ref="M8:P8"/>
    <mergeCell ref="B2:R4"/>
    <mergeCell ref="T2:AC4"/>
    <mergeCell ref="Q8:T8"/>
    <mergeCell ref="D7:V7"/>
    <mergeCell ref="AC8:AF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4" sqref="C4"/>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39" t="s">
        <v>37</v>
      </c>
      <c r="B2" s="1240"/>
      <c r="C2" s="1240"/>
      <c r="D2" s="1241"/>
      <c r="E2" s="16"/>
      <c r="F2" s="16"/>
    </row>
    <row r="3" spans="1:7" ht="148.4" customHeight="1" x14ac:dyDescent="0.35">
      <c r="A3" s="19" t="s">
        <v>852</v>
      </c>
      <c r="B3" s="14" t="s">
        <v>1749</v>
      </c>
      <c r="C3" s="14" t="s">
        <v>850</v>
      </c>
      <c r="D3" s="23" t="s">
        <v>922</v>
      </c>
    </row>
    <row r="4" spans="1:7" ht="85.5" customHeight="1" x14ac:dyDescent="0.35">
      <c r="A4" s="19" t="s">
        <v>1826</v>
      </c>
      <c r="B4" s="14" t="s">
        <v>1827</v>
      </c>
      <c r="C4" s="14" t="s">
        <v>921</v>
      </c>
      <c r="D4" s="23" t="s">
        <v>922</v>
      </c>
      <c r="E4" s="14"/>
      <c r="F4" s="14"/>
    </row>
    <row r="5" spans="1:7" ht="168" customHeight="1" x14ac:dyDescent="0.35">
      <c r="A5" s="19" t="s">
        <v>840</v>
      </c>
      <c r="B5" s="14" t="s">
        <v>841</v>
      </c>
      <c r="C5" s="14" t="s">
        <v>863</v>
      </c>
      <c r="D5" s="23" t="s">
        <v>922</v>
      </c>
      <c r="E5" s="14"/>
      <c r="F5" s="14"/>
    </row>
    <row r="6" spans="1:7" ht="105" customHeight="1" x14ac:dyDescent="0.35">
      <c r="A6" s="19" t="s">
        <v>842</v>
      </c>
      <c r="B6" s="14" t="s">
        <v>38</v>
      </c>
      <c r="C6" s="14" t="s">
        <v>39</v>
      </c>
      <c r="D6" s="23" t="s">
        <v>922</v>
      </c>
      <c r="E6" s="14"/>
      <c r="F6" s="14"/>
    </row>
    <row r="7" spans="1:7" ht="61.5" customHeight="1" x14ac:dyDescent="0.35">
      <c r="A7" s="19" t="s">
        <v>1829</v>
      </c>
      <c r="B7" s="14" t="s">
        <v>1830</v>
      </c>
      <c r="C7" s="14" t="s">
        <v>1834</v>
      </c>
      <c r="D7" s="23" t="s">
        <v>922</v>
      </c>
      <c r="E7" s="14"/>
      <c r="F7" s="14"/>
    </row>
    <row r="8" spans="1:7" ht="100.4" customHeight="1" x14ac:dyDescent="0.35">
      <c r="A8" s="19" t="s">
        <v>42</v>
      </c>
      <c r="B8" s="14" t="s">
        <v>43</v>
      </c>
      <c r="C8" s="28" t="s">
        <v>44</v>
      </c>
      <c r="D8" s="23" t="s">
        <v>922</v>
      </c>
      <c r="E8" s="17"/>
      <c r="F8" s="14"/>
      <c r="G8" s="29"/>
    </row>
    <row r="9" spans="1:7" ht="78" customHeight="1" x14ac:dyDescent="0.35">
      <c r="A9" s="19" t="s">
        <v>45</v>
      </c>
      <c r="B9" s="14" t="s">
        <v>46</v>
      </c>
      <c r="C9" s="14" t="s">
        <v>869</v>
      </c>
      <c r="D9" s="23" t="s">
        <v>922</v>
      </c>
      <c r="E9" s="14"/>
      <c r="F9" s="14"/>
    </row>
    <row r="10" spans="1:7" ht="67.5" customHeight="1" x14ac:dyDescent="0.35">
      <c r="A10" s="19" t="s">
        <v>816</v>
      </c>
      <c r="B10" s="14" t="s">
        <v>826</v>
      </c>
      <c r="C10" s="14" t="s">
        <v>883</v>
      </c>
      <c r="D10" s="23" t="s">
        <v>922</v>
      </c>
      <c r="E10" s="14"/>
      <c r="F10" s="14"/>
    </row>
    <row r="11" spans="1:7" ht="63.65" customHeight="1" x14ac:dyDescent="0.35">
      <c r="A11" s="19" t="s">
        <v>47</v>
      </c>
      <c r="B11" s="14" t="s">
        <v>48</v>
      </c>
      <c r="C11" s="14" t="s">
        <v>843</v>
      </c>
      <c r="D11" s="15"/>
      <c r="E11" s="14"/>
      <c r="F11" s="14"/>
    </row>
    <row r="12" spans="1:7" ht="15" customHeight="1" x14ac:dyDescent="0.35">
      <c r="A12" s="1239" t="s">
        <v>844</v>
      </c>
      <c r="B12" s="1240"/>
      <c r="C12" s="1240"/>
      <c r="D12" s="1241"/>
      <c r="E12" s="16"/>
      <c r="F12" s="14"/>
    </row>
    <row r="13" spans="1:7" ht="29.9" customHeight="1" x14ac:dyDescent="0.35">
      <c r="A13" s="20" t="s">
        <v>9</v>
      </c>
      <c r="B13" s="1245" t="s">
        <v>846</v>
      </c>
      <c r="C13" s="1245"/>
      <c r="D13" s="24"/>
      <c r="E13" s="16"/>
      <c r="F13" s="14"/>
    </row>
    <row r="14" spans="1:7" ht="48.65" customHeight="1" x14ac:dyDescent="0.35">
      <c r="A14" s="18" t="s">
        <v>845</v>
      </c>
      <c r="B14" s="1245" t="s">
        <v>856</v>
      </c>
      <c r="C14" s="1245"/>
      <c r="D14" s="23"/>
      <c r="E14" s="16"/>
      <c r="F14" s="14"/>
    </row>
    <row r="15" spans="1:7" ht="48.65" customHeight="1" x14ac:dyDescent="0.35">
      <c r="A15" s="18" t="s">
        <v>847</v>
      </c>
      <c r="B15" s="1245" t="s">
        <v>848</v>
      </c>
      <c r="C15" s="1245"/>
      <c r="D15" s="15"/>
      <c r="E15" s="16"/>
      <c r="F15" s="14"/>
    </row>
    <row r="16" spans="1:7" x14ac:dyDescent="0.35">
      <c r="A16" s="1242" t="s">
        <v>59</v>
      </c>
      <c r="B16" s="1243"/>
      <c r="C16" s="1243"/>
      <c r="D16" s="1244"/>
      <c r="E16" s="14"/>
      <c r="F16" s="14"/>
    </row>
    <row r="17" spans="1:6" ht="36.65" customHeight="1" x14ac:dyDescent="0.35">
      <c r="A17" s="1237" t="s">
        <v>849</v>
      </c>
      <c r="B17" s="1238"/>
      <c r="C17" s="1238"/>
      <c r="D17" s="24"/>
      <c r="E17" s="14"/>
      <c r="F17" s="14"/>
    </row>
    <row r="18" spans="1:6" ht="145.5" customHeight="1" x14ac:dyDescent="0.35">
      <c r="A18" s="19" t="s">
        <v>60</v>
      </c>
      <c r="B18" s="14" t="s">
        <v>870</v>
      </c>
      <c r="C18" s="14" t="s">
        <v>877</v>
      </c>
      <c r="D18" s="23"/>
      <c r="E18" s="14"/>
      <c r="F18" s="14"/>
    </row>
    <row r="19" spans="1:6" ht="63.65" customHeight="1" x14ac:dyDescent="0.35">
      <c r="A19" s="19" t="s">
        <v>61</v>
      </c>
      <c r="B19" s="14" t="s">
        <v>871</v>
      </c>
      <c r="C19" s="14" t="s">
        <v>872</v>
      </c>
      <c r="D19" s="23"/>
      <c r="E19" s="14"/>
      <c r="F19" s="14"/>
    </row>
    <row r="20" spans="1:6" ht="63.65" customHeight="1" x14ac:dyDescent="0.35">
      <c r="A20" s="19" t="s">
        <v>873</v>
      </c>
      <c r="B20" s="14" t="s">
        <v>874</v>
      </c>
      <c r="C20" s="14" t="s">
        <v>875</v>
      </c>
      <c r="D20" s="23"/>
      <c r="E20" s="14"/>
      <c r="F20" s="14"/>
    </row>
    <row r="21" spans="1:6" ht="34.4" customHeight="1" x14ac:dyDescent="0.35">
      <c r="A21" s="1237" t="s">
        <v>823</v>
      </c>
      <c r="B21" s="1238"/>
      <c r="C21" s="1238"/>
      <c r="D21" s="15"/>
      <c r="E21" s="14"/>
      <c r="F21" s="14"/>
    </row>
    <row r="22" spans="1:6" x14ac:dyDescent="0.35">
      <c r="A22" s="1242" t="s">
        <v>62</v>
      </c>
      <c r="B22" s="1243"/>
      <c r="C22" s="1243"/>
      <c r="D22" s="1244"/>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862</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80" priority="1" operator="containsText" text="Yes">
      <formula>NOT(ISERROR(SEARCH("Yes",D3)))</formula>
    </cfRule>
  </conditionalFormatting>
  <conditionalFormatting sqref="D4:D11 D13:D15">
    <cfRule type="containsText" dxfId="79" priority="6" operator="containsText" text="Yes">
      <formula>NOT(ISERROR(SEARCH("Yes",D4)))</formula>
    </cfRule>
  </conditionalFormatting>
  <conditionalFormatting sqref="D10">
    <cfRule type="containsText" dxfId="78" priority="2" operator="containsText" text="Yes">
      <formula>NOT(ISERROR(SEARCH("Yes",D10)))</formula>
    </cfRule>
  </conditionalFormatting>
  <conditionalFormatting sqref="D17:D21">
    <cfRule type="containsText" dxfId="77" priority="3" operator="containsText" text="Yes">
      <formula>NOT(ISERROR(SEARCH("Yes",D17)))</formula>
    </cfRule>
  </conditionalFormatting>
  <conditionalFormatting sqref="D23:D26">
    <cfRule type="containsText" dxfId="76"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workbookViewId="0">
      <selection activeCell="C11" sqref="C11"/>
    </sheetView>
  </sheetViews>
  <sheetFormatPr defaultColWidth="10.90625" defaultRowHeight="14.5" x14ac:dyDescent="0.35"/>
  <sheetData>
    <row r="1" spans="2:33" x14ac:dyDescent="0.35">
      <c r="B1" s="1277" t="s">
        <v>1380</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3" x14ac:dyDescent="0.35">
      <c r="B2" s="1278" t="s">
        <v>1383</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3"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3"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3" x14ac:dyDescent="0.35">
      <c r="B5" s="399"/>
      <c r="C5" s="240"/>
      <c r="D5" s="240"/>
      <c r="E5" s="240"/>
      <c r="F5" s="240"/>
      <c r="G5" s="240"/>
      <c r="H5" s="240"/>
      <c r="I5" s="240"/>
      <c r="J5" s="240"/>
      <c r="K5" s="240"/>
      <c r="L5" s="240"/>
      <c r="M5" s="240"/>
      <c r="N5" s="240"/>
      <c r="O5" s="240"/>
      <c r="P5" s="240"/>
      <c r="Q5" s="240"/>
      <c r="R5" s="240"/>
      <c r="S5" s="240"/>
      <c r="T5" s="240"/>
      <c r="U5" s="240"/>
      <c r="V5" s="240"/>
      <c r="W5" s="240"/>
      <c r="X5" s="240"/>
      <c r="Y5" s="240"/>
    </row>
    <row r="6" spans="2:33" x14ac:dyDescent="0.35">
      <c r="B6" s="1282" t="s">
        <v>1697</v>
      </c>
      <c r="C6" s="1332"/>
      <c r="D6" s="1286" t="s">
        <v>280</v>
      </c>
      <c r="E6" s="1299"/>
      <c r="F6" s="1299"/>
      <c r="G6" s="1299"/>
      <c r="H6" s="1299"/>
      <c r="I6" s="1299"/>
      <c r="J6" s="1299"/>
      <c r="K6" s="1299"/>
      <c r="L6" s="1299"/>
      <c r="M6" s="1299"/>
      <c r="N6" s="1299"/>
      <c r="O6" s="1299"/>
      <c r="P6" s="1299"/>
      <c r="Q6" s="1300"/>
      <c r="R6" s="1300"/>
      <c r="S6" s="1300"/>
      <c r="T6" s="1300"/>
      <c r="U6" s="1300"/>
      <c r="V6" s="1285"/>
      <c r="W6" s="1311" t="s">
        <v>281</v>
      </c>
      <c r="X6" s="1312"/>
      <c r="Y6" s="1312"/>
      <c r="Z6" s="1312"/>
      <c r="AA6" s="1312"/>
      <c r="AB6" s="1312"/>
      <c r="AC6" s="1312"/>
      <c r="AD6" s="1312"/>
      <c r="AE6" s="1312"/>
      <c r="AF6" s="1312"/>
      <c r="AG6" s="1312"/>
    </row>
    <row r="7" spans="2:33" x14ac:dyDescent="0.35">
      <c r="B7" s="1284"/>
      <c r="C7" s="1285"/>
      <c r="D7" s="214">
        <v>2018</v>
      </c>
      <c r="E7" s="1279">
        <v>2019</v>
      </c>
      <c r="F7" s="1280"/>
      <c r="G7" s="1280"/>
      <c r="H7" s="1281"/>
      <c r="I7" s="1279">
        <v>2020</v>
      </c>
      <c r="J7" s="1280"/>
      <c r="K7" s="1280"/>
      <c r="L7" s="1280"/>
      <c r="M7" s="1279">
        <v>2021</v>
      </c>
      <c r="N7" s="1280"/>
      <c r="O7" s="1280"/>
      <c r="P7" s="1280"/>
      <c r="Q7" s="1308">
        <v>2022</v>
      </c>
      <c r="R7" s="1309"/>
      <c r="S7" s="288"/>
      <c r="T7" s="288"/>
      <c r="U7" s="239"/>
      <c r="V7" s="288">
        <v>2023</v>
      </c>
      <c r="W7" s="289"/>
      <c r="X7" s="260"/>
      <c r="Y7" s="1289">
        <v>2024</v>
      </c>
      <c r="Z7" s="1301"/>
      <c r="AA7" s="1301"/>
      <c r="AB7" s="1290"/>
      <c r="AC7" s="1288">
        <v>2025</v>
      </c>
      <c r="AD7" s="1301"/>
      <c r="AE7" s="1301"/>
      <c r="AF7" s="1290"/>
      <c r="AG7" s="506">
        <v>2026</v>
      </c>
    </row>
    <row r="8" spans="2:33" x14ac:dyDescent="0.35">
      <c r="B8" s="1286"/>
      <c r="C8" s="1287"/>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85" t="s">
        <v>283</v>
      </c>
      <c r="R8" s="286" t="s">
        <v>284</v>
      </c>
      <c r="S8" s="286" t="s">
        <v>238</v>
      </c>
      <c r="T8" s="286" t="s">
        <v>282</v>
      </c>
      <c r="U8" s="285" t="s">
        <v>283</v>
      </c>
      <c r="V8" s="286" t="s">
        <v>284</v>
      </c>
      <c r="W8" s="270" t="s">
        <v>238</v>
      </c>
      <c r="X8" s="271" t="s">
        <v>282</v>
      </c>
      <c r="Y8" s="270" t="s">
        <v>283</v>
      </c>
      <c r="Z8" s="267" t="s">
        <v>284</v>
      </c>
      <c r="AA8" s="270" t="s">
        <v>238</v>
      </c>
      <c r="AB8" s="270" t="s">
        <v>282</v>
      </c>
      <c r="AC8" s="269" t="s">
        <v>283</v>
      </c>
      <c r="AD8" s="267" t="s">
        <v>284</v>
      </c>
      <c r="AE8" s="270" t="s">
        <v>238</v>
      </c>
      <c r="AF8" s="270" t="s">
        <v>282</v>
      </c>
      <c r="AG8" s="269" t="s">
        <v>283</v>
      </c>
    </row>
    <row r="9" spans="2:33" x14ac:dyDescent="0.35">
      <c r="B9" s="494" t="s">
        <v>1382</v>
      </c>
      <c r="C9" s="658"/>
      <c r="D9" s="659"/>
      <c r="E9" s="658"/>
      <c r="F9" s="658"/>
      <c r="G9" s="658"/>
      <c r="H9" s="658"/>
      <c r="I9" s="658"/>
      <c r="J9" s="660"/>
      <c r="K9" s="660"/>
      <c r="L9" s="660"/>
      <c r="M9" s="660"/>
      <c r="N9" s="660"/>
      <c r="O9" s="660"/>
      <c r="P9" s="660"/>
      <c r="Q9" s="638"/>
      <c r="R9" s="639">
        <v>0</v>
      </c>
      <c r="S9" s="640">
        <v>0</v>
      </c>
      <c r="T9" s="639">
        <v>0</v>
      </c>
      <c r="U9" s="639">
        <v>0</v>
      </c>
      <c r="V9" s="639">
        <v>0</v>
      </c>
      <c r="W9" s="639">
        <v>-7.7999999999999999E-4</v>
      </c>
      <c r="X9" s="639">
        <v>-7.7999999999999999E-4</v>
      </c>
      <c r="Y9" s="639">
        <v>-9.5E-4</v>
      </c>
      <c r="Z9" s="639">
        <v>-9.5E-4</v>
      </c>
      <c r="AA9" s="639">
        <v>-9.5E-4</v>
      </c>
      <c r="AB9" s="639">
        <v>-9.5E-4</v>
      </c>
      <c r="AC9" s="639">
        <v>-9.3999999999999997E-4</v>
      </c>
      <c r="AD9" s="639">
        <v>-9.3999999999999997E-4</v>
      </c>
      <c r="AE9" s="639">
        <v>-9.3999999999999997E-4</v>
      </c>
      <c r="AF9" s="639">
        <v>-9.3999999999999997E-4</v>
      </c>
      <c r="AG9" s="640">
        <v>-9.3999999999999997E-4</v>
      </c>
    </row>
    <row r="10" spans="2:33" x14ac:dyDescent="0.35">
      <c r="B10" s="56" t="s">
        <v>1381</v>
      </c>
      <c r="C10" s="263"/>
      <c r="D10" s="583"/>
      <c r="E10" s="263"/>
      <c r="F10" s="263"/>
      <c r="G10" s="263"/>
      <c r="H10" s="263"/>
      <c r="I10" s="263"/>
      <c r="J10" s="637"/>
      <c r="K10" s="637"/>
      <c r="L10" s="637"/>
      <c r="M10" s="637"/>
      <c r="N10" s="637"/>
      <c r="O10" s="637"/>
      <c r="P10" s="637"/>
      <c r="Q10" s="637"/>
      <c r="R10" s="636"/>
      <c r="S10" s="636"/>
      <c r="T10" s="636"/>
      <c r="U10" s="636">
        <v>26095</v>
      </c>
      <c r="V10" s="636">
        <v>26404</v>
      </c>
      <c r="W10" s="636">
        <v>26686</v>
      </c>
      <c r="X10" s="636">
        <v>26931</v>
      </c>
      <c r="Y10" s="636">
        <v>27174</v>
      </c>
      <c r="Z10" s="636">
        <v>27411</v>
      </c>
      <c r="AA10" s="636">
        <v>27647</v>
      </c>
      <c r="AB10" s="636">
        <v>27893</v>
      </c>
      <c r="AC10" s="636">
        <v>28143</v>
      </c>
      <c r="AD10" s="636">
        <v>28400</v>
      </c>
      <c r="AE10" s="636">
        <v>28649</v>
      </c>
      <c r="AF10" s="636">
        <v>28910</v>
      </c>
      <c r="AG10" s="636">
        <v>28910</v>
      </c>
    </row>
    <row r="11" spans="2:33" x14ac:dyDescent="0.35">
      <c r="B11" s="56" t="s">
        <v>312</v>
      </c>
      <c r="C11" s="541"/>
      <c r="D11" s="540"/>
      <c r="E11" s="541"/>
      <c r="F11" s="541"/>
      <c r="G11" s="541"/>
      <c r="H11" s="541"/>
      <c r="I11" s="541"/>
      <c r="J11" s="657">
        <v>45</v>
      </c>
      <c r="K11" s="657">
        <v>45</v>
      </c>
      <c r="L11" s="657">
        <v>45</v>
      </c>
      <c r="M11" s="657">
        <v>45</v>
      </c>
      <c r="N11" s="657">
        <v>45</v>
      </c>
      <c r="O11" s="657">
        <v>45</v>
      </c>
      <c r="P11" s="657">
        <v>45</v>
      </c>
      <c r="Q11" s="657">
        <v>45</v>
      </c>
      <c r="R11" s="656">
        <v>45</v>
      </c>
      <c r="S11" s="656">
        <v>45</v>
      </c>
      <c r="T11" s="656">
        <v>45</v>
      </c>
      <c r="U11" s="661">
        <v>45</v>
      </c>
      <c r="V11" s="661">
        <v>45</v>
      </c>
      <c r="W11" s="661">
        <f>W9*W10*(-1)*0.1</f>
        <v>2.0815079999999999</v>
      </c>
      <c r="X11" s="661">
        <f t="shared" ref="X11:AG11" si="0">X9*X10*(-1)*0.1</f>
        <v>2.1006180000000003</v>
      </c>
      <c r="Y11" s="661">
        <f t="shared" si="0"/>
        <v>2.5815300000000003</v>
      </c>
      <c r="Z11" s="661">
        <f t="shared" si="0"/>
        <v>2.6040450000000002</v>
      </c>
      <c r="AA11" s="661">
        <f t="shared" si="0"/>
        <v>2.626465</v>
      </c>
      <c r="AB11" s="661">
        <f t="shared" si="0"/>
        <v>2.6498349999999999</v>
      </c>
      <c r="AC11" s="661">
        <f t="shared" si="0"/>
        <v>2.6454420000000001</v>
      </c>
      <c r="AD11" s="661">
        <f t="shared" si="0"/>
        <v>2.6696</v>
      </c>
      <c r="AE11" s="661">
        <f t="shared" si="0"/>
        <v>2.693006</v>
      </c>
      <c r="AF11" s="661">
        <f t="shared" si="0"/>
        <v>2.7175400000000001</v>
      </c>
      <c r="AG11" s="661">
        <f t="shared" si="0"/>
        <v>2.7175400000000001</v>
      </c>
    </row>
    <row r="12" spans="2:33" x14ac:dyDescent="0.35">
      <c r="B12" s="56"/>
      <c r="C12" s="263"/>
      <c r="D12" s="263"/>
      <c r="E12" s="263"/>
      <c r="F12" s="263"/>
      <c r="G12" s="263"/>
      <c r="H12" s="263"/>
      <c r="I12" s="263"/>
      <c r="J12" s="637"/>
      <c r="K12" s="637"/>
      <c r="L12" s="637"/>
      <c r="M12" s="637"/>
      <c r="N12" s="637"/>
      <c r="O12" s="637"/>
      <c r="P12" s="637"/>
      <c r="Q12" s="637"/>
      <c r="R12" s="636"/>
      <c r="S12" s="636"/>
      <c r="T12" s="636"/>
      <c r="U12" s="70"/>
      <c r="V12" s="70"/>
      <c r="W12" s="70"/>
      <c r="X12" s="70"/>
      <c r="Y12" s="70"/>
      <c r="Z12" s="70"/>
      <c r="AA12" s="70"/>
      <c r="AB12" s="70"/>
      <c r="AC12" s="70"/>
      <c r="AD12" s="70"/>
      <c r="AE12" s="70"/>
      <c r="AF12" s="70"/>
      <c r="AG12" s="70"/>
    </row>
    <row r="13" spans="2:33" x14ac:dyDescent="0.35">
      <c r="B13" s="240"/>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56"/>
      <c r="AA13" s="56"/>
      <c r="AB13" s="56"/>
      <c r="AC13" s="56"/>
    </row>
    <row r="14" spans="2:33" x14ac:dyDescent="0.35">
      <c r="B14" s="1233" t="s">
        <v>1752</v>
      </c>
      <c r="C14" s="1233"/>
      <c r="D14" s="1233"/>
      <c r="E14" s="1233"/>
      <c r="F14" s="1233"/>
      <c r="G14" s="1233"/>
      <c r="H14" s="1233"/>
      <c r="I14" s="1233"/>
      <c r="J14" s="1233"/>
      <c r="K14" s="1233"/>
      <c r="L14" s="1233"/>
      <c r="M14" s="1233"/>
      <c r="N14" s="1233"/>
      <c r="O14" s="1233"/>
      <c r="P14" s="1233"/>
      <c r="Q14" s="1233"/>
      <c r="R14" s="1233"/>
      <c r="S14" s="1233"/>
      <c r="T14" s="1233"/>
      <c r="U14" s="1233"/>
      <c r="V14" s="1233"/>
      <c r="W14" s="1233"/>
      <c r="X14" s="1233"/>
      <c r="Y14" s="1233"/>
      <c r="Z14" s="1233"/>
      <c r="AA14" s="1233"/>
      <c r="AB14" s="1233"/>
      <c r="AC14" s="1233"/>
      <c r="AD14" s="1233"/>
      <c r="AE14" s="1233"/>
      <c r="AF14" s="1233"/>
    </row>
    <row r="15" spans="2:33" x14ac:dyDescent="0.35">
      <c r="B15" s="1282" t="s">
        <v>1696</v>
      </c>
      <c r="C15" s="1332"/>
      <c r="D15" s="1348" t="s">
        <v>280</v>
      </c>
      <c r="E15" s="1349"/>
      <c r="F15" s="1349"/>
      <c r="G15" s="1349"/>
      <c r="H15" s="1349"/>
      <c r="I15" s="1349"/>
      <c r="J15" s="1349"/>
      <c r="K15" s="1349"/>
      <c r="L15" s="1349"/>
      <c r="M15" s="1349"/>
      <c r="N15" s="1349"/>
      <c r="O15" s="1349"/>
      <c r="P15" s="1349"/>
      <c r="Q15" s="1349"/>
      <c r="R15" s="1349"/>
      <c r="S15" s="1349"/>
      <c r="T15" s="1349"/>
      <c r="U15" s="1349"/>
      <c r="V15" s="1349"/>
      <c r="W15" s="1312" t="s">
        <v>281</v>
      </c>
      <c r="X15" s="1312"/>
      <c r="Y15" s="1312"/>
      <c r="Z15" s="1312"/>
      <c r="AA15" s="1312"/>
      <c r="AB15" s="1312"/>
      <c r="AC15" s="1312"/>
      <c r="AD15" s="1312"/>
      <c r="AE15" s="1312"/>
      <c r="AF15" s="1312"/>
      <c r="AG15" s="1312"/>
    </row>
    <row r="16" spans="2:33" x14ac:dyDescent="0.35">
      <c r="B16" s="1284"/>
      <c r="C16" s="1285"/>
      <c r="D16" s="214">
        <v>2018</v>
      </c>
      <c r="E16" s="1279">
        <v>2019</v>
      </c>
      <c r="F16" s="1280"/>
      <c r="G16" s="1280"/>
      <c r="H16" s="1281"/>
      <c r="I16" s="1279">
        <v>2020</v>
      </c>
      <c r="J16" s="1280"/>
      <c r="K16" s="1280"/>
      <c r="L16" s="1280"/>
      <c r="M16" s="1279">
        <v>2021</v>
      </c>
      <c r="N16" s="1280"/>
      <c r="O16" s="1280"/>
      <c r="P16" s="1280"/>
      <c r="Q16" s="1308">
        <v>2022</v>
      </c>
      <c r="R16" s="1372"/>
      <c r="S16" s="288"/>
      <c r="T16" s="296"/>
      <c r="U16" s="239"/>
      <c r="V16" s="288">
        <v>2023</v>
      </c>
      <c r="W16" s="556"/>
      <c r="X16" s="556"/>
      <c r="Y16" s="1288">
        <v>2024</v>
      </c>
      <c r="Z16" s="1301"/>
      <c r="AA16" s="1301"/>
      <c r="AB16" s="1290"/>
      <c r="AC16" s="1288">
        <v>2025</v>
      </c>
      <c r="AD16" s="1301"/>
      <c r="AE16" s="1301"/>
      <c r="AF16" s="1290"/>
      <c r="AG16" s="506">
        <v>2026</v>
      </c>
    </row>
    <row r="17" spans="2:33" x14ac:dyDescent="0.35">
      <c r="B17" s="1286"/>
      <c r="C17" s="1287"/>
      <c r="D17" s="214" t="s">
        <v>282</v>
      </c>
      <c r="E17" s="214" t="s">
        <v>283</v>
      </c>
      <c r="F17" s="215" t="s">
        <v>284</v>
      </c>
      <c r="G17" s="215" t="s">
        <v>238</v>
      </c>
      <c r="H17" s="216" t="s">
        <v>282</v>
      </c>
      <c r="I17" s="215" t="s">
        <v>283</v>
      </c>
      <c r="J17" s="215" t="s">
        <v>284</v>
      </c>
      <c r="K17" s="215" t="s">
        <v>238</v>
      </c>
      <c r="L17" s="215" t="s">
        <v>282</v>
      </c>
      <c r="M17" s="214" t="s">
        <v>283</v>
      </c>
      <c r="N17" s="215" t="s">
        <v>284</v>
      </c>
      <c r="O17" s="215" t="s">
        <v>238</v>
      </c>
      <c r="P17" s="215" t="s">
        <v>282</v>
      </c>
      <c r="Q17" s="285" t="s">
        <v>283</v>
      </c>
      <c r="R17" s="286" t="s">
        <v>284</v>
      </c>
      <c r="S17" s="286" t="s">
        <v>238</v>
      </c>
      <c r="T17" s="284" t="s">
        <v>282</v>
      </c>
      <c r="U17" s="285" t="s">
        <v>283</v>
      </c>
      <c r="V17" s="286" t="s">
        <v>284</v>
      </c>
      <c r="W17" s="270" t="s">
        <v>238</v>
      </c>
      <c r="X17" s="270" t="s">
        <v>282</v>
      </c>
      <c r="Y17" s="269" t="s">
        <v>283</v>
      </c>
      <c r="Z17" s="267" t="s">
        <v>284</v>
      </c>
      <c r="AA17" s="270" t="s">
        <v>238</v>
      </c>
      <c r="AB17" s="271" t="s">
        <v>282</v>
      </c>
      <c r="AC17" s="269" t="s">
        <v>283</v>
      </c>
      <c r="AD17" s="267" t="s">
        <v>284</v>
      </c>
      <c r="AE17" s="270" t="s">
        <v>238</v>
      </c>
      <c r="AF17" s="270" t="s">
        <v>282</v>
      </c>
      <c r="AG17" s="269" t="s">
        <v>283</v>
      </c>
    </row>
    <row r="18" spans="2:33" x14ac:dyDescent="0.35">
      <c r="B18" s="494" t="s">
        <v>1382</v>
      </c>
      <c r="C18" s="644"/>
      <c r="D18" s="645"/>
      <c r="E18" s="644"/>
      <c r="F18" s="644"/>
      <c r="G18" s="644"/>
      <c r="H18" s="644"/>
      <c r="I18" s="644"/>
      <c r="J18" s="646"/>
      <c r="K18" s="646"/>
      <c r="L18" s="646"/>
      <c r="M18" s="646"/>
      <c r="N18" s="646"/>
      <c r="O18" s="646"/>
      <c r="P18" s="646"/>
      <c r="Q18" s="646"/>
      <c r="R18" s="647">
        <v>0</v>
      </c>
      <c r="S18" s="641">
        <v>0</v>
      </c>
      <c r="T18" s="643">
        <v>0</v>
      </c>
      <c r="U18" s="643">
        <v>-7.7999999999999999E-4</v>
      </c>
      <c r="V18" s="643">
        <v>-7.7999999999999999E-4</v>
      </c>
      <c r="W18" s="643">
        <v>-7.7999999999999999E-4</v>
      </c>
      <c r="X18" s="643">
        <v>-7.7999999999999999E-4</v>
      </c>
      <c r="Y18" s="643">
        <v>-9.5E-4</v>
      </c>
      <c r="Z18" s="643">
        <v>-9.5E-4</v>
      </c>
      <c r="AA18" s="643">
        <v>-9.5E-4</v>
      </c>
      <c r="AB18" s="643">
        <v>-9.5E-4</v>
      </c>
      <c r="AC18" s="643">
        <v>-9.3999999999999997E-4</v>
      </c>
      <c r="AD18" s="643">
        <v>-9.3999999999999997E-4</v>
      </c>
      <c r="AE18" s="643">
        <v>-9.3999999999999997E-4</v>
      </c>
      <c r="AF18" s="643">
        <v>-9.3999999999999997E-4</v>
      </c>
      <c r="AG18" s="641">
        <v>-9.3999999999999997E-4</v>
      </c>
    </row>
    <row r="19" spans="2:33" x14ac:dyDescent="0.35">
      <c r="B19" s="56" t="s">
        <v>1381</v>
      </c>
      <c r="C19" s="648"/>
      <c r="D19" s="649"/>
      <c r="E19" s="648"/>
      <c r="F19" s="648"/>
      <c r="G19" s="648"/>
      <c r="H19" s="648"/>
      <c r="I19" s="648"/>
      <c r="J19" s="650"/>
      <c r="K19" s="650"/>
      <c r="L19" s="650"/>
      <c r="M19" s="650"/>
      <c r="N19" s="650"/>
      <c r="O19" s="650"/>
      <c r="P19" s="650"/>
      <c r="Q19" s="650"/>
      <c r="R19" s="642"/>
      <c r="S19" s="642"/>
      <c r="T19" s="642"/>
      <c r="U19" s="642">
        <v>26095</v>
      </c>
      <c r="V19" s="642">
        <v>26404</v>
      </c>
      <c r="W19" s="642">
        <v>26686</v>
      </c>
      <c r="X19" s="642">
        <v>26931</v>
      </c>
      <c r="Y19" s="642">
        <v>27174</v>
      </c>
      <c r="Z19" s="642">
        <v>27411</v>
      </c>
      <c r="AA19" s="642">
        <v>27647</v>
      </c>
      <c r="AB19" s="642">
        <v>27893</v>
      </c>
      <c r="AC19" s="642">
        <v>28143</v>
      </c>
      <c r="AD19" s="642">
        <v>28400</v>
      </c>
      <c r="AE19" s="642">
        <v>28649</v>
      </c>
      <c r="AF19" s="642">
        <v>28910</v>
      </c>
      <c r="AG19" s="642">
        <v>28910</v>
      </c>
    </row>
    <row r="20" spans="2:33" x14ac:dyDescent="0.35">
      <c r="B20" s="56" t="s">
        <v>312</v>
      </c>
      <c r="C20" s="651"/>
      <c r="D20" s="652"/>
      <c r="E20" s="651"/>
      <c r="F20" s="651"/>
      <c r="G20" s="651"/>
      <c r="H20" s="651"/>
      <c r="I20" s="651"/>
      <c r="J20" s="653"/>
      <c r="K20" s="653"/>
      <c r="L20" s="653"/>
      <c r="M20" s="653"/>
      <c r="N20" s="653"/>
      <c r="O20" s="653"/>
      <c r="P20" s="653"/>
      <c r="Q20" s="653"/>
      <c r="R20" s="654">
        <f>R18*R19</f>
        <v>0</v>
      </c>
      <c r="S20" s="654">
        <f t="shared" ref="S20:T20" si="1">S18*S19</f>
        <v>0</v>
      </c>
      <c r="T20" s="654">
        <f t="shared" si="1"/>
        <v>0</v>
      </c>
      <c r="U20" s="655">
        <f>U18*U19*-1</f>
        <v>20.354099999999999</v>
      </c>
      <c r="V20" s="655">
        <f t="shared" ref="V20:AF20" si="2">V18*V19*-1</f>
        <v>20.595119999999998</v>
      </c>
      <c r="W20" s="655">
        <f t="shared" si="2"/>
        <v>20.815079999999998</v>
      </c>
      <c r="X20" s="655">
        <f t="shared" si="2"/>
        <v>21.006180000000001</v>
      </c>
      <c r="Y20" s="655">
        <f t="shared" si="2"/>
        <v>25.815300000000001</v>
      </c>
      <c r="Z20" s="655">
        <f t="shared" si="2"/>
        <v>26.04045</v>
      </c>
      <c r="AA20" s="655">
        <f t="shared" si="2"/>
        <v>26.26465</v>
      </c>
      <c r="AB20" s="655">
        <f t="shared" si="2"/>
        <v>26.498349999999999</v>
      </c>
      <c r="AC20" s="655">
        <f t="shared" si="2"/>
        <v>26.454419999999999</v>
      </c>
      <c r="AD20" s="655">
        <f t="shared" si="2"/>
        <v>26.695999999999998</v>
      </c>
      <c r="AE20" s="655">
        <f t="shared" si="2"/>
        <v>26.930059999999997</v>
      </c>
      <c r="AF20" s="655">
        <f t="shared" si="2"/>
        <v>27.1754</v>
      </c>
      <c r="AG20" s="655">
        <f t="shared" ref="AG20" si="3">AG18*AG19*-1</f>
        <v>27.1754</v>
      </c>
    </row>
    <row r="23" spans="2:33" x14ac:dyDescent="0.35">
      <c r="C23" t="s">
        <v>1842</v>
      </c>
      <c r="F23" s="635" t="s">
        <v>1841</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04"/>
  <sheetViews>
    <sheetView topLeftCell="A82" zoomScale="90" zoomScaleNormal="85" workbookViewId="0">
      <selection activeCell="E111" sqref="E111"/>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80" t="s">
        <v>465</v>
      </c>
      <c r="C1" s="1380"/>
      <c r="D1" s="1380"/>
      <c r="E1" s="1380"/>
      <c r="F1" s="1380"/>
      <c r="G1" s="1380"/>
      <c r="H1" s="1380"/>
      <c r="I1" s="1380"/>
      <c r="J1" s="1380"/>
      <c r="K1" s="1380"/>
      <c r="L1" s="1380"/>
      <c r="M1" s="1380"/>
      <c r="N1" s="1380"/>
      <c r="O1" s="1380"/>
      <c r="P1" s="1380"/>
      <c r="Q1" s="1380"/>
      <c r="R1" s="1380"/>
      <c r="S1" s="1380"/>
      <c r="T1" s="1380"/>
      <c r="U1" s="1380"/>
      <c r="V1" s="1380"/>
      <c r="W1" s="1380"/>
      <c r="X1" s="1380"/>
      <c r="Y1" s="1380"/>
      <c r="Z1" s="1380"/>
      <c r="AA1" s="1380"/>
      <c r="AB1" s="1380"/>
      <c r="AC1" s="1380"/>
    </row>
    <row r="2" spans="2:33" ht="34.5" hidden="1" customHeight="1" outlineLevel="1" x14ac:dyDescent="0.35">
      <c r="B2" s="1278" t="s">
        <v>861</v>
      </c>
      <c r="C2" s="1314"/>
      <c r="D2" s="1314"/>
      <c r="E2" s="1314"/>
      <c r="F2" s="1314"/>
      <c r="G2" s="1314"/>
      <c r="H2" s="1314"/>
      <c r="I2" s="1314"/>
      <c r="J2" s="1314"/>
      <c r="K2" s="1314"/>
      <c r="L2" s="1314"/>
      <c r="M2" s="1314"/>
      <c r="N2" s="1314"/>
      <c r="O2" s="1314"/>
      <c r="P2" s="1314"/>
      <c r="Q2" s="1314"/>
      <c r="R2" s="1314"/>
      <c r="S2" s="1314"/>
      <c r="T2" s="1314"/>
      <c r="U2" s="1314"/>
      <c r="V2" s="1314"/>
      <c r="W2" s="1314"/>
      <c r="X2" s="1314"/>
      <c r="Y2" s="1314"/>
      <c r="Z2" s="1314"/>
      <c r="AA2" s="1314"/>
      <c r="AB2" s="1314"/>
      <c r="AC2" s="1314"/>
    </row>
    <row r="3" spans="2:33" ht="3" hidden="1" customHeight="1" outlineLevel="1" x14ac:dyDescent="0.35">
      <c r="B3" s="1314"/>
      <c r="C3" s="1314"/>
      <c r="D3" s="1314"/>
      <c r="E3" s="1314"/>
      <c r="F3" s="1314"/>
      <c r="G3" s="1314"/>
      <c r="H3" s="1314"/>
      <c r="I3" s="1314"/>
      <c r="J3" s="1314"/>
      <c r="K3" s="1314"/>
      <c r="L3" s="1314"/>
      <c r="M3" s="1314"/>
      <c r="N3" s="1314"/>
      <c r="O3" s="1314"/>
      <c r="P3" s="1314"/>
      <c r="Q3" s="1314"/>
      <c r="R3" s="1314"/>
      <c r="S3" s="1314"/>
      <c r="T3" s="1314"/>
      <c r="U3" s="1314"/>
      <c r="V3" s="1314"/>
      <c r="W3" s="1314"/>
      <c r="X3" s="1314"/>
      <c r="Y3" s="1314"/>
      <c r="Z3" s="1314"/>
      <c r="AA3" s="1314"/>
      <c r="AB3" s="1314"/>
      <c r="AC3" s="1314"/>
    </row>
    <row r="4" spans="2:33" ht="10.4" hidden="1" customHeight="1" outlineLevel="1" x14ac:dyDescent="0.35">
      <c r="B4" s="1314"/>
      <c r="C4" s="1314"/>
      <c r="D4" s="1314"/>
      <c r="E4" s="1314"/>
      <c r="F4" s="1314"/>
      <c r="G4" s="1314"/>
      <c r="H4" s="1314"/>
      <c r="I4" s="1314"/>
      <c r="J4" s="1314"/>
      <c r="K4" s="1314"/>
      <c r="L4" s="1314"/>
      <c r="M4" s="1314"/>
      <c r="N4" s="1314"/>
      <c r="O4" s="1314"/>
      <c r="P4" s="1314"/>
      <c r="Q4" s="1314"/>
      <c r="R4" s="1314"/>
      <c r="S4" s="1314"/>
      <c r="T4" s="1314"/>
      <c r="U4" s="1314"/>
      <c r="V4" s="1314"/>
      <c r="W4" s="1314"/>
      <c r="X4" s="1314"/>
      <c r="Y4" s="1314"/>
      <c r="Z4" s="1314"/>
      <c r="AA4" s="1314"/>
      <c r="AB4" s="1314"/>
      <c r="AC4" s="1314"/>
    </row>
    <row r="5" spans="2:33" ht="14.25" hidden="1" customHeight="1" outlineLevel="1" x14ac:dyDescent="0.35">
      <c r="B5" s="1314"/>
      <c r="C5" s="1314"/>
      <c r="D5" s="1314"/>
      <c r="E5" s="1314"/>
      <c r="F5" s="1314"/>
      <c r="G5" s="1314"/>
      <c r="H5" s="1314"/>
      <c r="I5" s="1314"/>
      <c r="J5" s="1314"/>
      <c r="K5" s="1314"/>
      <c r="L5" s="1314"/>
      <c r="M5" s="1314"/>
      <c r="N5" s="1314"/>
      <c r="O5" s="1314"/>
      <c r="P5" s="1314"/>
      <c r="Q5" s="1314"/>
      <c r="R5" s="1314"/>
      <c r="S5" s="1314"/>
      <c r="T5" s="1314"/>
      <c r="U5" s="1314"/>
      <c r="V5" s="1314"/>
      <c r="W5" s="1314"/>
      <c r="X5" s="1314"/>
      <c r="Y5" s="1314"/>
      <c r="Z5" s="1314"/>
      <c r="AA5" s="1314"/>
      <c r="AB5" s="1314"/>
      <c r="AC5" s="1314"/>
    </row>
    <row r="6" spans="2:33" ht="14.25" hidden="1" customHeight="1" outlineLevel="1" x14ac:dyDescent="0.35">
      <c r="B6" s="1314"/>
      <c r="C6" s="1314"/>
      <c r="D6" s="1314"/>
      <c r="E6" s="1314"/>
      <c r="F6" s="1314"/>
      <c r="G6" s="1314"/>
      <c r="H6" s="1314"/>
      <c r="I6" s="1314"/>
      <c r="J6" s="1314"/>
      <c r="K6" s="1314"/>
      <c r="L6" s="1314"/>
      <c r="M6" s="1314"/>
      <c r="N6" s="1314"/>
      <c r="O6" s="1314"/>
      <c r="P6" s="1314"/>
      <c r="Q6" s="1314"/>
      <c r="R6" s="1314"/>
      <c r="S6" s="1314"/>
      <c r="T6" s="1314"/>
      <c r="U6" s="1314"/>
      <c r="V6" s="1314"/>
      <c r="W6" s="1314"/>
      <c r="X6" s="1314"/>
      <c r="Y6" s="1314"/>
      <c r="Z6" s="1314"/>
      <c r="AA6" s="1314"/>
      <c r="AB6" s="1314"/>
      <c r="AC6" s="1314"/>
    </row>
    <row r="7" spans="2:33" x14ac:dyDescent="0.35">
      <c r="B7" s="730" t="s">
        <v>333</v>
      </c>
      <c r="C7" s="265"/>
      <c r="D7" s="265"/>
      <c r="E7" s="265"/>
      <c r="F7" s="265"/>
      <c r="G7" s="265"/>
      <c r="H7" s="266"/>
      <c r="I7" s="266"/>
      <c r="J7" s="266"/>
      <c r="K7" s="266"/>
      <c r="L7" s="266"/>
      <c r="M7" s="266"/>
      <c r="N7" s="266"/>
      <c r="O7" s="266"/>
      <c r="P7" s="266"/>
      <c r="Q7" s="266"/>
      <c r="R7" s="266"/>
      <c r="S7" s="266"/>
      <c r="T7" s="266"/>
      <c r="U7" s="266"/>
    </row>
    <row r="8" spans="2:33" ht="14.9" customHeight="1" x14ac:dyDescent="0.35">
      <c r="B8" s="690" t="s">
        <v>304</v>
      </c>
      <c r="C8" s="691"/>
      <c r="D8" s="694" t="s">
        <v>280</v>
      </c>
      <c r="E8" s="695"/>
      <c r="F8" s="695"/>
      <c r="G8" s="695"/>
      <c r="H8" s="695"/>
      <c r="I8" s="695"/>
      <c r="J8" s="695"/>
      <c r="K8" s="695"/>
      <c r="L8" s="695"/>
      <c r="M8" s="695"/>
      <c r="N8" s="695"/>
      <c r="O8" s="695"/>
      <c r="P8" s="1299"/>
      <c r="Q8" s="1299"/>
      <c r="R8" s="1299"/>
      <c r="S8" s="1299"/>
      <c r="T8" s="1299"/>
      <c r="U8" s="1299"/>
      <c r="V8" s="1287"/>
      <c r="W8" s="1322" t="s">
        <v>281</v>
      </c>
      <c r="X8" s="1323"/>
      <c r="Y8" s="1323"/>
      <c r="Z8" s="1323"/>
      <c r="AA8" s="1323"/>
      <c r="AB8" s="1323"/>
      <c r="AC8" s="1323"/>
      <c r="AD8" s="1323"/>
      <c r="AE8" s="1323"/>
      <c r="AF8" s="1323"/>
      <c r="AG8" s="1323"/>
    </row>
    <row r="9" spans="2:33" ht="14.9" customHeight="1" x14ac:dyDescent="0.35">
      <c r="B9" s="692"/>
      <c r="C9" s="693"/>
      <c r="D9" s="219">
        <v>2018</v>
      </c>
      <c r="E9" s="1291">
        <v>2019</v>
      </c>
      <c r="F9" s="1292"/>
      <c r="G9" s="1292"/>
      <c r="H9" s="1293"/>
      <c r="I9" s="1291">
        <v>2020</v>
      </c>
      <c r="J9" s="1292"/>
      <c r="K9" s="1292"/>
      <c r="L9" s="1292"/>
      <c r="M9" s="1291">
        <v>2021</v>
      </c>
      <c r="N9" s="1292"/>
      <c r="O9" s="1292"/>
      <c r="P9" s="1292"/>
      <c r="Q9" s="1291">
        <v>2022</v>
      </c>
      <c r="R9" s="1321"/>
      <c r="S9" s="1321"/>
      <c r="T9" s="1293"/>
      <c r="U9" s="288"/>
      <c r="V9" s="288">
        <v>2023</v>
      </c>
      <c r="W9" s="556"/>
      <c r="X9" s="260"/>
      <c r="Y9" s="1288">
        <v>2024</v>
      </c>
      <c r="Z9" s="1301"/>
      <c r="AA9" s="1301"/>
      <c r="AB9" s="1290"/>
      <c r="AC9" s="1288">
        <v>2025</v>
      </c>
      <c r="AD9" s="1301"/>
      <c r="AE9" s="1301"/>
      <c r="AF9" s="1289"/>
      <c r="AG9" s="326">
        <v>2026</v>
      </c>
    </row>
    <row r="10" spans="2:33" x14ac:dyDescent="0.35">
      <c r="B10" s="692"/>
      <c r="C10" s="693"/>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5" t="s">
        <v>283</v>
      </c>
      <c r="V10" s="286" t="s">
        <v>284</v>
      </c>
      <c r="W10" s="270" t="s">
        <v>238</v>
      </c>
      <c r="X10" s="271" t="s">
        <v>282</v>
      </c>
      <c r="Y10" s="269" t="s">
        <v>283</v>
      </c>
      <c r="Z10" s="267" t="s">
        <v>284</v>
      </c>
      <c r="AA10" s="270" t="s">
        <v>238</v>
      </c>
      <c r="AB10" s="270" t="s">
        <v>282</v>
      </c>
      <c r="AC10" s="269" t="s">
        <v>283</v>
      </c>
      <c r="AD10" s="267" t="s">
        <v>284</v>
      </c>
      <c r="AE10" s="270" t="s">
        <v>238</v>
      </c>
      <c r="AF10" s="270" t="s">
        <v>282</v>
      </c>
      <c r="AG10" s="326" t="s">
        <v>283</v>
      </c>
    </row>
    <row r="11" spans="2:33" x14ac:dyDescent="0.35">
      <c r="B11" s="1373" t="s">
        <v>466</v>
      </c>
      <c r="C11" s="1374"/>
      <c r="D11" s="662"/>
      <c r="E11" s="723"/>
      <c r="F11" s="723"/>
      <c r="G11" s="723"/>
      <c r="H11" s="308"/>
      <c r="I11" s="308"/>
      <c r="J11" s="308"/>
      <c r="K11" s="308"/>
      <c r="L11" s="308"/>
      <c r="M11" s="575"/>
      <c r="N11" s="575"/>
      <c r="O11" s="575"/>
      <c r="P11" s="308"/>
      <c r="Q11" s="308"/>
      <c r="R11" s="308"/>
      <c r="S11" s="308"/>
      <c r="T11" s="287"/>
      <c r="U11" s="308"/>
      <c r="V11" s="308"/>
      <c r="W11" s="217"/>
      <c r="X11" s="217"/>
      <c r="Y11" s="217"/>
      <c r="Z11" s="217"/>
      <c r="AA11" s="217"/>
      <c r="AB11" s="217"/>
      <c r="AC11" s="218"/>
    </row>
    <row r="12" spans="2:33" ht="17.149999999999999" customHeight="1" x14ac:dyDescent="0.35">
      <c r="B12" s="675" t="s">
        <v>467</v>
      </c>
      <c r="C12" s="240" t="s">
        <v>468</v>
      </c>
      <c r="D12" s="595">
        <f>'Haver Pivoted'!GO31</f>
        <v>2223</v>
      </c>
      <c r="E12" s="555">
        <f>'Haver Pivoted'!GP31</f>
        <v>2303.6</v>
      </c>
      <c r="F12" s="555">
        <f>'Haver Pivoted'!GQ31</f>
        <v>2320.1</v>
      </c>
      <c r="G12" s="555">
        <f>'Haver Pivoted'!GR31</f>
        <v>2332.9</v>
      </c>
      <c r="H12" s="555">
        <f>'Haver Pivoted'!GS31</f>
        <v>2346.6</v>
      </c>
      <c r="I12" s="555">
        <f>'Haver Pivoted'!GT31</f>
        <v>2412.6</v>
      </c>
      <c r="J12" s="555">
        <f>'Haver Pivoted'!GU31</f>
        <v>4652.1000000000004</v>
      </c>
      <c r="K12" s="555">
        <f>'Haver Pivoted'!GV31</f>
        <v>3508</v>
      </c>
      <c r="L12" s="555">
        <f>'Haver Pivoted'!GW31</f>
        <v>2895.4</v>
      </c>
      <c r="M12" s="555">
        <f>'Haver Pivoted'!GX31</f>
        <v>5127.3999999999996</v>
      </c>
      <c r="N12" s="555">
        <f>'Haver Pivoted'!GY31</f>
        <v>3403.8</v>
      </c>
      <c r="O12" s="555">
        <f>'Haver Pivoted'!GZ31</f>
        <v>3135</v>
      </c>
      <c r="P12" s="555">
        <f>'Haver Pivoted'!HA31</f>
        <v>2947.7</v>
      </c>
      <c r="Q12" s="555">
        <f>'Haver Pivoted'!HB31</f>
        <v>2903.2</v>
      </c>
      <c r="R12" s="555">
        <f>'Haver Pivoted'!HC31</f>
        <v>2895.2</v>
      </c>
      <c r="S12" s="558">
        <f>'Haver Pivoted'!HD31</f>
        <v>2867.4</v>
      </c>
      <c r="T12" s="558">
        <f>'Haver Pivoted'!HE31</f>
        <v>2896.7</v>
      </c>
      <c r="U12" s="558">
        <f>'Haver Pivoted'!HF31</f>
        <v>2945.8</v>
      </c>
      <c r="V12" s="558">
        <f>'Haver Pivoted'!HG31</f>
        <v>2929.7</v>
      </c>
      <c r="W12" s="558">
        <f>'Haver Pivoted'!HH31</f>
        <v>2930.1</v>
      </c>
      <c r="X12" s="558">
        <f>'Haver Pivoted'!HI31</f>
        <v>2934</v>
      </c>
      <c r="Y12" s="558">
        <f>'Haver Pivoted'!HJ31</f>
        <v>3040.2</v>
      </c>
      <c r="Z12" s="677">
        <f t="shared" ref="Z12:AC12" si="0">SUM(Z14:Z31)-Z30</f>
        <v>3046.7543662535622</v>
      </c>
      <c r="AA12" s="677">
        <f t="shared" si="0"/>
        <v>3069.3154408548799</v>
      </c>
      <c r="AB12" s="677">
        <f t="shared" si="0"/>
        <v>3087.1743067979696</v>
      </c>
      <c r="AC12" s="722">
        <f t="shared" si="0"/>
        <v>3141.7407694188655</v>
      </c>
    </row>
    <row r="13" spans="2:33" x14ac:dyDescent="0.35">
      <c r="B13" s="462"/>
      <c r="C13" s="240"/>
      <c r="D13" s="595"/>
      <c r="E13" s="555"/>
      <c r="F13" s="555"/>
      <c r="G13" s="555"/>
      <c r="H13" s="555"/>
      <c r="I13" s="555"/>
      <c r="J13" s="555"/>
      <c r="K13" s="555"/>
      <c r="L13" s="555"/>
      <c r="M13" s="555"/>
      <c r="N13" s="555"/>
      <c r="O13" s="555"/>
      <c r="P13" s="240"/>
      <c r="Q13" s="234"/>
      <c r="R13" s="234"/>
      <c r="S13" s="234"/>
      <c r="T13" s="234"/>
      <c r="U13" s="234"/>
      <c r="V13" s="234"/>
      <c r="W13" s="234"/>
      <c r="X13" s="326"/>
      <c r="Y13" s="326"/>
      <c r="Z13" s="326"/>
      <c r="AA13" s="326"/>
      <c r="AB13" s="326"/>
      <c r="AC13" s="432"/>
    </row>
    <row r="14" spans="2:33" x14ac:dyDescent="0.35">
      <c r="B14" s="671" t="s">
        <v>1843</v>
      </c>
      <c r="C14" s="240"/>
      <c r="D14" s="595">
        <f>'Unemployment Insurance'!D20+'Unemployment Insurance'!D19</f>
        <v>27.1</v>
      </c>
      <c r="E14" s="555">
        <f>'Unemployment Insurance'!E20+'Unemployment Insurance'!E19</f>
        <v>30.5</v>
      </c>
      <c r="F14" s="555">
        <f>'Unemployment Insurance'!F20+'Unemployment Insurance'!F19</f>
        <v>27.7</v>
      </c>
      <c r="G14" s="555">
        <f>'Unemployment Insurance'!G20+'Unemployment Insurance'!G19</f>
        <v>25</v>
      </c>
      <c r="H14" s="555">
        <f>'Unemployment Insurance'!H20+'Unemployment Insurance'!H19</f>
        <v>26.7</v>
      </c>
      <c r="I14" s="555">
        <f>'Unemployment Insurance'!I20+'Unemployment Insurance'!I19</f>
        <v>40.9</v>
      </c>
      <c r="J14" s="555">
        <f>'Unemployment Insurance'!J20+'Unemployment Insurance'!J19</f>
        <v>951.4</v>
      </c>
      <c r="K14" s="555">
        <f>'Unemployment Insurance'!K20+'Unemployment Insurance'!K19</f>
        <v>802.3</v>
      </c>
      <c r="L14" s="555">
        <f>'Unemployment Insurance'!L20+'Unemployment Insurance'!L19</f>
        <v>323.5</v>
      </c>
      <c r="M14" s="555">
        <f>'Unemployment Insurance'!M20+'Unemployment Insurance'!M19</f>
        <v>583.5</v>
      </c>
      <c r="N14" s="555">
        <f>'Unemployment Insurance'!N20+'Unemployment Insurance'!N19</f>
        <v>451.8</v>
      </c>
      <c r="O14" s="555">
        <f>'Unemployment Insurance'!O20+'Unemployment Insurance'!O19</f>
        <v>226.8</v>
      </c>
      <c r="P14" s="555">
        <f>'Unemployment Insurance'!P20+'Unemployment Insurance'!P19</f>
        <v>33.9</v>
      </c>
      <c r="Q14" s="555">
        <f>'Unemployment Insurance'!Q20+'Unemployment Insurance'!Q19</f>
        <v>26.2</v>
      </c>
      <c r="R14" s="555">
        <f>'Unemployment Insurance'!R20+'Unemployment Insurance'!R19</f>
        <v>21.4</v>
      </c>
      <c r="S14" s="555">
        <f>'Unemployment Insurance'!S20+'Unemployment Insurance'!S19</f>
        <v>19.600000000000001</v>
      </c>
      <c r="T14" s="555">
        <f>'Unemployment Insurance'!T20+'Unemployment Insurance'!T19</f>
        <v>22.1</v>
      </c>
      <c r="U14" s="555">
        <f>'Unemployment Insurance'!U20+'Unemployment Insurance'!U19</f>
        <v>22</v>
      </c>
      <c r="V14" s="558">
        <f>V15+V16</f>
        <v>22.62857142857143</v>
      </c>
      <c r="W14" s="558">
        <f>W15+W16</f>
        <v>22.62857142857143</v>
      </c>
      <c r="X14" s="558">
        <f>X15+X16</f>
        <v>22.7</v>
      </c>
      <c r="Y14" s="558">
        <f>Y15+Y16</f>
        <v>22.7</v>
      </c>
      <c r="Z14" s="677">
        <f>'Unemployment Insurance'!Z20+'Unemployment Insurance'!Z19</f>
        <v>22.5</v>
      </c>
      <c r="AA14" s="677">
        <f>'Unemployment Insurance'!AA20+'Unemployment Insurance'!AA19</f>
        <v>22.5</v>
      </c>
      <c r="AB14" s="677">
        <f>'Unemployment Insurance'!AB20+'Unemployment Insurance'!AB19</f>
        <v>22.5</v>
      </c>
      <c r="AC14" s="722">
        <f>'Unemployment Insurance'!AC20+'Unemployment Insurance'!AC19</f>
        <v>22.5</v>
      </c>
    </row>
    <row r="15" spans="2:33" x14ac:dyDescent="0.35">
      <c r="B15" s="416" t="s">
        <v>203</v>
      </c>
      <c r="C15" s="240"/>
      <c r="D15" s="595"/>
      <c r="E15" s="555"/>
      <c r="F15" s="555"/>
      <c r="G15" s="555"/>
      <c r="H15" s="555"/>
      <c r="I15" s="555"/>
      <c r="J15" s="555"/>
      <c r="K15" s="555"/>
      <c r="L15" s="555"/>
      <c r="M15" s="555"/>
      <c r="N15" s="555"/>
      <c r="O15" s="555"/>
      <c r="P15" s="555"/>
      <c r="Q15" s="555"/>
      <c r="R15" s="555"/>
      <c r="S15" s="555"/>
      <c r="T15" s="555"/>
      <c r="U15" s="555"/>
      <c r="V15" s="558">
        <f>'Unemployment Insurance'!V19</f>
        <v>0</v>
      </c>
      <c r="W15" s="558">
        <f>'Unemployment Insurance'!W19</f>
        <v>0</v>
      </c>
      <c r="X15" s="558">
        <f>'Unemployment Insurance'!X19</f>
        <v>0.28514285714285847</v>
      </c>
      <c r="Y15" s="558">
        <f>'Unemployment Insurance'!Y19</f>
        <v>-0.55714285714286049</v>
      </c>
      <c r="Z15" s="677"/>
      <c r="AA15" s="677"/>
      <c r="AB15" s="677"/>
      <c r="AC15" s="722"/>
    </row>
    <row r="16" spans="2:33" x14ac:dyDescent="0.35">
      <c r="B16" s="416" t="s">
        <v>205</v>
      </c>
      <c r="C16" s="240"/>
      <c r="D16" s="595"/>
      <c r="E16" s="555"/>
      <c r="F16" s="555"/>
      <c r="G16" s="555"/>
      <c r="H16" s="555"/>
      <c r="I16" s="555"/>
      <c r="J16" s="555"/>
      <c r="K16" s="555"/>
      <c r="L16" s="555"/>
      <c r="M16" s="555"/>
      <c r="N16" s="555"/>
      <c r="O16" s="555"/>
      <c r="P16" s="555"/>
      <c r="Q16" s="555"/>
      <c r="R16" s="555"/>
      <c r="S16" s="555"/>
      <c r="T16" s="555"/>
      <c r="U16" s="555"/>
      <c r="V16" s="558">
        <f>'Unemployment Insurance'!V20</f>
        <v>22.62857142857143</v>
      </c>
      <c r="W16" s="558">
        <f>'Unemployment Insurance'!W20</f>
        <v>22.62857142857143</v>
      </c>
      <c r="X16" s="558">
        <f>'Unemployment Insurance'!X20</f>
        <v>22.414857142857141</v>
      </c>
      <c r="Y16" s="558">
        <f>'Unemployment Insurance'!Y20</f>
        <v>23.25714285714286</v>
      </c>
      <c r="Z16" s="677"/>
      <c r="AA16" s="677"/>
      <c r="AB16" s="677"/>
      <c r="AC16" s="722"/>
    </row>
    <row r="17" spans="2:101" ht="17.899999999999999" customHeight="1" x14ac:dyDescent="0.35">
      <c r="B17" s="671" t="s">
        <v>55</v>
      </c>
      <c r="C17" s="240"/>
      <c r="D17" s="595">
        <f>Medicare!D10</f>
        <v>755</v>
      </c>
      <c r="E17" s="555">
        <f>Medicare!E10</f>
        <v>771.9</v>
      </c>
      <c r="F17" s="555">
        <f>Medicare!F10</f>
        <v>785.3</v>
      </c>
      <c r="G17" s="555">
        <f>Medicare!G10</f>
        <v>793.9</v>
      </c>
      <c r="H17" s="555">
        <f>Medicare!H10</f>
        <v>797.9</v>
      </c>
      <c r="I17" s="555">
        <f>Medicare!I10</f>
        <v>798.4</v>
      </c>
      <c r="J17" s="555">
        <f>Medicare!J10</f>
        <v>811.1</v>
      </c>
      <c r="K17" s="555">
        <f>Medicare!K10</f>
        <v>823.1</v>
      </c>
      <c r="L17" s="555">
        <f>Medicare!L10</f>
        <v>834.5</v>
      </c>
      <c r="M17" s="555">
        <f>Medicare!M10</f>
        <v>849.4</v>
      </c>
      <c r="N17" s="555">
        <f>Medicare!N10</f>
        <v>865.6</v>
      </c>
      <c r="O17" s="555">
        <f>Medicare!O10</f>
        <v>882.6</v>
      </c>
      <c r="P17" s="555">
        <f>Medicare!P10</f>
        <v>900.3</v>
      </c>
      <c r="Q17" s="555">
        <f>Medicare!Q10</f>
        <v>918.2</v>
      </c>
      <c r="R17" s="555">
        <f>Medicare!R10</f>
        <v>924.7</v>
      </c>
      <c r="S17" s="555">
        <f>Medicare!S10</f>
        <v>927.2</v>
      </c>
      <c r="T17" s="555">
        <f>Medicare!T10</f>
        <v>934.2</v>
      </c>
      <c r="U17" s="555">
        <f>Medicare!U10</f>
        <v>938.1</v>
      </c>
      <c r="V17" s="555">
        <f>Medicare!V10</f>
        <v>941.9</v>
      </c>
      <c r="W17" s="555">
        <f>Medicare!W10</f>
        <v>946.3</v>
      </c>
      <c r="X17" s="677">
        <f>Medicare!X10</f>
        <v>951.3</v>
      </c>
      <c r="Y17" s="677">
        <f>Medicare!Y10</f>
        <v>965.3</v>
      </c>
      <c r="Z17" s="677">
        <f>Medicare!Z10</f>
        <v>980.56003292022876</v>
      </c>
      <c r="AA17" s="677">
        <f>Medicare!AA10</f>
        <v>996.18777418821298</v>
      </c>
      <c r="AB17" s="677">
        <f>Medicare!AB10</f>
        <v>1008.812306797969</v>
      </c>
      <c r="AC17" s="722">
        <f>Medicare!AC10</f>
        <v>1021.5968281445319</v>
      </c>
    </row>
    <row r="18" spans="2:101" ht="18" customHeight="1" x14ac:dyDescent="0.35">
      <c r="B18" s="672" t="s">
        <v>469</v>
      </c>
      <c r="C18" s="240"/>
      <c r="D18" s="275"/>
      <c r="E18" s="234"/>
      <c r="F18" s="234"/>
      <c r="G18" s="234"/>
      <c r="H18" s="555">
        <f>'Rebate Checks (expired)'!H10 +'Rebate Checks (expired)'!H11</f>
        <v>0</v>
      </c>
      <c r="I18" s="555">
        <f>'Rebate Checks (expired)'!I10 +'Rebate Checks (expired)'!I11</f>
        <v>0</v>
      </c>
      <c r="J18" s="555">
        <f>'Rebate Checks (expired)'!J10 +'Rebate Checks (expired)'!J11</f>
        <v>1078.0999999999999</v>
      </c>
      <c r="K18" s="555">
        <f>'Rebate Checks (expired)'!K10 +'Rebate Checks (expired)'!K11</f>
        <v>15.6</v>
      </c>
      <c r="L18" s="555">
        <f>'Rebate Checks (expired)'!L10 +'Rebate Checks (expired)'!L11</f>
        <v>5</v>
      </c>
      <c r="M18" s="555">
        <f>'Rebate Checks (expired)'!M10 +'Rebate Checks (expired)'!M11</f>
        <v>1933.6999999999998</v>
      </c>
      <c r="N18" s="555">
        <f>'Rebate Checks (expired)'!N10 +'Rebate Checks (expired)'!N11</f>
        <v>290.10000000000002</v>
      </c>
      <c r="O18" s="555">
        <f>'Rebate Checks (expired)'!O10 +'Rebate Checks (expired)'!O11</f>
        <v>38.9</v>
      </c>
      <c r="P18" s="555">
        <f>'Rebate Checks (expired)'!P10 +'Rebate Checks (expired)'!P11</f>
        <v>14.2</v>
      </c>
      <c r="Q18" s="555">
        <f>'Rebate Checks (expired)'!Q10 +'Rebate Checks (expired)'!Q11</f>
        <v>0</v>
      </c>
      <c r="R18" s="555">
        <f>'Rebate Checks (expired)'!Q10 +'Rebate Checks (expired)'!R11</f>
        <v>0</v>
      </c>
      <c r="S18" s="555">
        <f>'Rebate Checks (expired)'!S10 +'Rebate Checks (expired)'!S11</f>
        <v>0</v>
      </c>
      <c r="T18" s="555">
        <f>'Rebate Checks (expired)'!T10 +'Rebate Checks (expired)'!T11</f>
        <v>0</v>
      </c>
      <c r="U18" s="555">
        <f>'Rebate Checks (expired)'!U10 +'Rebate Checks (expired)'!U11</f>
        <v>0</v>
      </c>
      <c r="V18" s="558">
        <f>V19+V20</f>
        <v>0</v>
      </c>
      <c r="W18" s="558">
        <f>W19+W20</f>
        <v>0</v>
      </c>
      <c r="X18" s="558">
        <f>X19+X20</f>
        <v>0</v>
      </c>
      <c r="Y18" s="558">
        <f>Y19+Y20</f>
        <v>0</v>
      </c>
      <c r="Z18" s="677">
        <f>'Rebate Checks (expired)'!Z10 +'Rebate Checks (expired)'!Z11</f>
        <v>0</v>
      </c>
      <c r="AA18" s="677">
        <f>'Rebate Checks (expired)'!AA10 +'Rebate Checks (expired)'!AA11</f>
        <v>0</v>
      </c>
      <c r="AB18" s="677">
        <f>'Rebate Checks (expired)'!AB10 +'Rebate Checks (expired)'!AB11</f>
        <v>0</v>
      </c>
      <c r="AC18" s="722">
        <f>'Rebate Checks (expired)'!AC10 +'Rebate Checks (expired)'!AC11</f>
        <v>0</v>
      </c>
    </row>
    <row r="19" spans="2:101" ht="18" customHeight="1" x14ac:dyDescent="0.35">
      <c r="B19" s="673" t="s">
        <v>1844</v>
      </c>
      <c r="C19" s="240"/>
      <c r="D19" s="275"/>
      <c r="E19" s="234"/>
      <c r="F19" s="234"/>
      <c r="G19" s="234"/>
      <c r="H19" s="555"/>
      <c r="I19" s="555"/>
      <c r="J19" s="555"/>
      <c r="K19" s="555"/>
      <c r="L19" s="555"/>
      <c r="M19" s="555"/>
      <c r="N19" s="555"/>
      <c r="O19" s="555"/>
      <c r="P19" s="555"/>
      <c r="Q19" s="555"/>
      <c r="R19" s="555"/>
      <c r="S19" s="555"/>
      <c r="T19" s="555"/>
      <c r="U19" s="555"/>
      <c r="V19" s="555">
        <v>0</v>
      </c>
      <c r="W19" s="555"/>
      <c r="X19" s="677"/>
      <c r="Y19" s="677"/>
      <c r="Z19" s="677"/>
      <c r="AA19" s="677"/>
      <c r="AB19" s="677"/>
      <c r="AC19" s="722"/>
    </row>
    <row r="20" spans="2:101" ht="18" customHeight="1" x14ac:dyDescent="0.35">
      <c r="B20" s="673" t="s">
        <v>1845</v>
      </c>
      <c r="C20" s="240"/>
      <c r="D20" s="275"/>
      <c r="E20" s="234"/>
      <c r="F20" s="234"/>
      <c r="G20" s="234"/>
      <c r="H20" s="555"/>
      <c r="I20" s="555"/>
      <c r="J20" s="555"/>
      <c r="K20" s="555"/>
      <c r="L20" s="555"/>
      <c r="M20" s="555"/>
      <c r="N20" s="555"/>
      <c r="O20" s="555"/>
      <c r="P20" s="555"/>
      <c r="Q20" s="555"/>
      <c r="R20" s="555"/>
      <c r="S20" s="555"/>
      <c r="T20" s="555"/>
      <c r="U20" s="555"/>
      <c r="V20" s="555">
        <v>0</v>
      </c>
      <c r="W20" s="555"/>
      <c r="X20" s="677"/>
      <c r="Y20" s="677"/>
      <c r="Z20" s="677"/>
      <c r="AA20" s="677"/>
      <c r="AB20" s="677"/>
      <c r="AC20" s="722"/>
    </row>
    <row r="21" spans="2:101" ht="18" customHeight="1" x14ac:dyDescent="0.35">
      <c r="B21" s="674" t="s">
        <v>49</v>
      </c>
      <c r="C21" s="240"/>
      <c r="D21" s="274">
        <f>'Provider Relief (expired)'!D11</f>
        <v>0</v>
      </c>
      <c r="E21" s="230">
        <f>'Provider Relief (expired)'!E11</f>
        <v>0</v>
      </c>
      <c r="F21" s="230">
        <f>'Provider Relief (expired)'!F11</f>
        <v>0</v>
      </c>
      <c r="G21" s="230">
        <f>'Provider Relief (expired)'!G11</f>
        <v>0</v>
      </c>
      <c r="H21" s="230">
        <f>'Provider Relief (expired)'!H11</f>
        <v>0</v>
      </c>
      <c r="I21" s="230">
        <f>'Provider Relief (expired)'!I11</f>
        <v>0</v>
      </c>
      <c r="J21" s="230">
        <f>'Provider Relief (expired)'!J11</f>
        <v>160.9</v>
      </c>
      <c r="K21" s="230">
        <f>'Provider Relief (expired)'!K11</f>
        <v>58.4</v>
      </c>
      <c r="L21" s="230">
        <f>'Provider Relief (expired)'!L11</f>
        <v>34.5</v>
      </c>
      <c r="M21" s="230">
        <f>'Provider Relief (expired)'!M11</f>
        <v>21.4</v>
      </c>
      <c r="N21" s="230">
        <f>'Provider Relief (expired)'!N11</f>
        <v>13.3</v>
      </c>
      <c r="O21" s="230">
        <f>'Provider Relief (expired)'!O11</f>
        <v>18.7</v>
      </c>
      <c r="P21" s="230">
        <f>'Provider Relief (expired)'!P11</f>
        <v>32.200000000000003</v>
      </c>
      <c r="Q21" s="230">
        <f>'Provider Relief (expired)'!Q11</f>
        <v>26.9</v>
      </c>
      <c r="R21" s="230">
        <f>'Provider Relief (expired)'!R11</f>
        <v>20</v>
      </c>
      <c r="S21" s="230">
        <f>'Provider Relief (expired)'!S11</f>
        <v>8.1</v>
      </c>
      <c r="T21" s="230">
        <f>'Provider Relief (expired)'!T11</f>
        <v>4.9000000000000004</v>
      </c>
      <c r="U21" s="230">
        <v>0</v>
      </c>
      <c r="V21" s="555">
        <v>0</v>
      </c>
      <c r="W21" s="555">
        <v>0</v>
      </c>
      <c r="X21" s="677">
        <v>0</v>
      </c>
      <c r="Y21" s="677">
        <v>0</v>
      </c>
      <c r="Z21" s="677">
        <v>0</v>
      </c>
      <c r="AA21" s="677">
        <v>0</v>
      </c>
      <c r="AB21" s="677">
        <v>0</v>
      </c>
      <c r="AC21" s="677">
        <v>0</v>
      </c>
      <c r="AD21" s="677">
        <v>0</v>
      </c>
      <c r="AE21" s="677">
        <v>0</v>
      </c>
      <c r="AF21" s="677">
        <v>0</v>
      </c>
      <c r="AG21" s="677">
        <v>0</v>
      </c>
    </row>
    <row r="22" spans="2:101" ht="18" customHeight="1" x14ac:dyDescent="0.35">
      <c r="B22" s="462" t="s">
        <v>1846</v>
      </c>
      <c r="C22" s="240"/>
      <c r="D22" s="274"/>
      <c r="E22" s="230"/>
      <c r="F22" s="230"/>
      <c r="G22" s="230"/>
      <c r="H22" s="230"/>
      <c r="I22" s="230"/>
      <c r="J22" s="230"/>
      <c r="K22" s="230"/>
      <c r="L22" s="230"/>
      <c r="M22" s="230"/>
      <c r="N22" s="230"/>
      <c r="O22" s="230"/>
      <c r="P22" s="230"/>
      <c r="Q22" s="230"/>
      <c r="R22" s="230"/>
      <c r="S22" s="230"/>
      <c r="T22" s="230"/>
      <c r="U22" s="230"/>
      <c r="V22" s="555"/>
      <c r="W22" s="555"/>
      <c r="X22" s="677"/>
      <c r="Y22" s="677"/>
      <c r="Z22" s="677"/>
      <c r="AA22" s="677"/>
      <c r="AB22" s="677"/>
      <c r="AC22" s="722"/>
    </row>
    <row r="23" spans="2:101" ht="18" customHeight="1" x14ac:dyDescent="0.35">
      <c r="B23" s="462" t="s">
        <v>1847</v>
      </c>
      <c r="C23" s="240"/>
      <c r="D23" s="274"/>
      <c r="E23" s="230"/>
      <c r="F23" s="230"/>
      <c r="G23" s="230"/>
      <c r="H23" s="230"/>
      <c r="I23" s="230"/>
      <c r="J23" s="230"/>
      <c r="K23" s="230"/>
      <c r="L23" s="230"/>
      <c r="M23" s="230"/>
      <c r="N23" s="230"/>
      <c r="O23" s="230"/>
      <c r="P23" s="230"/>
      <c r="Q23" s="230"/>
      <c r="R23" s="230"/>
      <c r="S23" s="230"/>
      <c r="T23" s="230"/>
      <c r="U23" s="230"/>
      <c r="V23" s="555"/>
      <c r="W23" s="555"/>
      <c r="X23" s="677"/>
      <c r="Y23" s="677"/>
      <c r="Z23" s="677"/>
      <c r="AA23" s="677"/>
      <c r="AB23" s="677"/>
      <c r="AC23" s="722"/>
    </row>
    <row r="24" spans="2:101" ht="20.149999999999999" customHeight="1" x14ac:dyDescent="0.35">
      <c r="B24" s="268" t="s">
        <v>472</v>
      </c>
      <c r="C24" s="263"/>
      <c r="D24" s="724"/>
      <c r="E24" s="637"/>
      <c r="F24" s="637"/>
      <c r="G24" s="637"/>
      <c r="H24" s="552"/>
      <c r="I24" s="552"/>
      <c r="J24" s="552"/>
      <c r="K24" s="552"/>
      <c r="L24" s="552"/>
      <c r="M24" s="552">
        <f>'ARP Quarterly'!C5</f>
        <v>0</v>
      </c>
      <c r="N24" s="552">
        <f>'ARP Quarterly'!D5</f>
        <v>33.921840000000024</v>
      </c>
      <c r="O24" s="552">
        <f>'ARP Quarterly'!E5</f>
        <v>44.966160000000031</v>
      </c>
      <c r="P24" s="552">
        <f>'ARP Quarterly'!F5</f>
        <v>52.756999999999998</v>
      </c>
      <c r="Q24" s="552">
        <f>'ARP Quarterly'!G5</f>
        <v>52.756999999999998</v>
      </c>
      <c r="R24" s="552">
        <f>'ARP Quarterly'!H5</f>
        <v>52.756999999999998</v>
      </c>
      <c r="S24" s="552">
        <f>'ARP Quarterly'!I5</f>
        <v>52.756999999999998</v>
      </c>
      <c r="T24" s="552">
        <v>30</v>
      </c>
      <c r="U24" s="552">
        <f>'ARP Quarterly'!K5</f>
        <v>12</v>
      </c>
      <c r="V24" s="552">
        <f>'ARP Quarterly'!L5</f>
        <v>12</v>
      </c>
      <c r="W24" s="552">
        <f>'ARP Quarterly'!M5</f>
        <v>12</v>
      </c>
      <c r="X24" s="557">
        <f>'ARP Quarterly'!N5</f>
        <v>4.2219999999999995</v>
      </c>
      <c r="Y24" s="557">
        <f>'ARP Quarterly'!O5</f>
        <v>4.2219999999999995</v>
      </c>
      <c r="Z24" s="557">
        <f>'ARP Quarterly'!P5</f>
        <v>4.2219999999999995</v>
      </c>
      <c r="AA24" s="557">
        <f>'ARP Quarterly'!Q5</f>
        <v>4.2219999999999995</v>
      </c>
      <c r="AB24" s="557">
        <f>'ARP Quarterly'!R5</f>
        <v>2.3719999999999999</v>
      </c>
      <c r="AC24" s="557">
        <f>'ARP Quarterly'!S5</f>
        <v>2.3719999999999999</v>
      </c>
      <c r="AD24" s="557">
        <f>'ARP Quarterly'!T5</f>
        <v>2.3719999999999999</v>
      </c>
      <c r="AE24" s="557">
        <f>'ARP Quarterly'!U5</f>
        <v>2.3719999999999999</v>
      </c>
      <c r="AF24" s="557">
        <f>'ARP Quarterly'!V5</f>
        <v>0.49</v>
      </c>
      <c r="AG24" s="505">
        <v>0</v>
      </c>
    </row>
    <row r="25" spans="2:101" ht="22.4" customHeight="1" x14ac:dyDescent="0.35">
      <c r="B25" s="248" t="s">
        <v>218</v>
      </c>
      <c r="C25" s="681"/>
      <c r="D25" s="274"/>
      <c r="E25" s="230"/>
      <c r="F25" s="230"/>
      <c r="G25" s="230"/>
      <c r="H25" s="230"/>
      <c r="I25" s="230"/>
      <c r="J25" s="230"/>
      <c r="K25" s="230"/>
      <c r="L25" s="230"/>
      <c r="M25" s="555">
        <f>'ARP Quarterly'!C4</f>
        <v>0</v>
      </c>
      <c r="N25" s="555">
        <f>'ARP Quarterly'!D4</f>
        <v>0</v>
      </c>
      <c r="O25" s="555">
        <f>'ARP Quarterly'!E4</f>
        <v>3.1040000000000418</v>
      </c>
      <c r="P25" s="555">
        <f>'ARP Quarterly'!F4</f>
        <v>19.719000000000005</v>
      </c>
      <c r="Q25" s="555">
        <f>'ARP Quarterly'!G4</f>
        <v>19.719000000000005</v>
      </c>
      <c r="R25" s="555">
        <f>'ARP Quarterly'!H4</f>
        <v>19.719000000000005</v>
      </c>
      <c r="S25" s="555">
        <f>'ARP Quarterly'!I4</f>
        <v>19.719000000000005</v>
      </c>
      <c r="T25" s="555">
        <f>'ARP Quarterly'!J4</f>
        <v>1.4159999999999999</v>
      </c>
      <c r="U25" s="555">
        <f>'ARP Quarterly'!K4</f>
        <v>1.4159999999999999</v>
      </c>
      <c r="V25" s="555">
        <f>'ARP Quarterly'!L4</f>
        <v>1.4159999999999999</v>
      </c>
      <c r="W25" s="555">
        <f>'ARP Quarterly'!M4</f>
        <v>1.4159999999999999</v>
      </c>
      <c r="X25" s="677">
        <f>'ARP Quarterly'!N4</f>
        <v>1.4790000000000001</v>
      </c>
      <c r="Y25" s="677">
        <f>'ARP Quarterly'!O4</f>
        <v>1.4790000000000001</v>
      </c>
      <c r="Z25" s="677">
        <f>'ARP Quarterly'!P4</f>
        <v>1.4790000000000001</v>
      </c>
      <c r="AA25" s="677">
        <f>'ARP Quarterly'!Q4</f>
        <v>1.4790000000000001</v>
      </c>
      <c r="AB25" s="677">
        <f>'ARP Quarterly'!R4</f>
        <v>1.63</v>
      </c>
      <c r="AC25" s="677">
        <f>'ARP Quarterly'!S4</f>
        <v>1.63</v>
      </c>
      <c r="AD25" s="677">
        <f>'ARP Quarterly'!T4</f>
        <v>1.63</v>
      </c>
      <c r="AE25" s="677">
        <f>'ARP Quarterly'!U4</f>
        <v>1.63</v>
      </c>
      <c r="AF25" s="677">
        <f>'ARP Quarterly'!V4</f>
        <v>1.671</v>
      </c>
      <c r="AG25" s="678">
        <v>0</v>
      </c>
      <c r="AH25" s="681"/>
      <c r="AI25" s="681"/>
      <c r="AJ25" s="681"/>
      <c r="AK25" s="681"/>
      <c r="AL25" s="681"/>
      <c r="AM25" s="681"/>
      <c r="AN25" s="681"/>
      <c r="AO25" s="681"/>
      <c r="AP25" s="681"/>
      <c r="AQ25" s="681"/>
      <c r="AR25" s="681"/>
      <c r="AS25" s="681"/>
      <c r="AT25" s="681"/>
      <c r="AU25" s="681"/>
      <c r="AV25" s="681"/>
      <c r="AW25" s="681"/>
      <c r="AX25" s="681"/>
      <c r="AY25" s="681"/>
      <c r="AZ25" s="681"/>
      <c r="BA25" s="681"/>
      <c r="BB25" s="681"/>
      <c r="BC25" s="681"/>
      <c r="BD25" s="681"/>
      <c r="BE25" s="681"/>
      <c r="BF25" s="681"/>
      <c r="BG25" s="681"/>
      <c r="BH25" s="681"/>
      <c r="BI25" s="681"/>
      <c r="BJ25" s="681"/>
      <c r="BK25" s="681"/>
      <c r="BL25" s="681"/>
      <c r="BM25" s="681"/>
      <c r="BN25" s="681"/>
      <c r="BO25" s="681"/>
      <c r="BP25" s="681"/>
      <c r="BQ25" s="681"/>
      <c r="BR25" s="681"/>
      <c r="BS25" s="681"/>
      <c r="BT25" s="681"/>
      <c r="BU25" s="681"/>
      <c r="BV25" s="681"/>
      <c r="BW25" s="681"/>
      <c r="BX25" s="681"/>
      <c r="BY25" s="681"/>
      <c r="BZ25" s="681"/>
      <c r="CA25" s="681"/>
      <c r="CB25" s="681"/>
      <c r="CC25" s="681"/>
      <c r="CD25" s="681"/>
      <c r="CE25" s="681"/>
      <c r="CF25" s="681"/>
      <c r="CG25" s="681"/>
      <c r="CH25" s="681"/>
      <c r="CI25" s="681"/>
      <c r="CJ25" s="681"/>
      <c r="CK25" s="681"/>
      <c r="CL25" s="681"/>
      <c r="CM25" s="681"/>
      <c r="CN25" s="681"/>
      <c r="CO25" s="681"/>
      <c r="CP25" s="681"/>
      <c r="CQ25" s="681"/>
      <c r="CR25" s="681"/>
      <c r="CS25" s="681"/>
      <c r="CT25" s="681"/>
      <c r="CU25" s="681"/>
      <c r="CV25" s="681"/>
      <c r="CW25" s="681"/>
    </row>
    <row r="26" spans="2:101" ht="36.65" customHeight="1" x14ac:dyDescent="0.35">
      <c r="B26" s="248" t="s">
        <v>1433</v>
      </c>
      <c r="C26" s="240"/>
      <c r="D26" s="275">
        <f>D50</f>
        <v>0</v>
      </c>
      <c r="E26" s="234">
        <f t="shared" ref="E26:AG26" si="1">E50</f>
        <v>0</v>
      </c>
      <c r="F26" s="234">
        <f t="shared" si="1"/>
        <v>0</v>
      </c>
      <c r="G26" s="234">
        <f t="shared" si="1"/>
        <v>0</v>
      </c>
      <c r="H26" s="234">
        <f t="shared" si="1"/>
        <v>0</v>
      </c>
      <c r="I26" s="555">
        <f t="shared" si="1"/>
        <v>6.6417500000000018</v>
      </c>
      <c r="J26" s="555">
        <f t="shared" si="1"/>
        <v>51.388749999999995</v>
      </c>
      <c r="K26" s="555">
        <f t="shared" si="1"/>
        <v>55.337750000000007</v>
      </c>
      <c r="L26" s="555">
        <f t="shared" si="1"/>
        <v>62.597749999999998</v>
      </c>
      <c r="M26" s="555">
        <f t="shared" si="1"/>
        <v>88.07774999999998</v>
      </c>
      <c r="N26" s="555">
        <f t="shared" si="1"/>
        <v>102.89075</v>
      </c>
      <c r="O26" s="555">
        <f t="shared" si="1"/>
        <v>94.404750000000007</v>
      </c>
      <c r="P26" s="555">
        <f t="shared" si="1"/>
        <v>91.919749999999993</v>
      </c>
      <c r="Q26" s="555">
        <f t="shared" si="1"/>
        <v>80.097749999999991</v>
      </c>
      <c r="R26" s="555">
        <f t="shared" si="1"/>
        <v>69.023750000000007</v>
      </c>
      <c r="S26" s="555">
        <f t="shared" si="1"/>
        <v>61.349750000000007</v>
      </c>
      <c r="T26" s="555">
        <f t="shared" si="1"/>
        <v>81.433750000000003</v>
      </c>
      <c r="U26" s="555">
        <f t="shared" si="1"/>
        <v>75.465749999999986</v>
      </c>
      <c r="V26" s="555">
        <f>V50</f>
        <v>48.418749999999996</v>
      </c>
      <c r="W26" s="555">
        <f>W50</f>
        <v>48.349750000000007</v>
      </c>
      <c r="X26" s="677">
        <f t="shared" si="1"/>
        <v>37.400749999999995</v>
      </c>
      <c r="Y26" s="677">
        <f t="shared" si="1"/>
        <v>38.275749999999995</v>
      </c>
      <c r="Z26" s="677">
        <f t="shared" si="1"/>
        <v>38.275749999999995</v>
      </c>
      <c r="AA26" s="677">
        <f t="shared" si="1"/>
        <v>38.275749999999995</v>
      </c>
      <c r="AB26" s="677">
        <f t="shared" si="1"/>
        <v>38.275749999999995</v>
      </c>
      <c r="AC26" s="677">
        <f t="shared" si="1"/>
        <v>38.275749999999995</v>
      </c>
      <c r="AD26" s="677">
        <f t="shared" si="1"/>
        <v>38.275749999999995</v>
      </c>
      <c r="AE26" s="677">
        <f t="shared" si="1"/>
        <v>38.275749999999995</v>
      </c>
      <c r="AF26" s="677">
        <f t="shared" si="1"/>
        <v>38.275749999999995</v>
      </c>
      <c r="AG26" s="677">
        <f t="shared" si="1"/>
        <v>38.275749999999995</v>
      </c>
      <c r="AH26" s="240"/>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40"/>
      <c r="BF26" s="240"/>
      <c r="BG26" s="240"/>
      <c r="BH26" s="240"/>
      <c r="BI26" s="240"/>
      <c r="BJ26" s="240"/>
      <c r="BK26" s="240"/>
      <c r="BL26" s="240"/>
      <c r="BM26" s="240"/>
      <c r="BN26" s="240"/>
      <c r="BO26" s="240"/>
      <c r="BP26" s="240"/>
      <c r="BQ26" s="240"/>
      <c r="BR26" s="240"/>
      <c r="BS26" s="240"/>
      <c r="BT26" s="240"/>
      <c r="BU26" s="240"/>
      <c r="BV26" s="240"/>
      <c r="BW26" s="240"/>
      <c r="BX26" s="240"/>
      <c r="BY26" s="240"/>
      <c r="BZ26" s="240"/>
      <c r="CA26" s="240"/>
      <c r="CB26" s="240"/>
      <c r="CC26" s="240"/>
      <c r="CD26" s="240"/>
      <c r="CE26" s="240"/>
      <c r="CF26" s="240"/>
      <c r="CG26" s="240"/>
      <c r="CH26" s="240"/>
      <c r="CI26" s="240"/>
      <c r="CJ26" s="240"/>
      <c r="CK26" s="240"/>
      <c r="CL26" s="240"/>
      <c r="CM26" s="240"/>
      <c r="CN26" s="240"/>
      <c r="CO26" s="240"/>
      <c r="CP26" s="240"/>
      <c r="CQ26" s="240"/>
      <c r="CR26" s="240"/>
      <c r="CS26" s="240"/>
      <c r="CT26" s="240"/>
      <c r="CU26" s="240"/>
      <c r="CV26" s="240"/>
    </row>
    <row r="27" spans="2:101" ht="15.65" customHeight="1" x14ac:dyDescent="0.35">
      <c r="B27" s="248" t="s">
        <v>798</v>
      </c>
      <c r="C27" s="240" t="s">
        <v>825</v>
      </c>
      <c r="D27" s="274">
        <v>30</v>
      </c>
      <c r="E27" s="230">
        <v>30</v>
      </c>
      <c r="F27" s="230">
        <v>30</v>
      </c>
      <c r="G27" s="230">
        <v>30</v>
      </c>
      <c r="H27" s="230">
        <v>30</v>
      </c>
      <c r="I27" s="230">
        <v>30</v>
      </c>
      <c r="J27" s="230">
        <v>30</v>
      </c>
      <c r="K27" s="226">
        <v>30.2</v>
      </c>
      <c r="L27" s="226">
        <v>30.2</v>
      </c>
      <c r="M27" s="226">
        <f>'Haver Pivoted'!GX89</f>
        <v>34.4</v>
      </c>
      <c r="N27" s="226">
        <f>'Haver Pivoted'!GY89</f>
        <v>34.4</v>
      </c>
      <c r="O27" s="226">
        <f>'Haver Pivoted'!GZ89</f>
        <v>218.933333333333</v>
      </c>
      <c r="P27" s="226">
        <f>'Haver Pivoted'!HA89</f>
        <v>223.13333333333301</v>
      </c>
      <c r="Q27" s="226">
        <f>'Haver Pivoted'!HB89</f>
        <v>94.3</v>
      </c>
      <c r="R27" s="226">
        <f>'Haver Pivoted'!HC89</f>
        <v>94.3</v>
      </c>
      <c r="S27" s="442">
        <f>'Haver Pivoted'!HD89</f>
        <v>94.3</v>
      </c>
      <c r="T27" s="442">
        <f>'Haver Pivoted'!HE89</f>
        <v>94.3</v>
      </c>
      <c r="U27" s="677">
        <v>34</v>
      </c>
      <c r="V27" s="555">
        <v>34</v>
      </c>
      <c r="W27" s="555">
        <v>34</v>
      </c>
      <c r="X27" s="677">
        <v>34</v>
      </c>
      <c r="Y27" s="677">
        <v>34</v>
      </c>
      <c r="Z27" s="677">
        <v>34</v>
      </c>
      <c r="AA27" s="677">
        <v>34</v>
      </c>
      <c r="AB27" s="677">
        <v>34</v>
      </c>
      <c r="AC27" s="677">
        <v>34</v>
      </c>
      <c r="AD27" s="677">
        <v>34</v>
      </c>
      <c r="AE27" s="677">
        <v>34</v>
      </c>
      <c r="AF27" s="677">
        <v>34</v>
      </c>
      <c r="AG27" s="677">
        <v>34</v>
      </c>
    </row>
    <row r="28" spans="2:101" ht="21.65" customHeight="1" x14ac:dyDescent="0.35">
      <c r="B28" s="248" t="s">
        <v>470</v>
      </c>
      <c r="C28" s="240"/>
      <c r="D28" s="275"/>
      <c r="E28" s="234"/>
      <c r="F28" s="234"/>
      <c r="G28" s="234"/>
      <c r="H28" s="555"/>
      <c r="I28" s="555"/>
      <c r="J28" s="555">
        <f>'PPP (expired)'!J53</f>
        <v>57.2</v>
      </c>
      <c r="K28" s="555">
        <f>'PPP (expired)'!K53</f>
        <v>81.2</v>
      </c>
      <c r="L28" s="555">
        <f>'PPP (expired)'!L53</f>
        <v>24.4</v>
      </c>
      <c r="M28" s="555">
        <f>'PPP (expired)'!M53</f>
        <v>11.7</v>
      </c>
      <c r="N28" s="555">
        <f>'PPP (expired)'!N53</f>
        <v>28.5</v>
      </c>
      <c r="O28" s="555">
        <f>'PPP (expired)'!O53</f>
        <v>18.8</v>
      </c>
      <c r="P28" s="555">
        <f>'PPP (expired)'!P53</f>
        <v>1.6</v>
      </c>
      <c r="Q28" s="555">
        <f>'PPP (expired)'!Q53</f>
        <v>0</v>
      </c>
      <c r="R28" s="555">
        <f>'PPP (expired)'!Q61</f>
        <v>0</v>
      </c>
      <c r="S28" s="555">
        <f>'PPP (expired)'!S53</f>
        <v>0</v>
      </c>
      <c r="T28" s="555">
        <f>'PPP (expired)'!T53</f>
        <v>0</v>
      </c>
      <c r="U28" s="555">
        <f>'PPP (expired)'!U53</f>
        <v>0</v>
      </c>
      <c r="V28" s="555">
        <f>'PPP (expired)'!V53</f>
        <v>0</v>
      </c>
      <c r="W28" s="555">
        <f>'PPP (expired)'!W53</f>
        <v>0</v>
      </c>
      <c r="X28" s="677">
        <f>'PPP (expired)'!X53</f>
        <v>0</v>
      </c>
      <c r="Y28" s="677">
        <f>'PPP (expired)'!Y53</f>
        <v>0</v>
      </c>
      <c r="Z28" s="677">
        <f>'PPP (expired)'!Z53</f>
        <v>0</v>
      </c>
      <c r="AA28" s="677">
        <f>'PPP (expired)'!AA53</f>
        <v>0</v>
      </c>
      <c r="AB28" s="677">
        <f>'PPP (expired)'!AB53</f>
        <v>0</v>
      </c>
      <c r="AC28" s="677">
        <f>'PPP (expired)'!AC53</f>
        <v>0</v>
      </c>
      <c r="AD28" s="677">
        <f>'PPP (expired)'!AD53</f>
        <v>0</v>
      </c>
      <c r="AE28" s="677">
        <f>'PPP (expired)'!AE53</f>
        <v>0</v>
      </c>
      <c r="AF28" s="677">
        <f>'PPP (expired)'!AF53</f>
        <v>0</v>
      </c>
      <c r="AG28" s="677">
        <f>'PPP (expired)'!AG53</f>
        <v>0</v>
      </c>
    </row>
    <row r="29" spans="2:101" ht="21.65" customHeight="1" x14ac:dyDescent="0.35">
      <c r="B29" s="462" t="s">
        <v>799</v>
      </c>
      <c r="C29" s="240"/>
      <c r="D29" s="595">
        <f t="shared" ref="D29:AE29" si="2">D74</f>
        <v>0</v>
      </c>
      <c r="E29" s="555">
        <f t="shared" si="2"/>
        <v>0</v>
      </c>
      <c r="F29" s="555">
        <f t="shared" si="2"/>
        <v>0</v>
      </c>
      <c r="G29" s="555">
        <f t="shared" si="2"/>
        <v>0</v>
      </c>
      <c r="H29" s="555">
        <f t="shared" si="2"/>
        <v>0</v>
      </c>
      <c r="I29" s="555">
        <f t="shared" si="2"/>
        <v>-6.6417499999997744</v>
      </c>
      <c r="J29" s="555">
        <f t="shared" si="2"/>
        <v>-38.222083333332648</v>
      </c>
      <c r="K29" s="555">
        <f t="shared" si="2"/>
        <v>84.695583333333389</v>
      </c>
      <c r="L29" s="555">
        <f t="shared" si="2"/>
        <v>16.60225000000014</v>
      </c>
      <c r="M29" s="555">
        <f t="shared" si="2"/>
        <v>16.668916666666519</v>
      </c>
      <c r="N29" s="555">
        <f t="shared" si="2"/>
        <v>-12.19925666666677</v>
      </c>
      <c r="O29" s="555">
        <f t="shared" si="2"/>
        <v>-14.628243333333103</v>
      </c>
      <c r="P29" s="555">
        <f t="shared" si="2"/>
        <v>-31.382416666666586</v>
      </c>
      <c r="Q29" s="555">
        <f t="shared" si="2"/>
        <v>-3.1812166666670691</v>
      </c>
      <c r="R29" s="555">
        <f t="shared" si="2"/>
        <v>-1.8405500000005759</v>
      </c>
      <c r="S29" s="555">
        <f t="shared" si="2"/>
        <v>-17.07788333333383</v>
      </c>
      <c r="T29" s="555">
        <f t="shared" si="2"/>
        <v>-2.5472166666675093</v>
      </c>
      <c r="U29" s="555">
        <f t="shared" si="2"/>
        <v>18.339804999999615</v>
      </c>
      <c r="V29" s="555">
        <f>V74</f>
        <v>17.924900238094551</v>
      </c>
      <c r="W29" s="555">
        <f t="shared" si="2"/>
        <v>7.0605669047611173</v>
      </c>
      <c r="X29" s="677">
        <f t="shared" si="2"/>
        <v>24.070804999999382</v>
      </c>
      <c r="Y29" s="677">
        <f t="shared" si="2"/>
        <v>62.816743666665843</v>
      </c>
      <c r="Z29" s="677">
        <f t="shared" si="2"/>
        <v>62.816743666665843</v>
      </c>
      <c r="AA29" s="677">
        <f t="shared" si="2"/>
        <v>62.816743666665843</v>
      </c>
      <c r="AB29" s="677">
        <f t="shared" si="2"/>
        <v>62.816743666665843</v>
      </c>
      <c r="AC29" s="677">
        <f t="shared" si="2"/>
        <v>62.816743666665843</v>
      </c>
      <c r="AD29" s="677">
        <f t="shared" si="2"/>
        <v>62.816743666665843</v>
      </c>
      <c r="AE29" s="677">
        <f t="shared" si="2"/>
        <v>62.816743666665843</v>
      </c>
      <c r="AF29" s="677">
        <f>AF74</f>
        <v>62.816743666665843</v>
      </c>
      <c r="AG29" s="677">
        <f>AG74</f>
        <v>62.816743666665843</v>
      </c>
    </row>
    <row r="30" spans="2:101" ht="21" customHeight="1" x14ac:dyDescent="0.35">
      <c r="B30" s="268" t="s">
        <v>796</v>
      </c>
      <c r="C30" s="263"/>
      <c r="D30" s="724">
        <f t="shared" ref="D30:W30" si="3">D25+D21</f>
        <v>0</v>
      </c>
      <c r="E30" s="637">
        <f t="shared" si="3"/>
        <v>0</v>
      </c>
      <c r="F30" s="637">
        <f t="shared" si="3"/>
        <v>0</v>
      </c>
      <c r="G30" s="637">
        <f t="shared" si="3"/>
        <v>0</v>
      </c>
      <c r="H30" s="637">
        <f t="shared" si="3"/>
        <v>0</v>
      </c>
      <c r="I30" s="637">
        <f t="shared" si="3"/>
        <v>0</v>
      </c>
      <c r="J30" s="637">
        <f t="shared" si="3"/>
        <v>160.9</v>
      </c>
      <c r="K30" s="637">
        <f t="shared" si="3"/>
        <v>58.4</v>
      </c>
      <c r="L30" s="637">
        <f t="shared" si="3"/>
        <v>34.5</v>
      </c>
      <c r="M30" s="637">
        <f t="shared" si="3"/>
        <v>21.4</v>
      </c>
      <c r="N30" s="637">
        <f t="shared" si="3"/>
        <v>13.3</v>
      </c>
      <c r="O30" s="637">
        <f t="shared" si="3"/>
        <v>21.804000000000041</v>
      </c>
      <c r="P30" s="552">
        <f t="shared" si="3"/>
        <v>51.919000000000011</v>
      </c>
      <c r="Q30" s="637">
        <f t="shared" si="3"/>
        <v>46.619</v>
      </c>
      <c r="R30" s="637">
        <f t="shared" si="3"/>
        <v>39.719000000000008</v>
      </c>
      <c r="S30" s="637">
        <f t="shared" si="3"/>
        <v>27.819000000000003</v>
      </c>
      <c r="T30" s="552">
        <f t="shared" si="3"/>
        <v>6.3160000000000007</v>
      </c>
      <c r="U30" s="552">
        <f t="shared" si="3"/>
        <v>1.4159999999999999</v>
      </c>
      <c r="V30" s="552">
        <f t="shared" si="3"/>
        <v>1.4159999999999999</v>
      </c>
      <c r="W30" s="552">
        <f t="shared" si="3"/>
        <v>1.4159999999999999</v>
      </c>
      <c r="X30" s="557">
        <f t="shared" ref="X30:AB30" si="4">X25+X21</f>
        <v>1.4790000000000001</v>
      </c>
      <c r="Y30" s="557">
        <f t="shared" si="4"/>
        <v>1.4790000000000001</v>
      </c>
      <c r="Z30" s="557">
        <f t="shared" si="4"/>
        <v>1.4790000000000001</v>
      </c>
      <c r="AA30" s="557">
        <f t="shared" si="4"/>
        <v>1.4790000000000001</v>
      </c>
      <c r="AB30" s="557">
        <f t="shared" si="4"/>
        <v>1.63</v>
      </c>
      <c r="AC30" s="557">
        <f>AC25+AC21</f>
        <v>1.63</v>
      </c>
      <c r="AD30" s="557">
        <f t="shared" ref="AD30:AE30" si="5">AD25+AD21</f>
        <v>1.63</v>
      </c>
      <c r="AE30" s="557">
        <f t="shared" si="5"/>
        <v>1.63</v>
      </c>
      <c r="AF30" s="557">
        <f>AF25+AF21</f>
        <v>1.671</v>
      </c>
      <c r="AG30" s="557">
        <f>AG25+AG21</f>
        <v>0</v>
      </c>
    </row>
    <row r="31" spans="2:101" ht="44.9" customHeight="1" x14ac:dyDescent="0.35">
      <c r="B31" s="248" t="s">
        <v>803</v>
      </c>
      <c r="C31" s="240"/>
      <c r="D31" s="595">
        <f t="shared" ref="D31:AE31" si="6">D66</f>
        <v>1410.9</v>
      </c>
      <c r="E31" s="555">
        <f t="shared" si="6"/>
        <v>1471.1999999999998</v>
      </c>
      <c r="F31" s="555">
        <f t="shared" si="6"/>
        <v>1477.1000000000001</v>
      </c>
      <c r="G31" s="555">
        <f t="shared" si="6"/>
        <v>1484</v>
      </c>
      <c r="H31" s="555">
        <f t="shared" si="6"/>
        <v>1492</v>
      </c>
      <c r="I31" s="555">
        <f t="shared" si="6"/>
        <v>1543.2999999999997</v>
      </c>
      <c r="J31" s="555">
        <f t="shared" si="6"/>
        <v>1550.2333333333331</v>
      </c>
      <c r="K31" s="555">
        <f t="shared" si="6"/>
        <v>1557.1666666666665</v>
      </c>
      <c r="L31" s="555">
        <f t="shared" si="6"/>
        <v>1564.1</v>
      </c>
      <c r="M31" s="555">
        <f t="shared" si="6"/>
        <v>1588.5533333333333</v>
      </c>
      <c r="N31" s="555">
        <f t="shared" si="6"/>
        <v>1595.4866666666667</v>
      </c>
      <c r="O31" s="555">
        <f t="shared" si="6"/>
        <v>1602.42</v>
      </c>
      <c r="P31" s="555">
        <f t="shared" si="6"/>
        <v>1609.3533333333335</v>
      </c>
      <c r="Q31" s="555">
        <f t="shared" si="6"/>
        <v>1688.207466666667</v>
      </c>
      <c r="R31" s="555">
        <f t="shared" si="6"/>
        <v>1695.1408000000004</v>
      </c>
      <c r="S31" s="555">
        <f t="shared" si="6"/>
        <v>1702.0741333333337</v>
      </c>
      <c r="T31" s="555">
        <f t="shared" si="6"/>
        <v>1709.0074666666671</v>
      </c>
      <c r="U31" s="555">
        <f t="shared" si="6"/>
        <v>1822.5884450000005</v>
      </c>
      <c r="V31" s="555">
        <f t="shared" si="6"/>
        <v>1829.5217783333339</v>
      </c>
      <c r="W31" s="555">
        <f t="shared" si="6"/>
        <v>1836.4551116666673</v>
      </c>
      <c r="X31" s="677">
        <f t="shared" si="6"/>
        <v>1843.3884450000007</v>
      </c>
      <c r="Y31" s="677">
        <f t="shared" si="6"/>
        <v>1895.9675063333341</v>
      </c>
      <c r="Z31" s="677">
        <f t="shared" si="6"/>
        <v>1902.9008396666675</v>
      </c>
      <c r="AA31" s="677">
        <f t="shared" si="6"/>
        <v>1909.8341730000009</v>
      </c>
      <c r="AB31" s="677">
        <f t="shared" si="6"/>
        <v>1916.7675063333343</v>
      </c>
      <c r="AC31" s="677">
        <f t="shared" si="6"/>
        <v>1958.5494476076676</v>
      </c>
      <c r="AD31" s="677">
        <f t="shared" si="6"/>
        <v>1965.482780941001</v>
      </c>
      <c r="AE31" s="677">
        <f t="shared" si="6"/>
        <v>1972.4161142743344</v>
      </c>
      <c r="AF31" s="677">
        <f>AF66</f>
        <v>1979.3494476076678</v>
      </c>
      <c r="AG31" s="677">
        <f>AG66</f>
        <v>2023.3367118646443</v>
      </c>
    </row>
    <row r="32" spans="2:101" ht="44.9" customHeight="1" x14ac:dyDescent="0.35">
      <c r="B32" s="426" t="s">
        <v>1185</v>
      </c>
      <c r="D32" s="595"/>
      <c r="E32" s="555"/>
      <c r="F32" s="555"/>
      <c r="G32" s="555"/>
      <c r="H32" s="555"/>
      <c r="I32" s="555"/>
      <c r="J32" s="555"/>
      <c r="K32" s="555"/>
      <c r="L32" s="555"/>
      <c r="M32" s="555"/>
      <c r="N32" s="555"/>
      <c r="O32" s="555"/>
      <c r="P32" s="555"/>
      <c r="Q32" s="555"/>
      <c r="R32" s="555"/>
      <c r="S32" s="667">
        <f>'IRA and CHIPS'!E191</f>
        <v>-0.622</v>
      </c>
      <c r="T32" s="667">
        <f>'IRA and CHIPS'!F191</f>
        <v>21.89</v>
      </c>
      <c r="U32" s="667">
        <f>'IRA and CHIPS'!G191</f>
        <v>21.89</v>
      </c>
      <c r="V32" s="667">
        <f>'IRA and CHIPS'!H191</f>
        <v>21.89</v>
      </c>
      <c r="W32" s="667">
        <f>'IRA and CHIPS'!I191</f>
        <v>21.89</v>
      </c>
      <c r="X32" s="679">
        <f>'IRA and CHIPS'!J191</f>
        <v>15.439</v>
      </c>
      <c r="Y32" s="679">
        <f>'IRA and CHIPS'!K191</f>
        <v>15.439</v>
      </c>
      <c r="Z32" s="679">
        <f>'IRA and CHIPS'!L191</f>
        <v>15.439</v>
      </c>
      <c r="AA32" s="679">
        <f>'IRA and CHIPS'!M191</f>
        <v>15.439</v>
      </c>
      <c r="AB32" s="679">
        <f>'IRA and CHIPS'!N191</f>
        <v>16.966999999999999</v>
      </c>
      <c r="AC32" s="679">
        <f>'IRA and CHIPS'!O191</f>
        <v>16.966999999999999</v>
      </c>
      <c r="AD32" s="679">
        <f>'IRA and CHIPS'!P191</f>
        <v>16.966999999999999</v>
      </c>
      <c r="AE32" s="679">
        <f>'IRA and CHIPS'!Q191</f>
        <v>16.966999999999999</v>
      </c>
      <c r="AF32" s="679">
        <f>'IRA and CHIPS'!R191</f>
        <v>0.72799999999999998</v>
      </c>
      <c r="AG32" s="679">
        <f>'IRA and CHIPS'!S191</f>
        <v>0.72799999999999998</v>
      </c>
    </row>
    <row r="33" spans="2:33" ht="31.4" customHeight="1" x14ac:dyDescent="0.35">
      <c r="B33" s="583" t="s">
        <v>800</v>
      </c>
      <c r="C33" s="263"/>
      <c r="D33" s="552">
        <f t="shared" ref="D33:R33" si="7">D31+SUM(D26:D29)+D32</f>
        <v>1440.9</v>
      </c>
      <c r="E33" s="552">
        <f t="shared" si="7"/>
        <v>1501.1999999999998</v>
      </c>
      <c r="F33" s="552">
        <f t="shared" si="7"/>
        <v>1507.1000000000001</v>
      </c>
      <c r="G33" s="552">
        <f t="shared" si="7"/>
        <v>1514</v>
      </c>
      <c r="H33" s="552">
        <f t="shared" si="7"/>
        <v>1522</v>
      </c>
      <c r="I33" s="552">
        <f t="shared" si="7"/>
        <v>1573.3</v>
      </c>
      <c r="J33" s="552">
        <f t="shared" si="7"/>
        <v>1650.6000000000004</v>
      </c>
      <c r="K33" s="552">
        <f t="shared" si="7"/>
        <v>1808.6</v>
      </c>
      <c r="L33" s="552">
        <f t="shared" si="7"/>
        <v>1697.9</v>
      </c>
      <c r="M33" s="552">
        <f t="shared" si="7"/>
        <v>1739.3999999999999</v>
      </c>
      <c r="N33" s="552">
        <f t="shared" si="7"/>
        <v>1749.07816</v>
      </c>
      <c r="O33" s="552">
        <f t="shared" si="7"/>
        <v>1919.92984</v>
      </c>
      <c r="P33" s="552">
        <f t="shared" si="7"/>
        <v>1894.6239999999998</v>
      </c>
      <c r="Q33" s="552">
        <f t="shared" si="7"/>
        <v>1859.424</v>
      </c>
      <c r="R33" s="552">
        <f t="shared" si="7"/>
        <v>1856.6239999999998</v>
      </c>
      <c r="S33" s="552">
        <f>S31+SUM(S26:S29)+S32</f>
        <v>1840.0239999999999</v>
      </c>
      <c r="T33" s="696">
        <f>T31+SUM(T26:T29)+T32</f>
        <v>1904.0839999999996</v>
      </c>
      <c r="U33" s="696">
        <f>U31+SUM(U26:U29)+U32</f>
        <v>1972.2840000000003</v>
      </c>
      <c r="V33" s="552">
        <f>V31+SUM(V26:V29)+V32</f>
        <v>1951.7554285714286</v>
      </c>
      <c r="W33" s="552">
        <f>W31+SUM(W26:W29)+W32</f>
        <v>1947.7554285714286</v>
      </c>
      <c r="X33" s="557">
        <f t="shared" ref="X33" si="8">X31+SUM(X26:X29)+X32</f>
        <v>1954.2990000000002</v>
      </c>
      <c r="Y33" s="557">
        <f>Y31+SUM(Y26:Y29)+Y32</f>
        <v>2046.499</v>
      </c>
      <c r="Z33" s="557">
        <f t="shared" ref="Z33" si="9">Z31+SUM(Z26:Z29)+Z32</f>
        <v>2053.4323333333332</v>
      </c>
      <c r="AA33" s="557">
        <f t="shared" ref="AA33" si="10">AA31+SUM(AA26:AA29)+AA32</f>
        <v>2060.3656666666666</v>
      </c>
      <c r="AB33" s="557">
        <f t="shared" ref="AB33" si="11">AB31+SUM(AB26:AB29)+AB32</f>
        <v>2068.8270000000002</v>
      </c>
      <c r="AC33" s="557">
        <f>AC31+SUM(AC26:AC29)+AC32</f>
        <v>2110.6089412743336</v>
      </c>
      <c r="AD33" s="557">
        <f t="shared" ref="AD33:AE33" si="12">AD31+SUM(AD26:AD29)+AD32</f>
        <v>2117.542274607667</v>
      </c>
      <c r="AE33" s="557">
        <f t="shared" si="12"/>
        <v>2124.4756079410004</v>
      </c>
      <c r="AF33" s="557">
        <f>AF31+SUM(AF26:AF29)+AF32</f>
        <v>2115.1699412743337</v>
      </c>
      <c r="AG33" s="557">
        <f>AG31+SUM(AG26:AG29)+AG32</f>
        <v>2159.15720553131</v>
      </c>
    </row>
    <row r="34" spans="2:33" ht="31.4" customHeight="1" x14ac:dyDescent="0.35">
      <c r="B34" s="583"/>
      <c r="C34" s="263"/>
      <c r="D34" s="552"/>
      <c r="E34" s="552"/>
      <c r="F34" s="552"/>
      <c r="G34" s="552"/>
      <c r="H34" s="552"/>
      <c r="I34" s="552"/>
      <c r="J34" s="552"/>
      <c r="K34" s="552"/>
      <c r="L34" s="552"/>
      <c r="M34" s="552"/>
      <c r="N34" s="552"/>
      <c r="O34" s="552"/>
      <c r="P34" s="552"/>
      <c r="Q34" s="552"/>
      <c r="R34" s="552"/>
      <c r="S34" s="552"/>
      <c r="T34" s="552"/>
      <c r="U34" s="552"/>
      <c r="V34" s="552"/>
      <c r="W34" s="552"/>
      <c r="X34" s="557"/>
      <c r="Y34" s="557"/>
      <c r="Z34" s="557"/>
      <c r="AA34" s="557"/>
      <c r="AB34" s="557"/>
      <c r="AC34" s="557"/>
    </row>
    <row r="35" spans="2:33" ht="31.4" customHeight="1" x14ac:dyDescent="0.35">
      <c r="B35" s="1373" t="s">
        <v>473</v>
      </c>
      <c r="C35" s="1374"/>
      <c r="D35" s="578"/>
      <c r="E35" s="579"/>
      <c r="F35" s="579"/>
      <c r="G35" s="579"/>
      <c r="H35" s="579"/>
      <c r="I35" s="579"/>
      <c r="J35" s="579"/>
      <c r="K35" s="579"/>
      <c r="L35" s="579"/>
      <c r="M35" s="579"/>
      <c r="N35" s="579"/>
      <c r="O35" s="579"/>
      <c r="P35" s="579"/>
      <c r="Q35" s="579"/>
      <c r="R35" s="579"/>
      <c r="S35" s="579"/>
      <c r="T35" s="552"/>
      <c r="U35" s="579"/>
      <c r="V35" s="552"/>
      <c r="W35" s="552"/>
      <c r="X35" s="557"/>
      <c r="Y35" s="557"/>
      <c r="Z35" s="557"/>
      <c r="AA35" s="557"/>
      <c r="AB35" s="557"/>
      <c r="AC35" s="689"/>
    </row>
    <row r="36" spans="2:33" x14ac:dyDescent="0.35">
      <c r="B36" s="462" t="s">
        <v>805</v>
      </c>
      <c r="C36" s="240" t="s">
        <v>474</v>
      </c>
      <c r="D36" s="275">
        <f>'Haver Pivoted'!GO37</f>
        <v>733.6</v>
      </c>
      <c r="E36" s="234">
        <f>'Haver Pivoted'!GP37</f>
        <v>744.2</v>
      </c>
      <c r="F36" s="234">
        <f>'Haver Pivoted'!GQ37</f>
        <v>762.1</v>
      </c>
      <c r="G36" s="234">
        <f>'Haver Pivoted'!GR37</f>
        <v>772.2</v>
      </c>
      <c r="H36" s="234">
        <f>'Haver Pivoted'!GS37</f>
        <v>772.4</v>
      </c>
      <c r="I36" s="234">
        <f>'Haver Pivoted'!GT37</f>
        <v>761.7</v>
      </c>
      <c r="J36" s="234">
        <f>'Haver Pivoted'!GU37</f>
        <v>812.1</v>
      </c>
      <c r="K36" s="234">
        <f>'Haver Pivoted'!GV37</f>
        <v>850.2</v>
      </c>
      <c r="L36" s="234">
        <f>'Haver Pivoted'!GW37</f>
        <v>838.8</v>
      </c>
      <c r="M36" s="234">
        <f>'Haver Pivoted'!GX37</f>
        <v>866.1</v>
      </c>
      <c r="N36" s="234">
        <f>'Haver Pivoted'!GY37</f>
        <v>908</v>
      </c>
      <c r="O36" s="234">
        <f>'Haver Pivoted'!GZ37</f>
        <v>915.6</v>
      </c>
      <c r="P36" s="234">
        <f>'Haver Pivoted'!HA37</f>
        <v>912.9</v>
      </c>
      <c r="Q36" s="234">
        <f>'Haver Pivoted'!HB37</f>
        <v>960.5</v>
      </c>
      <c r="R36" s="234">
        <f>'Haver Pivoted'!HC37</f>
        <v>995.3</v>
      </c>
      <c r="S36" s="636">
        <f>'Haver Pivoted'!HD37</f>
        <v>1015.5</v>
      </c>
      <c r="T36" s="636">
        <f>'Haver Pivoted'!HE37</f>
        <v>1078.2</v>
      </c>
      <c r="U36" s="636">
        <f>'Haver Pivoted'!HF37</f>
        <v>1055.7</v>
      </c>
      <c r="V36" s="666">
        <f>'Haver Pivoted'!HG37</f>
        <v>1087.5</v>
      </c>
      <c r="W36" s="666">
        <f>'Haver Pivoted'!HH37</f>
        <v>1057.5999999999999</v>
      </c>
      <c r="X36" s="666">
        <f>'Haver Pivoted'!HI37</f>
        <v>1045.2</v>
      </c>
      <c r="Y36" s="666">
        <f>'Haver Pivoted'!HJ37</f>
        <v>1094.8</v>
      </c>
      <c r="Z36" s="680"/>
      <c r="AA36" s="680"/>
      <c r="AB36" s="680"/>
      <c r="AC36" s="735"/>
    </row>
    <row r="37" spans="2:33" x14ac:dyDescent="0.35">
      <c r="B37" s="551" t="s">
        <v>209</v>
      </c>
      <c r="C37" s="240"/>
      <c r="D37" s="595">
        <f>Medicaid!D27</f>
        <v>589.5</v>
      </c>
      <c r="E37" s="555">
        <f>Medicaid!E27</f>
        <v>598.70000000000005</v>
      </c>
      <c r="F37" s="555">
        <f>Medicaid!F27</f>
        <v>614.4</v>
      </c>
      <c r="G37" s="555">
        <f>Medicaid!G27</f>
        <v>622.4</v>
      </c>
      <c r="H37" s="555">
        <f>Medicaid!H27</f>
        <v>620.6</v>
      </c>
      <c r="I37" s="555">
        <f>Medicaid!I27</f>
        <v>606.4</v>
      </c>
      <c r="J37" s="555">
        <f>Medicaid!J27</f>
        <v>654.6</v>
      </c>
      <c r="K37" s="555">
        <f>Medicaid!K27</f>
        <v>690.8</v>
      </c>
      <c r="L37" s="555">
        <f>Medicaid!L27</f>
        <v>678.6</v>
      </c>
      <c r="M37" s="555">
        <f>Medicaid!M27</f>
        <v>705</v>
      </c>
      <c r="N37" s="555">
        <f>Medicaid!N27</f>
        <v>745.7</v>
      </c>
      <c r="O37" s="555">
        <f>Medicaid!O27</f>
        <v>749.2</v>
      </c>
      <c r="P37" s="555">
        <f>Medicaid!P27</f>
        <v>746.1</v>
      </c>
      <c r="Q37" s="555">
        <f>Medicaid!Q27</f>
        <v>791.4</v>
      </c>
      <c r="R37" s="555">
        <f>Medicaid!R27</f>
        <v>818.7</v>
      </c>
      <c r="S37" s="636">
        <f>Medicaid!S27</f>
        <v>819</v>
      </c>
      <c r="T37" s="555">
        <f>Medicaid!T27</f>
        <v>828.4</v>
      </c>
      <c r="U37" s="555">
        <f>Medicaid!U27</f>
        <v>871.5</v>
      </c>
      <c r="V37" s="555">
        <f>Medicaid!V27</f>
        <v>911.4</v>
      </c>
      <c r="W37" s="555">
        <f>Medicaid!W27</f>
        <v>880.6</v>
      </c>
      <c r="X37" s="677">
        <f>Medicaid!X27</f>
        <v>868.3</v>
      </c>
      <c r="Y37" s="677">
        <f>Medicaid!Y27</f>
        <v>916.9</v>
      </c>
      <c r="Z37" s="677">
        <f>Medicaid!Z27</f>
        <v>974.06810687091604</v>
      </c>
      <c r="AA37" s="677">
        <f>Medicaid!AA27</f>
        <v>994.74548978777989</v>
      </c>
      <c r="AB37" s="677">
        <f>Medicaid!AB27</f>
        <v>1001.8057700902358</v>
      </c>
      <c r="AC37" s="722">
        <f>Medicaid!AC27</f>
        <v>1008.9161612586981</v>
      </c>
    </row>
    <row r="38" spans="2:33" ht="14.9" customHeight="1" x14ac:dyDescent="0.35">
      <c r="B38" s="583" t="s">
        <v>806</v>
      </c>
      <c r="C38" s="263"/>
      <c r="D38" s="594">
        <f>D36-D37</f>
        <v>144.10000000000002</v>
      </c>
      <c r="E38" s="552">
        <f t="shared" ref="E38:O38" si="13">E36-E37</f>
        <v>145.5</v>
      </c>
      <c r="F38" s="552">
        <f t="shared" si="13"/>
        <v>147.70000000000005</v>
      </c>
      <c r="G38" s="552">
        <f t="shared" si="13"/>
        <v>149.80000000000007</v>
      </c>
      <c r="H38" s="552">
        <f t="shared" si="13"/>
        <v>151.79999999999995</v>
      </c>
      <c r="I38" s="552">
        <f t="shared" si="13"/>
        <v>155.30000000000007</v>
      </c>
      <c r="J38" s="552">
        <f t="shared" si="13"/>
        <v>157.5</v>
      </c>
      <c r="K38" s="552">
        <f t="shared" si="13"/>
        <v>159.40000000000009</v>
      </c>
      <c r="L38" s="552">
        <f t="shared" si="13"/>
        <v>160.19999999999993</v>
      </c>
      <c r="M38" s="552">
        <f t="shared" si="13"/>
        <v>161.10000000000002</v>
      </c>
      <c r="N38" s="552">
        <f t="shared" si="13"/>
        <v>162.29999999999995</v>
      </c>
      <c r="O38" s="552">
        <f t="shared" si="13"/>
        <v>166.39999999999998</v>
      </c>
      <c r="P38" s="552">
        <f>P36-P37</f>
        <v>166.79999999999995</v>
      </c>
      <c r="Q38" s="552">
        <f>Q36-Q37</f>
        <v>169.10000000000002</v>
      </c>
      <c r="R38" s="552">
        <f>R36-R37</f>
        <v>176.59999999999991</v>
      </c>
      <c r="S38" s="636">
        <f>S36-S37</f>
        <v>196.5</v>
      </c>
      <c r="T38" s="636">
        <f>T36-T37</f>
        <v>249.80000000000007</v>
      </c>
      <c r="U38" s="552">
        <f>T38*(1+AVERAGE($F$40:$I$40))+U39</f>
        <v>183.90584224202988</v>
      </c>
      <c r="V38" s="552">
        <f>U38*(1+AVERAGE($F$40:$I$40))+V39</f>
        <v>186.92861396193939</v>
      </c>
      <c r="W38" s="552">
        <f t="shared" ref="W38:AA38" si="14">V38*(1+AVERAGE($F$40:$I$40))</f>
        <v>190.00106952418523</v>
      </c>
      <c r="X38" s="557">
        <f>W38*(1+AVERAGE($F$40:$I$40))</f>
        <v>193.12402555814535</v>
      </c>
      <c r="Y38" s="557">
        <f t="shared" si="14"/>
        <v>196.29831211574134</v>
      </c>
      <c r="Z38" s="557">
        <f t="shared" si="14"/>
        <v>199.52477289205825</v>
      </c>
      <c r="AA38" s="557">
        <f t="shared" si="14"/>
        <v>202.80426544959073</v>
      </c>
      <c r="AB38" s="557">
        <f>AA38*(1+AVERAGE($F$40:$I$40))</f>
        <v>206.137661446175</v>
      </c>
      <c r="AC38" s="557">
        <f t="shared" ref="AC38:AG38" si="15">AB38*(1+AVERAGE($F$40:$I$40))</f>
        <v>209.52584686666717</v>
      </c>
      <c r="AD38" s="557">
        <f t="shared" si="15"/>
        <v>212.9697222584295</v>
      </c>
      <c r="AE38" s="557">
        <f t="shared" si="15"/>
        <v>216.47020297068735</v>
      </c>
      <c r="AF38" s="557">
        <f t="shared" si="15"/>
        <v>220.02821939782032</v>
      </c>
      <c r="AG38" s="557">
        <f t="shared" si="15"/>
        <v>223.64471722665206</v>
      </c>
    </row>
    <row r="39" spans="2:33" ht="14.9" customHeight="1" x14ac:dyDescent="0.35">
      <c r="B39" s="583" t="s">
        <v>1695</v>
      </c>
      <c r="C39" s="263"/>
      <c r="D39" s="594"/>
      <c r="E39" s="552"/>
      <c r="F39" s="552"/>
      <c r="G39" s="552"/>
      <c r="H39" s="552"/>
      <c r="I39" s="552"/>
      <c r="J39" s="552"/>
      <c r="K39" s="552"/>
      <c r="L39" s="552"/>
      <c r="M39" s="552"/>
      <c r="N39" s="552"/>
      <c r="O39" s="552"/>
      <c r="P39" s="552"/>
      <c r="Q39" s="552"/>
      <c r="R39" s="552"/>
      <c r="S39" s="636"/>
      <c r="T39" s="552"/>
      <c r="U39" s="552">
        <v>-70</v>
      </c>
      <c r="V39" s="552"/>
      <c r="W39" s="552"/>
      <c r="X39" s="557"/>
      <c r="Y39" s="557"/>
      <c r="Z39" s="557"/>
      <c r="AA39" s="557"/>
      <c r="AB39" s="557"/>
      <c r="AC39" s="689"/>
    </row>
    <row r="40" spans="2:33" x14ac:dyDescent="0.35">
      <c r="B40" s="716" t="s">
        <v>807</v>
      </c>
      <c r="C40" s="358"/>
      <c r="D40" s="596"/>
      <c r="E40" s="582">
        <f>E38/D38-1</f>
        <v>9.7154753643302616E-3</v>
      </c>
      <c r="F40" s="582">
        <f t="shared" ref="F40:N40" si="16">F38/E38-1</f>
        <v>1.5120274914089737E-2</v>
      </c>
      <c r="G40" s="582">
        <f t="shared" si="16"/>
        <v>1.4218009478673244E-2</v>
      </c>
      <c r="H40" s="582">
        <f t="shared" si="16"/>
        <v>1.3351134846461221E-2</v>
      </c>
      <c r="I40" s="582">
        <f t="shared" si="16"/>
        <v>2.3056653491436929E-2</v>
      </c>
      <c r="J40" s="582">
        <f t="shared" si="16"/>
        <v>1.416613007083023E-2</v>
      </c>
      <c r="K40" s="582">
        <f t="shared" si="16"/>
        <v>1.2063492063492554E-2</v>
      </c>
      <c r="L40" s="582">
        <f t="shared" si="16"/>
        <v>5.0188205771632965E-3</v>
      </c>
      <c r="M40" s="582">
        <f t="shared" si="16"/>
        <v>5.6179775280904565E-3</v>
      </c>
      <c r="N40" s="582">
        <f t="shared" si="16"/>
        <v>7.4487895716941477E-3</v>
      </c>
      <c r="O40" s="582">
        <f>O38/N38-1</f>
        <v>2.5261860751694565E-2</v>
      </c>
      <c r="P40" s="582">
        <f t="shared" ref="P40:S40" si="17">P38/O38-1</f>
        <v>2.4038461538460343E-3</v>
      </c>
      <c r="Q40" s="582">
        <f t="shared" si="17"/>
        <v>1.3788968824940406E-2</v>
      </c>
      <c r="R40" s="582">
        <f t="shared" si="17"/>
        <v>4.4352454169130029E-2</v>
      </c>
      <c r="S40" s="656">
        <f t="shared" si="17"/>
        <v>0.1126840317100799</v>
      </c>
      <c r="T40" s="554"/>
      <c r="U40" s="554"/>
      <c r="V40" s="554"/>
      <c r="W40" s="554"/>
      <c r="X40" s="590"/>
      <c r="Y40" s="590"/>
      <c r="Z40" s="590"/>
      <c r="AA40" s="590"/>
      <c r="AB40" s="590"/>
      <c r="AC40" s="688"/>
    </row>
    <row r="44" spans="2:33" x14ac:dyDescent="0.35">
      <c r="P44" s="486"/>
      <c r="Q44" s="486"/>
    </row>
    <row r="45" spans="2:33" x14ac:dyDescent="0.35">
      <c r="B45" s="517" t="s">
        <v>352</v>
      </c>
      <c r="D45" s="555"/>
      <c r="E45" s="555"/>
      <c r="F45" s="555"/>
      <c r="G45" s="555"/>
      <c r="H45" s="555"/>
      <c r="I45" s="555"/>
      <c r="J45" s="555"/>
      <c r="K45" s="555"/>
      <c r="L45" s="555"/>
      <c r="M45" s="555"/>
      <c r="N45" s="555"/>
      <c r="O45" s="555"/>
      <c r="P45" s="555"/>
      <c r="Q45" s="555"/>
      <c r="R45" s="555"/>
      <c r="S45" s="555"/>
      <c r="T45" s="555"/>
      <c r="U45" s="555"/>
      <c r="V45" s="555"/>
      <c r="W45" s="555"/>
      <c r="X45" s="555"/>
      <c r="Y45" s="555"/>
      <c r="Z45" s="555"/>
      <c r="AA45" s="555"/>
      <c r="AB45" s="555"/>
      <c r="AC45" s="555"/>
    </row>
    <row r="46" spans="2:33" ht="45.75" customHeight="1" x14ac:dyDescent="0.35">
      <c r="B46" s="1375" t="s">
        <v>477</v>
      </c>
      <c r="C46" s="1375"/>
      <c r="D46" s="1375"/>
      <c r="E46" s="1375"/>
      <c r="F46" s="1375"/>
      <c r="G46" s="1375"/>
      <c r="H46" s="1375"/>
      <c r="I46" s="1375"/>
      <c r="J46" s="1375"/>
      <c r="K46" s="1375"/>
      <c r="L46" s="1375"/>
      <c r="M46" s="1375"/>
      <c r="N46" s="1375"/>
      <c r="O46" s="1375"/>
      <c r="P46" s="1375"/>
      <c r="Q46" s="1375"/>
      <c r="R46" s="1375"/>
      <c r="S46" s="1375"/>
      <c r="T46" s="1375"/>
      <c r="U46" s="1375"/>
      <c r="V46" s="1375"/>
      <c r="W46" s="1375"/>
      <c r="X46" s="1375"/>
      <c r="Y46" s="1375"/>
      <c r="Z46" s="1375"/>
      <c r="AA46" s="1375"/>
      <c r="AB46" s="1375"/>
      <c r="AC46" s="1375"/>
    </row>
    <row r="47" spans="2:33" ht="14.9" customHeight="1" x14ac:dyDescent="0.35">
      <c r="B47" s="1284" t="s">
        <v>478</v>
      </c>
      <c r="C47" s="1285"/>
      <c r="D47" s="1348" t="s">
        <v>280</v>
      </c>
      <c r="E47" s="1349"/>
      <c r="F47" s="1349"/>
      <c r="G47" s="1349"/>
      <c r="H47" s="1349"/>
      <c r="I47" s="1349"/>
      <c r="J47" s="1349"/>
      <c r="K47" s="1349"/>
      <c r="L47" s="1349"/>
      <c r="M47" s="1349"/>
      <c r="N47" s="1349"/>
      <c r="O47" s="1349"/>
      <c r="P47" s="1349"/>
      <c r="Q47" s="1349"/>
      <c r="R47" s="1349"/>
      <c r="S47" s="1349"/>
      <c r="T47" s="1349"/>
      <c r="U47" s="1349"/>
      <c r="V47" s="1381"/>
      <c r="W47" s="1311" t="s">
        <v>281</v>
      </c>
      <c r="X47" s="1312"/>
      <c r="Y47" s="1312"/>
      <c r="Z47" s="1312"/>
      <c r="AA47" s="1312"/>
      <c r="AB47" s="1312"/>
      <c r="AC47" s="1312"/>
      <c r="AD47" s="1312"/>
      <c r="AE47" s="1312"/>
      <c r="AF47" s="1312"/>
      <c r="AG47" s="1312"/>
    </row>
    <row r="48" spans="2:33" x14ac:dyDescent="0.35">
      <c r="B48" s="1284"/>
      <c r="C48" s="1285"/>
      <c r="D48" s="219">
        <v>2018</v>
      </c>
      <c r="E48" s="1291">
        <v>2019</v>
      </c>
      <c r="F48" s="1292"/>
      <c r="G48" s="1292"/>
      <c r="H48" s="1293"/>
      <c r="I48" s="1291">
        <v>2020</v>
      </c>
      <c r="J48" s="1292"/>
      <c r="K48" s="1292"/>
      <c r="L48" s="1292"/>
      <c r="M48" s="1291">
        <v>2021</v>
      </c>
      <c r="N48" s="1292"/>
      <c r="O48" s="1292"/>
      <c r="P48" s="1292"/>
      <c r="Q48" s="1291">
        <v>2022</v>
      </c>
      <c r="R48" s="1321"/>
      <c r="S48" s="1321"/>
      <c r="T48" s="1293"/>
      <c r="U48" s="288"/>
      <c r="V48" s="560">
        <v>2023</v>
      </c>
      <c r="W48" s="556"/>
      <c r="X48" s="260"/>
      <c r="Y48" s="1288">
        <v>2024</v>
      </c>
      <c r="Z48" s="1301"/>
      <c r="AA48" s="1301"/>
      <c r="AB48" s="1290"/>
      <c r="AC48" s="1288">
        <v>2025</v>
      </c>
      <c r="AD48" s="1301"/>
      <c r="AE48" s="1301"/>
      <c r="AF48" s="1290"/>
      <c r="AG48" s="506">
        <v>2026</v>
      </c>
    </row>
    <row r="49" spans="2:33" x14ac:dyDescent="0.35">
      <c r="B49" s="1286"/>
      <c r="C49" s="1287"/>
      <c r="D49" s="214" t="s">
        <v>282</v>
      </c>
      <c r="E49" s="214" t="s">
        <v>283</v>
      </c>
      <c r="F49" s="215" t="s">
        <v>284</v>
      </c>
      <c r="G49" s="215" t="s">
        <v>238</v>
      </c>
      <c r="H49" s="216" t="s">
        <v>282</v>
      </c>
      <c r="I49" s="215" t="s">
        <v>283</v>
      </c>
      <c r="J49" s="215" t="s">
        <v>284</v>
      </c>
      <c r="K49" s="215" t="s">
        <v>238</v>
      </c>
      <c r="L49" s="215" t="s">
        <v>282</v>
      </c>
      <c r="M49" s="214" t="s">
        <v>283</v>
      </c>
      <c r="N49" s="215" t="s">
        <v>284</v>
      </c>
      <c r="O49" s="215" t="s">
        <v>238</v>
      </c>
      <c r="P49" s="215" t="s">
        <v>282</v>
      </c>
      <c r="Q49" s="214" t="s">
        <v>283</v>
      </c>
      <c r="R49" s="215" t="s">
        <v>284</v>
      </c>
      <c r="S49" s="215" t="s">
        <v>238</v>
      </c>
      <c r="T49" s="216" t="s">
        <v>282</v>
      </c>
      <c r="U49" s="215" t="s">
        <v>283</v>
      </c>
      <c r="V49" s="286" t="s">
        <v>284</v>
      </c>
      <c r="W49" s="270" t="s">
        <v>238</v>
      </c>
      <c r="X49" s="271" t="s">
        <v>282</v>
      </c>
      <c r="Y49" s="269" t="s">
        <v>283</v>
      </c>
      <c r="Z49" s="267" t="s">
        <v>284</v>
      </c>
      <c r="AA49" s="270" t="s">
        <v>238</v>
      </c>
      <c r="AB49" s="270" t="s">
        <v>282</v>
      </c>
      <c r="AC49" s="269" t="s">
        <v>283</v>
      </c>
      <c r="AD49" s="267" t="s">
        <v>284</v>
      </c>
      <c r="AE49" s="270" t="s">
        <v>238</v>
      </c>
      <c r="AF49" s="270" t="s">
        <v>282</v>
      </c>
      <c r="AG49" s="269" t="s">
        <v>283</v>
      </c>
    </row>
    <row r="50" spans="2:33" x14ac:dyDescent="0.35">
      <c r="B50" s="551" t="s">
        <v>1434</v>
      </c>
      <c r="D50" s="253"/>
      <c r="E50" s="308"/>
      <c r="F50" s="308"/>
      <c r="G50" s="308"/>
      <c r="H50" s="308"/>
      <c r="I50" s="575">
        <f>(I51-AVERAGE($E51:$H51))</f>
        <v>6.6417500000000018</v>
      </c>
      <c r="J50" s="575">
        <f t="shared" ref="J50:N50" si="18">(J51-AVERAGE($E51:$H51))</f>
        <v>51.388749999999995</v>
      </c>
      <c r="K50" s="575">
        <f t="shared" si="18"/>
        <v>55.337750000000007</v>
      </c>
      <c r="L50" s="575">
        <f t="shared" si="18"/>
        <v>62.597749999999998</v>
      </c>
      <c r="M50" s="575">
        <f t="shared" si="18"/>
        <v>88.07774999999998</v>
      </c>
      <c r="N50" s="575">
        <f t="shared" si="18"/>
        <v>102.89075</v>
      </c>
      <c r="O50" s="575">
        <f t="shared" ref="O50:U50" si="19">(O51-AVERAGE($E51:$H51))</f>
        <v>94.404750000000007</v>
      </c>
      <c r="P50" s="575">
        <f t="shared" si="19"/>
        <v>91.919749999999993</v>
      </c>
      <c r="Q50" s="575">
        <f t="shared" si="19"/>
        <v>80.097749999999991</v>
      </c>
      <c r="R50" s="575">
        <f t="shared" si="19"/>
        <v>69.023750000000007</v>
      </c>
      <c r="S50" s="576">
        <f t="shared" si="19"/>
        <v>61.349750000000007</v>
      </c>
      <c r="T50" s="563">
        <f t="shared" si="19"/>
        <v>81.433750000000003</v>
      </c>
      <c r="U50" s="576">
        <f t="shared" si="19"/>
        <v>75.465749999999986</v>
      </c>
      <c r="V50" s="576">
        <f>(V51-AVERAGE($E51:$H51))</f>
        <v>48.418749999999996</v>
      </c>
      <c r="W50" s="576">
        <f>(W51-AVERAGE($E51:$H51))</f>
        <v>48.349750000000007</v>
      </c>
      <c r="X50" s="576">
        <f>(X51-AVERAGE($E51:$H51))</f>
        <v>37.400749999999995</v>
      </c>
      <c r="Y50" s="576">
        <f>(Y51-AVERAGE($E51:$H51))</f>
        <v>38.275749999999995</v>
      </c>
      <c r="Z50" s="725">
        <f t="shared" ref="Z50:AC50" si="20">Y50</f>
        <v>38.275749999999995</v>
      </c>
      <c r="AA50" s="725">
        <f t="shared" si="20"/>
        <v>38.275749999999995</v>
      </c>
      <c r="AB50" s="725">
        <f t="shared" si="20"/>
        <v>38.275749999999995</v>
      </c>
      <c r="AC50" s="686">
        <f t="shared" si="20"/>
        <v>38.275749999999995</v>
      </c>
      <c r="AD50" s="725">
        <f t="shared" ref="AD50" si="21">AC50</f>
        <v>38.275749999999995</v>
      </c>
      <c r="AE50" s="725">
        <f t="shared" ref="AE50" si="22">AD50</f>
        <v>38.275749999999995</v>
      </c>
      <c r="AF50" s="725">
        <f t="shared" ref="AF50" si="23">AE50</f>
        <v>38.275749999999995</v>
      </c>
      <c r="AG50" s="725">
        <f t="shared" ref="AG50" si="24">AF50</f>
        <v>38.275749999999995</v>
      </c>
    </row>
    <row r="51" spans="2:33" x14ac:dyDescent="0.35">
      <c r="B51" s="551" t="s">
        <v>160</v>
      </c>
      <c r="C51" s="240" t="s">
        <v>479</v>
      </c>
      <c r="D51" s="275">
        <f>'Haver Pivoted'!GO66</f>
        <v>57.017000000000003</v>
      </c>
      <c r="E51" s="234">
        <f>'Haver Pivoted'!GP66</f>
        <v>55.847999999999999</v>
      </c>
      <c r="F51" s="234">
        <f>'Haver Pivoted'!GQ66</f>
        <v>54.531999999999996</v>
      </c>
      <c r="G51" s="234">
        <f>'Haver Pivoted'!GR66</f>
        <v>54.451999999999998</v>
      </c>
      <c r="H51" s="234">
        <f>'Haver Pivoted'!GS66</f>
        <v>54.012999999999998</v>
      </c>
      <c r="I51" s="234">
        <f>'Haver Pivoted'!GT66</f>
        <v>61.353000000000002</v>
      </c>
      <c r="J51" s="234">
        <f>'Haver Pivoted'!GU66</f>
        <v>106.1</v>
      </c>
      <c r="K51" s="234">
        <f>'Haver Pivoted'!GV66</f>
        <v>110.04900000000001</v>
      </c>
      <c r="L51" s="234">
        <f>'Haver Pivoted'!GW66</f>
        <v>117.309</v>
      </c>
      <c r="M51" s="234">
        <f>'Haver Pivoted'!GX66</f>
        <v>142.78899999999999</v>
      </c>
      <c r="N51" s="234">
        <f>'Haver Pivoted'!GY66</f>
        <v>157.602</v>
      </c>
      <c r="O51" s="234">
        <f>'Haver Pivoted'!GZ66</f>
        <v>149.11600000000001</v>
      </c>
      <c r="P51" s="234">
        <f>'Haver Pivoted'!HA66</f>
        <v>146.631</v>
      </c>
      <c r="Q51" s="234">
        <f>'Haver Pivoted'!HB66</f>
        <v>134.809</v>
      </c>
      <c r="R51" s="234">
        <f>'Haver Pivoted'!HC66</f>
        <v>123.735</v>
      </c>
      <c r="S51" s="215">
        <f>'Haver Pivoted'!HD66</f>
        <v>116.06100000000001</v>
      </c>
      <c r="T51" s="215">
        <f>'Haver Pivoted'!HE66</f>
        <v>136.14500000000001</v>
      </c>
      <c r="U51" s="215">
        <f>'Haver Pivoted'!HF66</f>
        <v>130.17699999999999</v>
      </c>
      <c r="V51" s="215">
        <f>'Haver Pivoted'!HG66</f>
        <v>103.13</v>
      </c>
      <c r="W51" s="215">
        <f>'Haver Pivoted'!HH66</f>
        <v>103.06100000000001</v>
      </c>
      <c r="X51" s="215">
        <f>'Haver Pivoted'!HI66</f>
        <v>92.111999999999995</v>
      </c>
      <c r="Y51" s="215">
        <f>'Haver Pivoted'!HJ66</f>
        <v>92.986999999999995</v>
      </c>
      <c r="Z51" s="326"/>
      <c r="AA51" s="326"/>
      <c r="AB51" s="326"/>
      <c r="AC51" s="326"/>
      <c r="AD51" s="508"/>
      <c r="AE51" s="508"/>
      <c r="AF51" s="508"/>
      <c r="AG51" s="508"/>
    </row>
    <row r="52" spans="2:33" ht="29.15" customHeight="1" x14ac:dyDescent="0.35">
      <c r="B52" s="357" t="s">
        <v>480</v>
      </c>
      <c r="C52" s="358"/>
      <c r="D52" s="720"/>
      <c r="E52" s="566"/>
      <c r="F52" s="566"/>
      <c r="G52" s="566"/>
      <c r="H52" s="566"/>
      <c r="I52" s="566"/>
      <c r="J52" s="566">
        <f t="shared" ref="J52:W52" si="25">J51-$H51</f>
        <v>52.086999999999996</v>
      </c>
      <c r="K52" s="566">
        <f t="shared" si="25"/>
        <v>56.036000000000008</v>
      </c>
      <c r="L52" s="566">
        <f t="shared" si="25"/>
        <v>63.295999999999999</v>
      </c>
      <c r="M52" s="566">
        <f t="shared" si="25"/>
        <v>88.775999999999982</v>
      </c>
      <c r="N52" s="566">
        <f>N51-$H51</f>
        <v>103.589</v>
      </c>
      <c r="O52" s="566">
        <f>O51-$H51</f>
        <v>95.103000000000009</v>
      </c>
      <c r="P52" s="566">
        <f t="shared" si="25"/>
        <v>92.617999999999995</v>
      </c>
      <c r="Q52" s="566">
        <f t="shared" si="25"/>
        <v>80.795999999999992</v>
      </c>
      <c r="R52" s="566">
        <f t="shared" si="25"/>
        <v>69.722000000000008</v>
      </c>
      <c r="S52" s="286">
        <f t="shared" si="25"/>
        <v>62.048000000000009</v>
      </c>
      <c r="T52" s="286">
        <f t="shared" si="25"/>
        <v>82.132000000000005</v>
      </c>
      <c r="U52" s="286">
        <f t="shared" si="25"/>
        <v>76.163999999999987</v>
      </c>
      <c r="V52" s="286">
        <f t="shared" si="25"/>
        <v>49.116999999999997</v>
      </c>
      <c r="W52" s="286">
        <f t="shared" si="25"/>
        <v>49.048000000000009</v>
      </c>
      <c r="X52" s="286">
        <f t="shared" ref="X52:Y52" si="26">X51-$H51</f>
        <v>38.098999999999997</v>
      </c>
      <c r="Y52" s="286">
        <f t="shared" si="26"/>
        <v>38.973999999999997</v>
      </c>
      <c r="Z52" s="270"/>
      <c r="AA52" s="270"/>
      <c r="AB52" s="270"/>
      <c r="AC52" s="270"/>
      <c r="AD52" s="508"/>
      <c r="AE52" s="508"/>
      <c r="AF52" s="508"/>
      <c r="AG52" s="508"/>
    </row>
    <row r="53" spans="2:33" ht="29.15" customHeight="1" x14ac:dyDescent="0.35">
      <c r="B53" s="240"/>
      <c r="C53" s="240"/>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row>
    <row r="54" spans="2:33" ht="29.15" customHeight="1" x14ac:dyDescent="0.35">
      <c r="B54" s="240"/>
      <c r="C54" s="240"/>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row>
    <row r="55" spans="2:33" ht="29.15" customHeight="1" x14ac:dyDescent="0.35">
      <c r="B55" s="240"/>
      <c r="C55" s="240"/>
      <c r="D55" s="234"/>
      <c r="E55" s="234"/>
      <c r="F55" s="234"/>
      <c r="G55" s="234"/>
      <c r="H55" s="234"/>
      <c r="I55" s="234"/>
      <c r="J55" s="234"/>
      <c r="K55" s="234"/>
      <c r="L55" s="234"/>
      <c r="M55" s="234"/>
      <c r="N55" s="234"/>
      <c r="O55" s="234"/>
      <c r="P55" s="234"/>
      <c r="Q55" s="234"/>
      <c r="R55" s="234"/>
      <c r="S55" s="234"/>
      <c r="T55" s="234"/>
      <c r="U55" s="234"/>
      <c r="V55" s="234"/>
      <c r="W55" s="234"/>
      <c r="X55" s="234"/>
      <c r="Y55" s="234"/>
      <c r="Z55" s="234"/>
      <c r="AA55" s="234"/>
      <c r="AB55" s="234"/>
      <c r="AC55" s="234"/>
    </row>
    <row r="56" spans="2:33" ht="35.9" customHeight="1" x14ac:dyDescent="0.35"/>
    <row r="57" spans="2:33" x14ac:dyDescent="0.35">
      <c r="B57" s="517" t="s">
        <v>365</v>
      </c>
    </row>
    <row r="58" spans="2:33" x14ac:dyDescent="0.35">
      <c r="B58" s="1376" t="s">
        <v>804</v>
      </c>
      <c r="C58" s="1377"/>
      <c r="D58" s="1286" t="s">
        <v>280</v>
      </c>
      <c r="E58" s="1299"/>
      <c r="F58" s="1299"/>
      <c r="G58" s="1299"/>
      <c r="H58" s="1299"/>
      <c r="I58" s="1299"/>
      <c r="J58" s="1299"/>
      <c r="K58" s="1299"/>
      <c r="L58" s="1299"/>
      <c r="M58" s="1299"/>
      <c r="N58" s="1299"/>
      <c r="O58" s="1299"/>
      <c r="P58" s="1299"/>
      <c r="Q58" s="1299"/>
      <c r="R58" s="1299"/>
      <c r="S58" s="1299"/>
      <c r="T58" s="1299"/>
      <c r="U58" s="1299"/>
      <c r="V58" s="1287"/>
      <c r="W58" s="1311" t="s">
        <v>281</v>
      </c>
      <c r="X58" s="1312"/>
      <c r="Y58" s="1312"/>
      <c r="Z58" s="1312"/>
      <c r="AA58" s="1312"/>
      <c r="AB58" s="1312"/>
      <c r="AC58" s="1312"/>
      <c r="AD58" s="1312"/>
      <c r="AE58" s="1312"/>
      <c r="AF58" s="1312"/>
      <c r="AG58" s="1312"/>
    </row>
    <row r="59" spans="2:33" x14ac:dyDescent="0.35">
      <c r="B59" s="1378"/>
      <c r="C59" s="1379"/>
      <c r="D59" s="219">
        <v>2018</v>
      </c>
      <c r="E59" s="1291">
        <v>2019</v>
      </c>
      <c r="F59" s="1292"/>
      <c r="G59" s="1292"/>
      <c r="H59" s="1293"/>
      <c r="I59" s="1291">
        <v>2020</v>
      </c>
      <c r="J59" s="1292"/>
      <c r="K59" s="1292"/>
      <c r="L59" s="1292"/>
      <c r="M59" s="1291">
        <v>2021</v>
      </c>
      <c r="N59" s="1292"/>
      <c r="O59" s="1292"/>
      <c r="P59" s="1292"/>
      <c r="Q59" s="1291">
        <v>2022</v>
      </c>
      <c r="R59" s="1321"/>
      <c r="S59" s="1321"/>
      <c r="T59" s="1293"/>
      <c r="U59" s="288"/>
      <c r="V59" s="560">
        <v>2023</v>
      </c>
      <c r="W59" s="556"/>
      <c r="X59" s="260"/>
      <c r="Y59" s="1288">
        <v>2024</v>
      </c>
      <c r="Z59" s="1301"/>
      <c r="AA59" s="1301"/>
      <c r="AB59" s="1290"/>
      <c r="AC59" s="1288">
        <v>2025</v>
      </c>
      <c r="AD59" s="1301"/>
      <c r="AE59" s="1301"/>
      <c r="AF59" s="1290"/>
      <c r="AG59" s="506">
        <v>2026</v>
      </c>
    </row>
    <row r="60" spans="2:33" x14ac:dyDescent="0.35">
      <c r="B60" s="1378"/>
      <c r="C60" s="1379"/>
      <c r="D60" s="214" t="s">
        <v>282</v>
      </c>
      <c r="E60" s="214" t="s">
        <v>283</v>
      </c>
      <c r="F60" s="215" t="s">
        <v>284</v>
      </c>
      <c r="G60" s="215" t="s">
        <v>238</v>
      </c>
      <c r="H60" s="216" t="s">
        <v>282</v>
      </c>
      <c r="I60" s="215" t="s">
        <v>283</v>
      </c>
      <c r="J60" s="215" t="s">
        <v>284</v>
      </c>
      <c r="K60" s="215" t="s">
        <v>238</v>
      </c>
      <c r="L60" s="215" t="s">
        <v>282</v>
      </c>
      <c r="M60" s="214" t="s">
        <v>283</v>
      </c>
      <c r="N60" s="215" t="s">
        <v>284</v>
      </c>
      <c r="O60" s="215" t="s">
        <v>238</v>
      </c>
      <c r="P60" s="215" t="s">
        <v>282</v>
      </c>
      <c r="Q60" s="214" t="s">
        <v>283</v>
      </c>
      <c r="R60" s="215" t="s">
        <v>284</v>
      </c>
      <c r="S60" s="215" t="s">
        <v>238</v>
      </c>
      <c r="T60" s="216" t="s">
        <v>282</v>
      </c>
      <c r="U60" s="215" t="s">
        <v>283</v>
      </c>
      <c r="V60" s="286" t="s">
        <v>284</v>
      </c>
      <c r="W60" s="270" t="s">
        <v>238</v>
      </c>
      <c r="X60" s="271" t="s">
        <v>282</v>
      </c>
      <c r="Y60" s="269" t="s">
        <v>283</v>
      </c>
      <c r="Z60" s="267" t="s">
        <v>284</v>
      </c>
      <c r="AA60" s="270" t="s">
        <v>238</v>
      </c>
      <c r="AB60" s="270" t="s">
        <v>282</v>
      </c>
      <c r="AC60" s="269" t="s">
        <v>283</v>
      </c>
      <c r="AD60" s="267" t="s">
        <v>284</v>
      </c>
      <c r="AE60" s="270" t="s">
        <v>238</v>
      </c>
      <c r="AF60" s="270" t="s">
        <v>282</v>
      </c>
      <c r="AG60" s="269" t="s">
        <v>283</v>
      </c>
    </row>
    <row r="61" spans="2:33" ht="25.75" customHeight="1" x14ac:dyDescent="0.35">
      <c r="B61" s="676" t="s">
        <v>467</v>
      </c>
      <c r="C61" s="443" t="s">
        <v>468</v>
      </c>
      <c r="D61" s="366">
        <f>'Haver Pivoted'!GO31</f>
        <v>2223</v>
      </c>
      <c r="E61" s="367">
        <f>'Haver Pivoted'!GP31</f>
        <v>2303.6</v>
      </c>
      <c r="F61" s="367">
        <f>'Haver Pivoted'!GQ31</f>
        <v>2320.1</v>
      </c>
      <c r="G61" s="367">
        <f>'Haver Pivoted'!GR31</f>
        <v>2332.9</v>
      </c>
      <c r="H61" s="367">
        <f>'Haver Pivoted'!GS31</f>
        <v>2346.6</v>
      </c>
      <c r="I61" s="367">
        <f>'Haver Pivoted'!GT31</f>
        <v>2412.6</v>
      </c>
      <c r="J61" s="367">
        <f>'Haver Pivoted'!GU31</f>
        <v>4652.1000000000004</v>
      </c>
      <c r="K61" s="367">
        <f>'Haver Pivoted'!GV31</f>
        <v>3508</v>
      </c>
      <c r="L61" s="367">
        <f>'Haver Pivoted'!GW31</f>
        <v>2895.4</v>
      </c>
      <c r="M61" s="367">
        <f>'Haver Pivoted'!GX31</f>
        <v>5127.3999999999996</v>
      </c>
      <c r="N61" s="367">
        <f>'Haver Pivoted'!GY31</f>
        <v>3403.8</v>
      </c>
      <c r="O61" s="367">
        <f>'Haver Pivoted'!GZ31</f>
        <v>3135</v>
      </c>
      <c r="P61" s="367">
        <f>'Haver Pivoted'!HA31</f>
        <v>2947.7</v>
      </c>
      <c r="Q61" s="367">
        <f>'Haver Pivoted'!HB31</f>
        <v>2903.2</v>
      </c>
      <c r="R61" s="367">
        <f>'Haver Pivoted'!HC31</f>
        <v>2895.2</v>
      </c>
      <c r="S61" s="368">
        <f>'Haver Pivoted'!HD31</f>
        <v>2867.4</v>
      </c>
      <c r="T61" s="687">
        <f>'Haver Pivoted'!HE31</f>
        <v>2896.7</v>
      </c>
      <c r="U61" s="368">
        <f>'Haver Pivoted'!HF31</f>
        <v>2945.8</v>
      </c>
      <c r="V61" s="368">
        <f>'Haver Pivoted'!HG31</f>
        <v>2929.7</v>
      </c>
      <c r="W61" s="368">
        <f>'Haver Pivoted'!HH31</f>
        <v>2930.1</v>
      </c>
      <c r="X61" s="368">
        <f>'Haver Pivoted'!HI31</f>
        <v>2934</v>
      </c>
      <c r="Y61" s="368">
        <f>'Haver Pivoted'!HJ31</f>
        <v>3040.2</v>
      </c>
      <c r="Z61" s="697"/>
      <c r="AA61" s="697"/>
      <c r="AB61" s="697"/>
      <c r="AC61" s="739"/>
      <c r="AD61" s="739"/>
      <c r="AE61" s="739"/>
      <c r="AF61" s="739"/>
      <c r="AG61" s="508"/>
    </row>
    <row r="62" spans="2:33" ht="25.75" customHeight="1" x14ac:dyDescent="0.35">
      <c r="B62" s="481" t="s">
        <v>1850</v>
      </c>
      <c r="C62" s="240"/>
      <c r="D62" s="715">
        <f>D63+D64</f>
        <v>812.1</v>
      </c>
      <c r="E62" s="441">
        <f>E63+E64</f>
        <v>832.4</v>
      </c>
      <c r="F62" s="441">
        <f>F63+F64</f>
        <v>843</v>
      </c>
      <c r="G62" s="441">
        <f t="shared" ref="G62:N62" si="27">G63+G64</f>
        <v>848.9</v>
      </c>
      <c r="H62" s="441">
        <f t="shared" si="27"/>
        <v>854.6</v>
      </c>
      <c r="I62" s="441">
        <f t="shared" si="27"/>
        <v>875.94174999999996</v>
      </c>
      <c r="J62" s="441">
        <f t="shared" si="27"/>
        <v>3140.0887499999999</v>
      </c>
      <c r="K62" s="441">
        <f t="shared" si="27"/>
        <v>1866.1377500000001</v>
      </c>
      <c r="L62" s="441">
        <f t="shared" si="27"/>
        <v>1314.69775</v>
      </c>
      <c r="M62" s="441">
        <f t="shared" si="27"/>
        <v>3522.1777499999998</v>
      </c>
      <c r="N62" s="441">
        <f t="shared" si="27"/>
        <v>1820.5125900000003</v>
      </c>
      <c r="O62" s="441">
        <f>O63+O64</f>
        <v>1547.208243333333</v>
      </c>
      <c r="P62" s="441">
        <f t="shared" ref="P62" si="28">P63+P64</f>
        <v>1369.7290833333329</v>
      </c>
      <c r="Q62" s="441">
        <f t="shared" ref="Q62" si="29">Q63+Q64</f>
        <v>1218.1737499999999</v>
      </c>
      <c r="R62" s="441">
        <f t="shared" ref="R62" si="30">R63+R64</f>
        <v>1201.89975</v>
      </c>
      <c r="S62" s="682">
        <f>S63+S64</f>
        <v>1182.4037500000002</v>
      </c>
      <c r="T62" s="682">
        <f t="shared" ref="T62" si="31">T63+T64</f>
        <v>1190.2397500000002</v>
      </c>
      <c r="U62" s="682">
        <f t="shared" ref="U62" si="32">U63+U64</f>
        <v>1104.87175</v>
      </c>
      <c r="V62" s="682">
        <f>V63+V64</f>
        <v>1082.2533214285713</v>
      </c>
      <c r="W62" s="682">
        <f>W63+W64</f>
        <v>1086.5843214285715</v>
      </c>
      <c r="X62" s="682">
        <f>X63+X64</f>
        <v>1066.5407499999999</v>
      </c>
      <c r="Y62" s="682">
        <f>Y63+Y64</f>
        <v>1081.4157499999999</v>
      </c>
      <c r="Z62" s="440"/>
      <c r="AA62" s="440"/>
      <c r="AB62" s="440"/>
      <c r="AC62" s="440"/>
      <c r="AD62" s="440"/>
      <c r="AE62" s="440"/>
      <c r="AF62" s="440"/>
      <c r="AG62" s="508"/>
    </row>
    <row r="63" spans="2:33" ht="25.75" customHeight="1" x14ac:dyDescent="0.35">
      <c r="B63" s="425" t="s">
        <v>1848</v>
      </c>
      <c r="C63" s="240"/>
      <c r="D63" s="715">
        <f t="shared" ref="D63:Y63" si="33">D14+D17+D27</f>
        <v>812.1</v>
      </c>
      <c r="E63" s="715">
        <f t="shared" si="33"/>
        <v>832.4</v>
      </c>
      <c r="F63" s="441">
        <f t="shared" si="33"/>
        <v>843</v>
      </c>
      <c r="G63" s="441">
        <f t="shared" si="33"/>
        <v>848.9</v>
      </c>
      <c r="H63" s="441">
        <f t="shared" si="33"/>
        <v>854.6</v>
      </c>
      <c r="I63" s="441">
        <f t="shared" si="33"/>
        <v>869.3</v>
      </c>
      <c r="J63" s="441">
        <f t="shared" si="33"/>
        <v>1792.5</v>
      </c>
      <c r="K63" s="441">
        <f t="shared" si="33"/>
        <v>1655.6000000000001</v>
      </c>
      <c r="L63" s="441">
        <f t="shared" si="33"/>
        <v>1188.2</v>
      </c>
      <c r="M63" s="441">
        <f t="shared" si="33"/>
        <v>1467.3000000000002</v>
      </c>
      <c r="N63" s="441">
        <f t="shared" si="33"/>
        <v>1351.8000000000002</v>
      </c>
      <c r="O63" s="441">
        <f t="shared" si="33"/>
        <v>1328.333333333333</v>
      </c>
      <c r="P63" s="441">
        <f t="shared" si="33"/>
        <v>1157.333333333333</v>
      </c>
      <c r="Q63" s="441">
        <f t="shared" si="33"/>
        <v>1038.7</v>
      </c>
      <c r="R63" s="441">
        <f t="shared" si="33"/>
        <v>1040.4000000000001</v>
      </c>
      <c r="S63" s="682">
        <f t="shared" si="33"/>
        <v>1041.1000000000001</v>
      </c>
      <c r="T63" s="682">
        <f t="shared" si="33"/>
        <v>1050.6000000000001</v>
      </c>
      <c r="U63" s="682">
        <f t="shared" si="33"/>
        <v>994.1</v>
      </c>
      <c r="V63" s="682">
        <f t="shared" si="33"/>
        <v>998.52857142857135</v>
      </c>
      <c r="W63" s="682">
        <f t="shared" si="33"/>
        <v>1002.9285714285713</v>
      </c>
      <c r="X63" s="682">
        <f t="shared" si="33"/>
        <v>1008</v>
      </c>
      <c r="Y63" s="682">
        <f t="shared" si="33"/>
        <v>1022</v>
      </c>
      <c r="Z63" s="440"/>
      <c r="AA63" s="440"/>
      <c r="AB63" s="440"/>
      <c r="AC63" s="440"/>
      <c r="AD63" s="440"/>
      <c r="AE63" s="440"/>
      <c r="AF63" s="440"/>
      <c r="AG63" s="440"/>
    </row>
    <row r="64" spans="2:33" ht="36" customHeight="1" x14ac:dyDescent="0.35">
      <c r="B64" s="425" t="s">
        <v>1849</v>
      </c>
      <c r="C64" s="240"/>
      <c r="D64" s="441">
        <f t="shared" ref="D64:AG64" si="34">D18+D21+D24+D25+D26+D28+D32</f>
        <v>0</v>
      </c>
      <c r="E64" s="441">
        <f t="shared" si="34"/>
        <v>0</v>
      </c>
      <c r="F64" s="441">
        <f t="shared" si="34"/>
        <v>0</v>
      </c>
      <c r="G64" s="441">
        <f t="shared" si="34"/>
        <v>0</v>
      </c>
      <c r="H64" s="441">
        <f t="shared" si="34"/>
        <v>0</v>
      </c>
      <c r="I64" s="441">
        <f t="shared" si="34"/>
        <v>6.6417500000000018</v>
      </c>
      <c r="J64" s="441">
        <f t="shared" si="34"/>
        <v>1347.5887500000001</v>
      </c>
      <c r="K64" s="441">
        <f t="shared" si="34"/>
        <v>210.53775000000002</v>
      </c>
      <c r="L64" s="441">
        <f t="shared" si="34"/>
        <v>126.49775</v>
      </c>
      <c r="M64" s="441">
        <f t="shared" si="34"/>
        <v>2054.8777499999997</v>
      </c>
      <c r="N64" s="441">
        <f t="shared" si="34"/>
        <v>468.71259000000009</v>
      </c>
      <c r="O64" s="441">
        <f t="shared" si="34"/>
        <v>218.87491000000009</v>
      </c>
      <c r="P64" s="441">
        <f t="shared" si="34"/>
        <v>212.39574999999999</v>
      </c>
      <c r="Q64" s="441">
        <f t="shared" si="34"/>
        <v>179.47375</v>
      </c>
      <c r="R64" s="441">
        <f t="shared" si="34"/>
        <v>161.49975000000001</v>
      </c>
      <c r="S64" s="441">
        <f t="shared" si="34"/>
        <v>141.30375000000001</v>
      </c>
      <c r="T64" s="441">
        <f t="shared" si="34"/>
        <v>139.63974999999999</v>
      </c>
      <c r="U64" s="441">
        <f t="shared" si="34"/>
        <v>110.77174999999998</v>
      </c>
      <c r="V64" s="441">
        <f t="shared" si="34"/>
        <v>83.72475</v>
      </c>
      <c r="W64" s="441">
        <f t="shared" si="34"/>
        <v>83.655750000000012</v>
      </c>
      <c r="X64" s="440">
        <f t="shared" si="34"/>
        <v>58.540749999999996</v>
      </c>
      <c r="Y64" s="440">
        <f t="shared" si="34"/>
        <v>59.415749999999996</v>
      </c>
      <c r="Z64" s="440">
        <f t="shared" si="34"/>
        <v>59.415749999999996</v>
      </c>
      <c r="AA64" s="440">
        <f t="shared" si="34"/>
        <v>59.415749999999996</v>
      </c>
      <c r="AB64" s="440">
        <f t="shared" si="34"/>
        <v>59.244749999999996</v>
      </c>
      <c r="AC64" s="440">
        <f t="shared" si="34"/>
        <v>59.244749999999996</v>
      </c>
      <c r="AD64" s="440">
        <f t="shared" si="34"/>
        <v>59.244749999999996</v>
      </c>
      <c r="AE64" s="440">
        <f t="shared" si="34"/>
        <v>59.244749999999996</v>
      </c>
      <c r="AF64" s="440">
        <f t="shared" si="34"/>
        <v>41.164749999999998</v>
      </c>
      <c r="AG64" s="440">
        <f t="shared" si="34"/>
        <v>39.003749999999997</v>
      </c>
    </row>
    <row r="65" spans="2:33" ht="25.75" customHeight="1" x14ac:dyDescent="0.35">
      <c r="B65" s="481" t="s">
        <v>801</v>
      </c>
      <c r="C65" s="240"/>
      <c r="D65" s="682">
        <f t="shared" ref="D65:U65" si="35">D61-D62</f>
        <v>1410.9</v>
      </c>
      <c r="E65" s="682">
        <f t="shared" si="35"/>
        <v>1471.1999999999998</v>
      </c>
      <c r="F65" s="682">
        <f t="shared" si="35"/>
        <v>1477.1</v>
      </c>
      <c r="G65" s="682">
        <f t="shared" si="35"/>
        <v>1484</v>
      </c>
      <c r="H65" s="682">
        <f t="shared" si="35"/>
        <v>1492</v>
      </c>
      <c r="I65" s="682">
        <f t="shared" si="35"/>
        <v>1536.65825</v>
      </c>
      <c r="J65" s="682">
        <f t="shared" si="35"/>
        <v>1512.0112500000005</v>
      </c>
      <c r="K65" s="682">
        <f t="shared" si="35"/>
        <v>1641.8622499999999</v>
      </c>
      <c r="L65" s="682">
        <f t="shared" si="35"/>
        <v>1580.70225</v>
      </c>
      <c r="M65" s="682">
        <f t="shared" si="35"/>
        <v>1605.2222499999998</v>
      </c>
      <c r="N65" s="682">
        <f t="shared" si="35"/>
        <v>1583.2874099999999</v>
      </c>
      <c r="O65" s="682">
        <f t="shared" si="35"/>
        <v>1587.791756666667</v>
      </c>
      <c r="P65" s="682">
        <f t="shared" si="35"/>
        <v>1577.9709166666669</v>
      </c>
      <c r="Q65" s="682">
        <f t="shared" si="35"/>
        <v>1685.0262499999999</v>
      </c>
      <c r="R65" s="682">
        <f t="shared" si="35"/>
        <v>1693.3002499999998</v>
      </c>
      <c r="S65" s="682">
        <f t="shared" si="35"/>
        <v>1684.9962499999999</v>
      </c>
      <c r="T65" s="682">
        <f t="shared" si="35"/>
        <v>1706.4602499999996</v>
      </c>
      <c r="U65" s="682">
        <f t="shared" si="35"/>
        <v>1840.9282500000002</v>
      </c>
      <c r="V65" s="682">
        <f>V61-V62</f>
        <v>1847.4466785714285</v>
      </c>
      <c r="W65" s="682">
        <f>W61-W62</f>
        <v>1843.5156785714285</v>
      </c>
      <c r="X65" s="682">
        <f>X61-X62</f>
        <v>1867.4592500000001</v>
      </c>
      <c r="Y65" s="682">
        <f>Y61-Y62</f>
        <v>1958.7842499999999</v>
      </c>
      <c r="Z65" s="440"/>
      <c r="AA65" s="440"/>
      <c r="AB65" s="440"/>
      <c r="AC65" s="440"/>
      <c r="AD65" s="440"/>
      <c r="AE65" s="440"/>
      <c r="AF65" s="440"/>
      <c r="AG65" s="508"/>
    </row>
    <row r="66" spans="2:33" ht="20.5" customHeight="1" x14ac:dyDescent="0.35">
      <c r="B66" s="698" t="s">
        <v>802</v>
      </c>
      <c r="C66" s="699"/>
      <c r="D66" s="705">
        <f t="shared" ref="D66:I66" si="36">D12-D14-D17-D27</f>
        <v>1410.9</v>
      </c>
      <c r="E66" s="668">
        <f t="shared" si="36"/>
        <v>1471.1999999999998</v>
      </c>
      <c r="F66" s="668">
        <f t="shared" si="36"/>
        <v>1477.1000000000001</v>
      </c>
      <c r="G66" s="668">
        <f t="shared" si="36"/>
        <v>1484</v>
      </c>
      <c r="H66" s="668">
        <f t="shared" si="36"/>
        <v>1492</v>
      </c>
      <c r="I66" s="668">
        <f t="shared" si="36"/>
        <v>1543.2999999999997</v>
      </c>
      <c r="J66" s="706">
        <f>I66+($H$66-$E$66)/3</f>
        <v>1550.2333333333331</v>
      </c>
      <c r="K66" s="706">
        <f>J66+($H$66-$E$66)/3</f>
        <v>1557.1666666666665</v>
      </c>
      <c r="L66" s="706">
        <f>K66+($H$66-$E$66)/3</f>
        <v>1564.1</v>
      </c>
      <c r="M66" s="707">
        <f>L66+($H$66-$E$66)/3 +(M70-L70)</f>
        <v>1588.5533333333333</v>
      </c>
      <c r="N66" s="706">
        <f>M66+($H$66-$E$66)/3</f>
        <v>1595.4866666666667</v>
      </c>
      <c r="O66" s="706">
        <f>N66+($H$66-$E$66)/3</f>
        <v>1602.42</v>
      </c>
      <c r="P66" s="706">
        <f>O66+($H$66-$E$66)/3</f>
        <v>1609.3533333333335</v>
      </c>
      <c r="Q66" s="707">
        <f>P66+($H$66-$E$66)/3 + 0.06*Q70</f>
        <v>1688.207466666667</v>
      </c>
      <c r="R66" s="706">
        <f>Q66+($H$66-$E$66)/3</f>
        <v>1695.1408000000004</v>
      </c>
      <c r="S66" s="706">
        <f>R66+($H$66-$E$66)/3</f>
        <v>1702.0741333333337</v>
      </c>
      <c r="T66" s="706">
        <f>S66+($H$66-$E$66)/3</f>
        <v>1709.0074666666671</v>
      </c>
      <c r="U66" s="706">
        <f>T66+U67</f>
        <v>1822.5884450000005</v>
      </c>
      <c r="V66" s="706">
        <f>U66+V67</f>
        <v>1829.5217783333339</v>
      </c>
      <c r="W66" s="668">
        <f t="shared" ref="W66:AC66" si="37">V66+W67</f>
        <v>1836.4551116666673</v>
      </c>
      <c r="X66" s="700">
        <f t="shared" si="37"/>
        <v>1843.3884450000007</v>
      </c>
      <c r="Y66" s="700">
        <f t="shared" si="37"/>
        <v>1895.9675063333341</v>
      </c>
      <c r="Z66" s="700">
        <f t="shared" si="37"/>
        <v>1902.9008396666675</v>
      </c>
      <c r="AA66" s="700">
        <f t="shared" si="37"/>
        <v>1909.8341730000009</v>
      </c>
      <c r="AB66" s="700">
        <f t="shared" si="37"/>
        <v>1916.7675063333343</v>
      </c>
      <c r="AC66" s="700">
        <f t="shared" si="37"/>
        <v>1958.5494476076676</v>
      </c>
      <c r="AD66" s="700">
        <f t="shared" ref="AD66" si="38">AC66+AD67</f>
        <v>1965.482780941001</v>
      </c>
      <c r="AE66" s="700">
        <f t="shared" ref="AE66" si="39">AD66+AE67</f>
        <v>1972.4161142743344</v>
      </c>
      <c r="AF66" s="700">
        <f>AE66+AF67</f>
        <v>1979.3494476076678</v>
      </c>
      <c r="AG66" s="700">
        <f>AF66+AG67</f>
        <v>2023.3367118646443</v>
      </c>
    </row>
    <row r="67" spans="2:33" ht="20.5" customHeight="1" x14ac:dyDescent="0.35">
      <c r="B67" s="701" t="s">
        <v>1808</v>
      </c>
      <c r="C67" s="240"/>
      <c r="D67" s="715"/>
      <c r="E67" s="441"/>
      <c r="F67" s="441"/>
      <c r="G67" s="441"/>
      <c r="H67" s="441"/>
      <c r="I67" s="441"/>
      <c r="J67" s="683"/>
      <c r="K67" s="683"/>
      <c r="L67" s="683"/>
      <c r="M67" s="708"/>
      <c r="N67" s="683"/>
      <c r="O67" s="683"/>
      <c r="P67" s="683"/>
      <c r="Q67" s="708"/>
      <c r="R67" s="683"/>
      <c r="S67" s="683"/>
      <c r="T67" s="683"/>
      <c r="U67" s="683">
        <f>U68+U69</f>
        <v>113.58097833333339</v>
      </c>
      <c r="V67" s="683">
        <f>V68+V69</f>
        <v>6.933333333333394</v>
      </c>
      <c r="W67" s="683">
        <f>W68+W69</f>
        <v>6.933333333333394</v>
      </c>
      <c r="X67" s="440">
        <f t="shared" ref="X67:AC67" si="40">X68+X73*X70</f>
        <v>6.933333333333394</v>
      </c>
      <c r="Y67" s="440">
        <f t="shared" si="40"/>
        <v>52.579061333333399</v>
      </c>
      <c r="Z67" s="440">
        <f t="shared" si="40"/>
        <v>6.933333333333394</v>
      </c>
      <c r="AA67" s="440">
        <f t="shared" si="40"/>
        <v>6.933333333333394</v>
      </c>
      <c r="AB67" s="440">
        <f t="shared" si="40"/>
        <v>6.933333333333394</v>
      </c>
      <c r="AC67" s="440">
        <f t="shared" si="40"/>
        <v>41.781941274333398</v>
      </c>
      <c r="AD67" s="440">
        <f t="shared" ref="AD67:AE67" si="41">AD68+AD73*AD70</f>
        <v>6.933333333333394</v>
      </c>
      <c r="AE67" s="440">
        <f t="shared" si="41"/>
        <v>6.933333333333394</v>
      </c>
      <c r="AF67" s="440">
        <f>AF68+AF73*AF70</f>
        <v>6.933333333333394</v>
      </c>
      <c r="AG67" s="440">
        <f>AG68+AG73*AG70</f>
        <v>43.987264256976395</v>
      </c>
    </row>
    <row r="68" spans="2:33" ht="28.4" customHeight="1" x14ac:dyDescent="0.35">
      <c r="B68" s="702" t="s">
        <v>1805</v>
      </c>
      <c r="C68" s="240"/>
      <c r="D68" s="715"/>
      <c r="E68" s="441"/>
      <c r="F68" s="441"/>
      <c r="G68" s="441"/>
      <c r="H68" s="441"/>
      <c r="I68" s="441"/>
      <c r="J68" s="683"/>
      <c r="K68" s="683"/>
      <c r="L68" s="683"/>
      <c r="M68" s="708"/>
      <c r="N68" s="683"/>
      <c r="O68" s="683"/>
      <c r="P68" s="683"/>
      <c r="Q68" s="708"/>
      <c r="R68" s="683"/>
      <c r="S68" s="683"/>
      <c r="T68" s="683"/>
      <c r="U68" s="683">
        <f>($H$66-$E$66)/3</f>
        <v>6.933333333333394</v>
      </c>
      <c r="V68" s="683">
        <f>($H$66-$E$66)/3</f>
        <v>6.933333333333394</v>
      </c>
      <c r="W68" s="683">
        <f>($H$66-$E$66)/3</f>
        <v>6.933333333333394</v>
      </c>
      <c r="X68" s="440">
        <f t="shared" ref="X68:AC68" si="42">W68</f>
        <v>6.933333333333394</v>
      </c>
      <c r="Y68" s="440">
        <f t="shared" si="42"/>
        <v>6.933333333333394</v>
      </c>
      <c r="Z68" s="440">
        <f t="shared" si="42"/>
        <v>6.933333333333394</v>
      </c>
      <c r="AA68" s="440">
        <f t="shared" si="42"/>
        <v>6.933333333333394</v>
      </c>
      <c r="AB68" s="440">
        <f t="shared" si="42"/>
        <v>6.933333333333394</v>
      </c>
      <c r="AC68" s="440">
        <f t="shared" si="42"/>
        <v>6.933333333333394</v>
      </c>
      <c r="AD68" s="440">
        <f t="shared" ref="AD68" si="43">AC68</f>
        <v>6.933333333333394</v>
      </c>
      <c r="AE68" s="440">
        <f t="shared" ref="AE68" si="44">AD68</f>
        <v>6.933333333333394</v>
      </c>
      <c r="AF68" s="440">
        <f>AE68</f>
        <v>6.933333333333394</v>
      </c>
      <c r="AG68" s="440">
        <f>AF68</f>
        <v>6.933333333333394</v>
      </c>
    </row>
    <row r="69" spans="2:33" ht="30.65" customHeight="1" x14ac:dyDescent="0.35">
      <c r="B69" s="703" t="s">
        <v>1806</v>
      </c>
      <c r="C69" s="704"/>
      <c r="D69" s="709"/>
      <c r="E69" s="669"/>
      <c r="F69" s="669"/>
      <c r="G69" s="669"/>
      <c r="H69" s="669"/>
      <c r="I69" s="669"/>
      <c r="J69" s="710"/>
      <c r="K69" s="710"/>
      <c r="L69" s="710"/>
      <c r="M69" s="711"/>
      <c r="N69" s="710"/>
      <c r="O69" s="710"/>
      <c r="P69" s="710"/>
      <c r="Q69" s="711"/>
      <c r="R69" s="710"/>
      <c r="S69" s="710"/>
      <c r="T69" s="710"/>
      <c r="U69" s="710">
        <f>U73*T70</f>
        <v>106.647645</v>
      </c>
      <c r="V69" s="710">
        <f>V73*U70</f>
        <v>0</v>
      </c>
      <c r="W69" s="669">
        <f t="shared" ref="W69:AB69" si="45">W73*V70</f>
        <v>0</v>
      </c>
      <c r="X69" s="712">
        <f t="shared" si="45"/>
        <v>0</v>
      </c>
      <c r="Y69" s="712">
        <f>Y73*X70</f>
        <v>43.975904</v>
      </c>
      <c r="Z69" s="712">
        <f t="shared" si="45"/>
        <v>0</v>
      </c>
      <c r="AA69" s="712">
        <f t="shared" si="45"/>
        <v>0</v>
      </c>
      <c r="AB69" s="712">
        <f t="shared" si="45"/>
        <v>0</v>
      </c>
      <c r="AC69" s="712">
        <f>AC73*AB70</f>
        <v>33.727867000000003</v>
      </c>
      <c r="AD69" s="712">
        <f t="shared" ref="AD69" si="46">AD73*AC70</f>
        <v>0</v>
      </c>
      <c r="AE69" s="712">
        <f t="shared" ref="AE69" si="47">AE73*AD70</f>
        <v>0</v>
      </c>
      <c r="AF69" s="712">
        <f t="shared" ref="AF69" si="48">AF73*AE70</f>
        <v>0</v>
      </c>
      <c r="AG69" s="712">
        <f>AG73*AF70</f>
        <v>35.883607941000001</v>
      </c>
    </row>
    <row r="70" spans="2:33" ht="17.5" customHeight="1" x14ac:dyDescent="0.35">
      <c r="B70" s="551" t="s">
        <v>475</v>
      </c>
      <c r="C70" s="240" t="s">
        <v>476</v>
      </c>
      <c r="D70" s="715">
        <f>'Haver Pivoted'!GO88/1000</f>
        <v>983.86099999999999</v>
      </c>
      <c r="E70" s="441">
        <f>'Haver Pivoted'!GP88/1000</f>
        <v>1019.17</v>
      </c>
      <c r="F70" s="441">
        <f>'Haver Pivoted'!GQ88/1000</f>
        <v>1026.74</v>
      </c>
      <c r="G70" s="441">
        <f>'Haver Pivoted'!GR88/1000</f>
        <v>1034.364</v>
      </c>
      <c r="H70" s="441">
        <f>'Haver Pivoted'!GS88/1000</f>
        <v>1042.6969999999999</v>
      </c>
      <c r="I70" s="441">
        <f>'Haver Pivoted'!GT88/1000</f>
        <v>1068.172</v>
      </c>
      <c r="J70" s="441">
        <f>'Haver Pivoted'!GU88/1000</f>
        <v>1075.0809999999999</v>
      </c>
      <c r="K70" s="441">
        <f>'Haver Pivoted'!GV88/1000</f>
        <v>1080.296</v>
      </c>
      <c r="L70" s="441">
        <f>'Haver Pivoted'!GW88/1000</f>
        <v>1088.164</v>
      </c>
      <c r="M70" s="441">
        <f>'Haver Pivoted'!GX88/1000</f>
        <v>1105.684</v>
      </c>
      <c r="N70" s="441">
        <f>'Haver Pivoted'!GY88/1000</f>
        <v>1109.6220000000001</v>
      </c>
      <c r="O70" s="441">
        <f>'Haver Pivoted'!GZ88/1000</f>
        <v>1116.8399999999999</v>
      </c>
      <c r="P70" s="441">
        <f>'Haver Pivoted'!HA88/1000</f>
        <v>1126.2539999999999</v>
      </c>
      <c r="Q70" s="441">
        <f>'Haver Pivoted'!HB88/1000</f>
        <v>1198.68</v>
      </c>
      <c r="R70" s="441">
        <f>'Haver Pivoted'!HC88/1000</f>
        <v>1207.049</v>
      </c>
      <c r="S70" s="682">
        <f>'Haver Pivoted'!HD88/1000</f>
        <v>1214.451</v>
      </c>
      <c r="T70" s="682">
        <f>'Haver Pivoted'!HE88/1000</f>
        <v>1225.835</v>
      </c>
      <c r="U70" s="682">
        <f>'Haver Pivoted'!HF88/1000</f>
        <v>1339.9770000000001</v>
      </c>
      <c r="V70" s="682">
        <f>'Haver Pivoted'!HG88/1000</f>
        <v>1353.758</v>
      </c>
      <c r="W70" s="682">
        <f>'Haver Pivoted'!HH88/1000</f>
        <v>1361.2850000000001</v>
      </c>
      <c r="X70" s="682">
        <f>'Haver Pivoted'!HI88/1000</f>
        <v>1374.2470000000001</v>
      </c>
      <c r="Y70" s="682">
        <f>'Haver Pivoted'!HJ88/1000</f>
        <v>1426.4290000000001</v>
      </c>
      <c r="Z70" s="440">
        <f t="shared" ref="Z70:AC70" si="49">Y70+Z71</f>
        <v>1439.4290000000001</v>
      </c>
      <c r="AA70" s="440">
        <f t="shared" si="49"/>
        <v>1452.4290000000001</v>
      </c>
      <c r="AB70" s="440">
        <f t="shared" si="49"/>
        <v>1466.4290000000001</v>
      </c>
      <c r="AC70" s="440">
        <f t="shared" si="49"/>
        <v>1515.1568670000001</v>
      </c>
      <c r="AD70" s="440">
        <f t="shared" ref="AD70" si="50">AC70+AD71</f>
        <v>1530.1568670000001</v>
      </c>
      <c r="AE70" s="440">
        <f t="shared" ref="AE70" si="51">AD70+AE71</f>
        <v>1545.1568670000001</v>
      </c>
      <c r="AF70" s="440">
        <f>AE70+AF71</f>
        <v>1560.1568670000001</v>
      </c>
      <c r="AG70" s="440">
        <f>AF70+AG71</f>
        <v>1611.0404749410002</v>
      </c>
    </row>
    <row r="71" spans="2:33" ht="17.5" customHeight="1" x14ac:dyDescent="0.35">
      <c r="B71" s="425" t="s">
        <v>1807</v>
      </c>
      <c r="C71" s="240"/>
      <c r="D71" s="715"/>
      <c r="E71" s="441"/>
      <c r="F71" s="441"/>
      <c r="G71" s="441"/>
      <c r="H71" s="441"/>
      <c r="I71" s="441"/>
      <c r="J71" s="441"/>
      <c r="K71" s="441"/>
      <c r="L71" s="441"/>
      <c r="M71" s="441"/>
      <c r="N71" s="441"/>
      <c r="O71" s="441"/>
      <c r="P71" s="441"/>
      <c r="Q71" s="441"/>
      <c r="R71" s="441"/>
      <c r="S71" s="682"/>
      <c r="T71" s="682"/>
      <c r="U71" s="682">
        <f>U69+U72</f>
        <v>114.647645</v>
      </c>
      <c r="V71" s="441">
        <f>V69+V72</f>
        <v>8</v>
      </c>
      <c r="W71" s="441">
        <f t="shared" ref="W71:AC71" si="52">W69+W72</f>
        <v>11</v>
      </c>
      <c r="X71" s="440">
        <f>X69+X72</f>
        <v>14</v>
      </c>
      <c r="Y71" s="440">
        <f>Y69+Y72</f>
        <v>52.975904</v>
      </c>
      <c r="Z71" s="440">
        <f t="shared" si="52"/>
        <v>13</v>
      </c>
      <c r="AA71" s="440">
        <f t="shared" si="52"/>
        <v>13</v>
      </c>
      <c r="AB71" s="440">
        <f t="shared" si="52"/>
        <v>14</v>
      </c>
      <c r="AC71" s="440">
        <f t="shared" si="52"/>
        <v>48.727867000000003</v>
      </c>
      <c r="AD71" s="440">
        <f t="shared" ref="AD71:AE71" si="53">AD69+AD72</f>
        <v>15</v>
      </c>
      <c r="AE71" s="440">
        <f t="shared" si="53"/>
        <v>15</v>
      </c>
      <c r="AF71" s="440">
        <f>AF69+AF72</f>
        <v>15</v>
      </c>
      <c r="AG71" s="440">
        <f>AG69+AG72</f>
        <v>50.883607941000001</v>
      </c>
    </row>
    <row r="72" spans="2:33" ht="17.5" customHeight="1" x14ac:dyDescent="0.35">
      <c r="B72" s="416" t="s">
        <v>1810</v>
      </c>
      <c r="C72" s="240"/>
      <c r="D72" s="715"/>
      <c r="E72" s="441"/>
      <c r="F72" s="682"/>
      <c r="G72" s="682"/>
      <c r="H72" s="682"/>
      <c r="I72" s="682"/>
      <c r="J72" s="682"/>
      <c r="K72" s="682"/>
      <c r="L72" s="682"/>
      <c r="M72" s="682"/>
      <c r="N72" s="682"/>
      <c r="O72" s="682"/>
      <c r="P72" s="682"/>
      <c r="Q72" s="682"/>
      <c r="R72" s="682"/>
      <c r="S72" s="682"/>
      <c r="T72" s="682"/>
      <c r="U72" s="682">
        <v>8</v>
      </c>
      <c r="V72" s="441">
        <v>8</v>
      </c>
      <c r="W72" s="441">
        <v>11</v>
      </c>
      <c r="X72" s="440">
        <v>14</v>
      </c>
      <c r="Y72" s="440">
        <v>9</v>
      </c>
      <c r="Z72" s="440">
        <v>13</v>
      </c>
      <c r="AA72" s="440">
        <v>13</v>
      </c>
      <c r="AB72" s="440">
        <v>14</v>
      </c>
      <c r="AC72" s="440">
        <v>15</v>
      </c>
      <c r="AD72" s="440">
        <v>15</v>
      </c>
      <c r="AE72" s="440">
        <v>15</v>
      </c>
      <c r="AF72" s="440">
        <v>15</v>
      </c>
      <c r="AG72" s="508">
        <v>15</v>
      </c>
    </row>
    <row r="73" spans="2:33" ht="39" customHeight="1" x14ac:dyDescent="0.35">
      <c r="B73" s="416" t="s">
        <v>1811</v>
      </c>
      <c r="C73" s="240"/>
      <c r="D73" s="715"/>
      <c r="E73" s="441"/>
      <c r="F73" s="441"/>
      <c r="G73" s="441"/>
      <c r="H73" s="441"/>
      <c r="I73" s="669"/>
      <c r="J73" s="669"/>
      <c r="K73" s="669"/>
      <c r="L73" s="669"/>
      <c r="M73" s="669"/>
      <c r="N73" s="669"/>
      <c r="O73" s="669"/>
      <c r="P73" s="669"/>
      <c r="Q73" s="669"/>
      <c r="R73" s="669"/>
      <c r="S73" s="713"/>
      <c r="T73" s="713"/>
      <c r="U73" s="684">
        <v>8.6999999999999994E-2</v>
      </c>
      <c r="V73" s="670">
        <v>0</v>
      </c>
      <c r="W73" s="670">
        <v>0</v>
      </c>
      <c r="X73" s="714">
        <v>0</v>
      </c>
      <c r="Y73" s="714">
        <v>3.2000000000000001E-2</v>
      </c>
      <c r="Z73" s="714">
        <v>0</v>
      </c>
      <c r="AA73" s="714">
        <v>0</v>
      </c>
      <c r="AB73" s="714">
        <v>0</v>
      </c>
      <c r="AC73" s="714">
        <v>2.3E-2</v>
      </c>
      <c r="AD73" s="714">
        <v>0</v>
      </c>
      <c r="AE73" s="714">
        <v>0</v>
      </c>
      <c r="AF73" s="714">
        <v>0</v>
      </c>
      <c r="AG73" s="714">
        <v>2.3E-2</v>
      </c>
    </row>
    <row r="74" spans="2:33" ht="49.75" customHeight="1" x14ac:dyDescent="0.35">
      <c r="B74" s="481" t="s">
        <v>1432</v>
      </c>
      <c r="C74" s="240"/>
      <c r="D74" s="715">
        <f t="shared" ref="D74:T74" si="54">D65-D66</f>
        <v>0</v>
      </c>
      <c r="E74" s="441">
        <f t="shared" si="54"/>
        <v>0</v>
      </c>
      <c r="F74" s="441">
        <f t="shared" si="54"/>
        <v>0</v>
      </c>
      <c r="G74" s="441">
        <f t="shared" si="54"/>
        <v>0</v>
      </c>
      <c r="H74" s="441">
        <f t="shared" si="54"/>
        <v>0</v>
      </c>
      <c r="I74" s="441">
        <f t="shared" si="54"/>
        <v>-6.6417499999997744</v>
      </c>
      <c r="J74" s="441">
        <f t="shared" si="54"/>
        <v>-38.222083333332648</v>
      </c>
      <c r="K74" s="441">
        <f t="shared" si="54"/>
        <v>84.695583333333389</v>
      </c>
      <c r="L74" s="441">
        <f t="shared" si="54"/>
        <v>16.60225000000014</v>
      </c>
      <c r="M74" s="441">
        <f t="shared" si="54"/>
        <v>16.668916666666519</v>
      </c>
      <c r="N74" s="441">
        <f t="shared" si="54"/>
        <v>-12.19925666666677</v>
      </c>
      <c r="O74" s="441">
        <f t="shared" si="54"/>
        <v>-14.628243333333103</v>
      </c>
      <c r="P74" s="441">
        <f t="shared" si="54"/>
        <v>-31.382416666666586</v>
      </c>
      <c r="Q74" s="441">
        <f t="shared" si="54"/>
        <v>-3.1812166666670691</v>
      </c>
      <c r="R74" s="441">
        <f t="shared" si="54"/>
        <v>-1.8405500000005759</v>
      </c>
      <c r="S74" s="682">
        <f t="shared" si="54"/>
        <v>-17.07788333333383</v>
      </c>
      <c r="T74" s="682">
        <f t="shared" si="54"/>
        <v>-2.5472166666675093</v>
      </c>
      <c r="U74" s="682">
        <f>U65-U66</f>
        <v>18.339804999999615</v>
      </c>
      <c r="V74" s="682">
        <f>V65-V66</f>
        <v>17.924900238094551</v>
      </c>
      <c r="W74" s="682">
        <f>W65-W66</f>
        <v>7.0605669047611173</v>
      </c>
      <c r="X74" s="682">
        <f>X65-X66</f>
        <v>24.070804999999382</v>
      </c>
      <c r="Y74" s="682">
        <f>Y65-Y66</f>
        <v>62.816743666665843</v>
      </c>
      <c r="Z74" s="440">
        <f t="shared" ref="Z74:AC74" si="55">Y74</f>
        <v>62.816743666665843</v>
      </c>
      <c r="AA74" s="440">
        <f t="shared" si="55"/>
        <v>62.816743666665843</v>
      </c>
      <c r="AB74" s="440">
        <f t="shared" si="55"/>
        <v>62.816743666665843</v>
      </c>
      <c r="AC74" s="440">
        <f t="shared" si="55"/>
        <v>62.816743666665843</v>
      </c>
      <c r="AD74" s="440">
        <f t="shared" ref="AD74" si="56">AC74</f>
        <v>62.816743666665843</v>
      </c>
      <c r="AE74" s="440">
        <f t="shared" ref="AE74" si="57">AD74</f>
        <v>62.816743666665843</v>
      </c>
      <c r="AF74" s="440">
        <f t="shared" ref="AF74:AG74" si="58">AE74</f>
        <v>62.816743666665843</v>
      </c>
      <c r="AG74" s="440">
        <f t="shared" si="58"/>
        <v>62.816743666665843</v>
      </c>
    </row>
    <row r="75" spans="2:33" ht="29.5" customHeight="1" x14ac:dyDescent="0.35">
      <c r="B75" s="283"/>
      <c r="C75" s="240"/>
      <c r="D75" s="223"/>
      <c r="E75" s="223"/>
      <c r="F75" s="223"/>
      <c r="G75" s="223"/>
      <c r="H75" s="223"/>
      <c r="I75" s="223"/>
      <c r="J75" s="223"/>
      <c r="K75" s="223"/>
      <c r="L75" s="223"/>
      <c r="M75" s="223"/>
      <c r="N75" s="223"/>
      <c r="O75" s="223"/>
      <c r="P75" s="223"/>
      <c r="Q75" s="223"/>
      <c r="R75" s="223"/>
      <c r="S75" s="223"/>
      <c r="T75" s="223"/>
      <c r="U75" s="223"/>
      <c r="V75" s="223"/>
      <c r="W75" s="223"/>
      <c r="X75" s="223"/>
      <c r="Y75" s="223"/>
      <c r="Z75" s="223"/>
      <c r="AA75" s="223"/>
      <c r="AB75" s="223"/>
      <c r="AC75" s="223"/>
    </row>
    <row r="76" spans="2:33" ht="16.75" customHeight="1" x14ac:dyDescent="0.35">
      <c r="B76" s="240"/>
      <c r="C76" s="240"/>
      <c r="N76" s="240">
        <f>AVERAGE(P70:S70)</f>
        <v>1186.6085</v>
      </c>
      <c r="R76" s="240">
        <f>AVERAGE(T70:W70)</f>
        <v>1320.2137499999999</v>
      </c>
      <c r="S76" s="555"/>
      <c r="T76" s="555"/>
      <c r="U76" s="240"/>
      <c r="V76" s="240">
        <f>AVERAGE(X70:AA70)</f>
        <v>1423.1335000000001</v>
      </c>
      <c r="W76" s="240"/>
      <c r="X76" s="240"/>
      <c r="Y76" s="240"/>
      <c r="Z76" s="240">
        <f>AVERAGE(AB70:AE70)</f>
        <v>1514.2249002500002</v>
      </c>
      <c r="AA76" s="240"/>
      <c r="AB76" s="240"/>
      <c r="AC76" s="240"/>
      <c r="AD76" s="441">
        <f>AVERAGE(AF70:AI70)</f>
        <v>1585.5986709705003</v>
      </c>
    </row>
    <row r="77" spans="2:33" ht="16.75" customHeight="1" x14ac:dyDescent="0.35">
      <c r="B77" s="240"/>
      <c r="C77" s="240"/>
      <c r="S77" s="223"/>
      <c r="T77" s="223"/>
      <c r="U77" s="240"/>
      <c r="V77" s="240"/>
      <c r="W77" s="240"/>
      <c r="X77" s="240"/>
      <c r="Y77" s="240"/>
      <c r="Z77" s="240"/>
      <c r="AA77" s="240"/>
      <c r="AB77" s="240"/>
      <c r="AC77" s="240">
        <f>Z76-V76</f>
        <v>91.091400250000106</v>
      </c>
    </row>
    <row r="78" spans="2:33" ht="16.75" customHeight="1" x14ac:dyDescent="0.35">
      <c r="B78" s="240"/>
      <c r="C78" s="240"/>
      <c r="S78" s="223"/>
      <c r="T78" s="223"/>
      <c r="U78" s="240"/>
      <c r="V78" s="240"/>
      <c r="W78" s="240"/>
      <c r="X78" s="240"/>
      <c r="Y78" s="240"/>
      <c r="Z78" s="240"/>
      <c r="AA78" s="240"/>
      <c r="AB78" s="240"/>
      <c r="AC78" s="240"/>
    </row>
    <row r="79" spans="2:33" ht="16.75" customHeight="1" x14ac:dyDescent="0.35">
      <c r="B79" s="240"/>
      <c r="C79" s="240"/>
      <c r="S79" s="223"/>
      <c r="T79" s="223"/>
      <c r="U79" s="441"/>
      <c r="V79" s="441"/>
      <c r="W79" s="441"/>
      <c r="X79" s="441"/>
      <c r="Y79" s="441"/>
      <c r="Z79" s="441"/>
      <c r="AA79" s="441"/>
      <c r="AB79" s="441"/>
      <c r="AC79" s="441"/>
      <c r="AD79" s="520"/>
    </row>
    <row r="80" spans="2:33" ht="16.75" customHeight="1" x14ac:dyDescent="0.35">
      <c r="B80" s="472"/>
      <c r="C80" s="240"/>
      <c r="S80" s="223"/>
      <c r="T80" s="223"/>
      <c r="U80" s="223"/>
      <c r="V80" s="223"/>
      <c r="W80" s="223"/>
      <c r="X80" s="223"/>
      <c r="Y80" s="223"/>
      <c r="Z80" s="223"/>
      <c r="AA80" s="223"/>
      <c r="AB80" s="223"/>
      <c r="AC80" s="223"/>
      <c r="AD80" s="520"/>
    </row>
    <row r="81" spans="2:30" ht="16.75" customHeight="1" x14ac:dyDescent="0.35">
      <c r="B81" s="472"/>
      <c r="C81" s="240"/>
      <c r="S81" s="223"/>
      <c r="T81" s="223"/>
      <c r="U81" s="223"/>
      <c r="V81" s="223"/>
      <c r="W81" s="223"/>
      <c r="X81" s="223"/>
      <c r="Y81" s="223"/>
      <c r="Z81" s="223"/>
      <c r="AA81" s="223"/>
      <c r="AB81" s="223"/>
      <c r="AC81" s="223"/>
      <c r="AD81" s="520"/>
    </row>
    <row r="82" spans="2:30" ht="16.75" customHeight="1" x14ac:dyDescent="0.35">
      <c r="B82" s="472"/>
      <c r="C82" s="240"/>
      <c r="S82" s="223"/>
      <c r="T82" s="223"/>
      <c r="U82" s="223"/>
      <c r="V82" s="223"/>
      <c r="W82" s="223"/>
      <c r="X82" s="223"/>
      <c r="Y82" s="223"/>
      <c r="Z82" s="223"/>
      <c r="AA82" s="223"/>
      <c r="AB82" s="223"/>
      <c r="AC82" s="223"/>
      <c r="AD82" s="520"/>
    </row>
    <row r="83" spans="2:30" ht="16.75" customHeight="1" x14ac:dyDescent="0.35">
      <c r="B83" s="240"/>
      <c r="C83" s="240"/>
      <c r="S83" s="240"/>
      <c r="T83" s="240"/>
      <c r="U83" s="441"/>
      <c r="V83" s="441"/>
      <c r="W83" s="441"/>
      <c r="X83" s="441"/>
      <c r="Y83" s="441"/>
      <c r="Z83" s="441"/>
      <c r="AA83" s="441"/>
      <c r="AB83" s="441"/>
      <c r="AC83" s="441"/>
      <c r="AD83" s="520"/>
    </row>
    <row r="84" spans="2:30" ht="16.75" customHeight="1" x14ac:dyDescent="0.35">
      <c r="B84" s="472"/>
      <c r="C84" s="240"/>
      <c r="D84">
        <f>E91/D91</f>
        <v>1.0771335372462556</v>
      </c>
      <c r="S84" s="240"/>
      <c r="T84" s="240"/>
      <c r="U84" s="441"/>
      <c r="V84" s="441"/>
      <c r="W84" s="441"/>
      <c r="X84" s="441"/>
      <c r="Y84" s="441"/>
      <c r="Z84" s="441"/>
      <c r="AA84" s="441"/>
      <c r="AB84" s="441"/>
      <c r="AC84" s="441"/>
      <c r="AD84" s="520"/>
    </row>
    <row r="85" spans="2:30" ht="16.75" customHeight="1" x14ac:dyDescent="0.35">
      <c r="B85" s="472"/>
      <c r="C85" s="240"/>
      <c r="S85" s="240"/>
      <c r="T85" s="240"/>
      <c r="U85" s="223"/>
      <c r="V85" s="223"/>
      <c r="W85" s="223"/>
      <c r="X85" s="223"/>
      <c r="Y85" s="223"/>
      <c r="Z85" s="223"/>
      <c r="AA85" s="223"/>
      <c r="AB85" s="223"/>
      <c r="AC85" s="223"/>
      <c r="AD85" s="520"/>
    </row>
    <row r="86" spans="2:30" ht="16.75" customHeight="1" x14ac:dyDescent="0.35">
      <c r="B86" s="472"/>
      <c r="C86" s="240"/>
      <c r="S86" s="240"/>
      <c r="T86" s="240"/>
      <c r="U86" s="685"/>
      <c r="V86" s="685"/>
      <c r="W86" s="685"/>
      <c r="X86" s="685"/>
      <c r="Y86" s="685"/>
      <c r="Z86" s="685"/>
      <c r="AA86" s="685"/>
      <c r="AB86" s="685"/>
      <c r="AC86" s="685"/>
      <c r="AD86" s="520"/>
    </row>
    <row r="87" spans="2:30" ht="16.75" customHeight="1" x14ac:dyDescent="0.35">
      <c r="B87" s="240"/>
      <c r="C87" s="240"/>
      <c r="S87" s="223"/>
      <c r="T87" s="223"/>
      <c r="U87" s="223"/>
      <c r="V87" s="223"/>
      <c r="W87" s="223"/>
      <c r="X87" s="223"/>
      <c r="Y87" s="223"/>
      <c r="Z87" s="223"/>
      <c r="AA87" s="223"/>
      <c r="AB87" s="223"/>
      <c r="AC87" s="223"/>
      <c r="AD87" s="520"/>
    </row>
    <row r="88" spans="2:30" ht="22.5" customHeight="1" x14ac:dyDescent="0.35">
      <c r="B88" s="283"/>
      <c r="C88" s="240"/>
      <c r="D88" s="223"/>
      <c r="E88" s="223"/>
      <c r="F88" s="223"/>
      <c r="G88" s="223"/>
      <c r="H88" s="223"/>
      <c r="I88" s="223"/>
      <c r="J88" s="223"/>
      <c r="K88" s="223"/>
      <c r="L88" s="223"/>
      <c r="M88" s="223"/>
      <c r="N88" s="223"/>
      <c r="O88" s="223"/>
      <c r="P88" s="223"/>
      <c r="Q88" s="223"/>
      <c r="R88" s="223"/>
      <c r="S88" s="223"/>
      <c r="T88" s="223"/>
      <c r="U88" s="223"/>
      <c r="V88" s="223"/>
      <c r="W88" s="223"/>
      <c r="X88" s="223"/>
      <c r="Y88" s="223"/>
      <c r="Z88" s="223"/>
      <c r="AA88" s="223"/>
      <c r="AB88" s="223"/>
      <c r="AC88" s="223"/>
    </row>
    <row r="89" spans="2:30" ht="22.5" customHeight="1" x14ac:dyDescent="0.35">
      <c r="B89" s="283"/>
      <c r="C89" s="240"/>
      <c r="D89" s="223"/>
      <c r="E89" s="223"/>
      <c r="F89" s="223"/>
      <c r="G89" s="223"/>
      <c r="H89" s="223"/>
      <c r="I89" s="223"/>
      <c r="J89" s="223"/>
      <c r="K89" s="223"/>
      <c r="L89" s="223"/>
      <c r="M89" s="223"/>
      <c r="N89" s="223"/>
      <c r="O89" s="223"/>
      <c r="P89" s="223"/>
      <c r="Q89" s="223"/>
      <c r="R89" s="223"/>
      <c r="S89" s="223"/>
      <c r="T89" s="223"/>
      <c r="U89" s="223"/>
      <c r="V89" s="223"/>
      <c r="W89" s="223"/>
      <c r="X89" s="223"/>
      <c r="Y89" s="223"/>
      <c r="Z89" s="223"/>
      <c r="AA89" s="223"/>
      <c r="AB89" s="223"/>
      <c r="AC89" s="223"/>
    </row>
    <row r="90" spans="2:30" ht="38.5" customHeight="1" x14ac:dyDescent="0.35">
      <c r="B90" s="490"/>
      <c r="C90" s="717">
        <v>2022</v>
      </c>
      <c r="D90" s="718">
        <v>2023</v>
      </c>
      <c r="E90" s="718">
        <v>2024</v>
      </c>
      <c r="F90" s="719">
        <v>2025</v>
      </c>
      <c r="G90" s="223">
        <v>2026</v>
      </c>
      <c r="H90" s="223"/>
      <c r="I90" s="223"/>
      <c r="J90" s="223"/>
      <c r="K90" s="223"/>
      <c r="L90" s="223"/>
      <c r="M90" s="223"/>
      <c r="N90" s="223"/>
      <c r="O90" s="223"/>
      <c r="P90" s="223"/>
      <c r="Q90" s="223"/>
      <c r="R90" s="223"/>
      <c r="S90" s="223"/>
      <c r="T90" s="223"/>
      <c r="U90" s="223"/>
      <c r="V90" s="223"/>
      <c r="W90" s="223"/>
      <c r="X90" s="223"/>
      <c r="Y90" s="223"/>
      <c r="Z90" s="223"/>
      <c r="AA90" s="223"/>
      <c r="AB90" s="223"/>
      <c r="AC90" s="223"/>
    </row>
    <row r="91" spans="2:30" ht="38.5" customHeight="1" x14ac:dyDescent="0.35">
      <c r="B91" s="665" t="s">
        <v>1928</v>
      </c>
      <c r="C91" s="266">
        <v>1212.4870000000001</v>
      </c>
      <c r="D91" s="266">
        <v>1347.961</v>
      </c>
      <c r="E91" s="266">
        <v>1451.934</v>
      </c>
      <c r="F91" s="266">
        <v>1549.1100000000001</v>
      </c>
      <c r="G91" s="266">
        <v>1647.1120000000001</v>
      </c>
      <c r="H91" s="266">
        <v>1740.634</v>
      </c>
      <c r="I91" s="266">
        <v>1838.4829999999999</v>
      </c>
      <c r="J91" s="266">
        <v>1938.394</v>
      </c>
      <c r="K91" s="266">
        <v>2040.598</v>
      </c>
      <c r="L91" s="266">
        <v>2146.6759999999999</v>
      </c>
      <c r="M91" s="266">
        <v>2255.0050000000001</v>
      </c>
      <c r="N91" s="266">
        <v>2364.4049999999997</v>
      </c>
      <c r="O91" s="266">
        <v>2478.1</v>
      </c>
      <c r="P91" s="223"/>
      <c r="Q91" s="223"/>
      <c r="R91" s="223"/>
      <c r="S91" s="223"/>
      <c r="T91" s="223"/>
      <c r="U91" s="223"/>
      <c r="V91" s="223"/>
      <c r="W91" s="223"/>
      <c r="X91" s="223"/>
      <c r="Y91" s="223"/>
      <c r="Z91" s="223"/>
      <c r="AA91" s="223"/>
      <c r="AB91" s="223"/>
      <c r="AC91" s="223"/>
    </row>
    <row r="92" spans="2:30" ht="69" customHeight="1" x14ac:dyDescent="0.35">
      <c r="B92" s="283"/>
      <c r="C92" s="240"/>
      <c r="D92" s="223"/>
      <c r="E92" s="223"/>
      <c r="F92" s="223"/>
      <c r="G92" s="223"/>
      <c r="H92" s="223"/>
      <c r="I92" s="223"/>
      <c r="J92" s="223"/>
      <c r="K92" s="223"/>
      <c r="L92" s="223"/>
      <c r="M92" s="223"/>
      <c r="N92" s="223"/>
      <c r="O92" s="223"/>
      <c r="P92" s="223"/>
      <c r="Q92" s="223"/>
      <c r="R92" s="223"/>
      <c r="S92" s="223"/>
      <c r="T92" s="223"/>
      <c r="U92" s="223"/>
      <c r="V92" s="223"/>
      <c r="W92" s="223"/>
      <c r="X92" s="223"/>
      <c r="Y92" s="223"/>
      <c r="Z92" s="223"/>
      <c r="AA92" s="223"/>
      <c r="AB92" s="223"/>
      <c r="AC92" s="223"/>
    </row>
    <row r="93" spans="2:30" x14ac:dyDescent="0.35">
      <c r="B93" s="75" t="s">
        <v>1431</v>
      </c>
      <c r="D93" s="240"/>
      <c r="E93" s="240"/>
      <c r="F93" s="240"/>
      <c r="G93" s="240"/>
      <c r="H93" s="240"/>
      <c r="I93" s="240"/>
      <c r="J93" s="240"/>
      <c r="K93" s="240"/>
      <c r="L93" s="240"/>
      <c r="M93" s="223"/>
      <c r="N93" s="223"/>
      <c r="O93" s="223"/>
      <c r="P93" s="240"/>
    </row>
    <row r="94" spans="2:30" x14ac:dyDescent="0.35">
      <c r="B94" s="565" t="s">
        <v>808</v>
      </c>
      <c r="C94" s="664"/>
      <c r="D94" s="731">
        <v>2021</v>
      </c>
      <c r="E94" s="731">
        <v>2022</v>
      </c>
      <c r="F94" s="731">
        <v>2023</v>
      </c>
      <c r="G94" s="732">
        <v>2024</v>
      </c>
      <c r="R94" s="520"/>
    </row>
    <row r="95" spans="2:30" x14ac:dyDescent="0.35">
      <c r="B95" s="633" t="s">
        <v>809</v>
      </c>
      <c r="C95" s="738"/>
      <c r="D95" s="726">
        <v>3605.8330000000001</v>
      </c>
      <c r="E95" s="726">
        <v>2900</v>
      </c>
      <c r="F95" s="726">
        <f>E95*1.02</f>
        <v>2958</v>
      </c>
      <c r="G95" s="727">
        <f>F95*1.06</f>
        <v>3135.48</v>
      </c>
    </row>
    <row r="96" spans="2:30" x14ac:dyDescent="0.35">
      <c r="B96" s="633" t="s">
        <v>812</v>
      </c>
      <c r="C96" s="728"/>
      <c r="D96" s="721">
        <f>AVERAGE(Medicare!L10:O10)</f>
        <v>858.02499999999998</v>
      </c>
      <c r="E96" s="721">
        <f>AVERAGE(Medicare!P10:S10)</f>
        <v>917.59999999999991</v>
      </c>
      <c r="F96" s="721">
        <f>AVERAGE(Medicare!T10:W10)</f>
        <v>940.125</v>
      </c>
      <c r="G96" s="736">
        <f>AVERAGE(Medicare!X10:AA10)</f>
        <v>973.33695177711047</v>
      </c>
    </row>
    <row r="97" spans="2:7" ht="13.4" customHeight="1" x14ac:dyDescent="0.35">
      <c r="B97" s="633" t="s">
        <v>810</v>
      </c>
      <c r="C97" s="728"/>
      <c r="D97" s="721">
        <f>D95-D96</f>
        <v>2747.808</v>
      </c>
      <c r="E97" s="721">
        <f t="shared" ref="E97:G97" si="59">E95-E96</f>
        <v>1982.4</v>
      </c>
      <c r="F97" s="721">
        <f t="shared" si="59"/>
        <v>2017.875</v>
      </c>
      <c r="G97" s="736">
        <f t="shared" si="59"/>
        <v>2162.1430482228898</v>
      </c>
    </row>
    <row r="98" spans="2:7" x14ac:dyDescent="0.35">
      <c r="B98" s="633" t="s">
        <v>813</v>
      </c>
      <c r="C98" s="728"/>
      <c r="D98" s="721">
        <f>AVERAGE(L12:O12)</f>
        <v>3640.3999999999996</v>
      </c>
      <c r="E98" s="721">
        <f>AVERAGE(P12:S12)</f>
        <v>2903.3749999999995</v>
      </c>
      <c r="F98" s="721">
        <f>AVERAGE(T12:W12)</f>
        <v>2925.5750000000003</v>
      </c>
      <c r="G98" s="736">
        <f>AVERAGE(X12:AA12)</f>
        <v>3022.5674517771104</v>
      </c>
    </row>
    <row r="99" spans="2:7" x14ac:dyDescent="0.35">
      <c r="B99" s="633" t="s">
        <v>812</v>
      </c>
      <c r="C99" s="728"/>
      <c r="D99" s="721">
        <f>AVERAGE(Medicare!L10:O10)</f>
        <v>858.02499999999998</v>
      </c>
      <c r="E99" s="721">
        <f>AVERAGE(Medicare!P10:S10)</f>
        <v>917.59999999999991</v>
      </c>
      <c r="F99" s="721">
        <f>AVERAGE(Medicare!T10:W10)</f>
        <v>940.125</v>
      </c>
      <c r="G99" s="736">
        <f>AVERAGE(Medicare!X10:AA10)</f>
        <v>973.33695177711047</v>
      </c>
    </row>
    <row r="100" spans="2:7" x14ac:dyDescent="0.35">
      <c r="B100" s="633" t="s">
        <v>532</v>
      </c>
      <c r="C100" s="728"/>
      <c r="D100" s="721">
        <f>AVERAGE(L31:O31)</f>
        <v>1587.6399999999999</v>
      </c>
      <c r="E100" s="721">
        <f>AVERAGE(P31:S31)</f>
        <v>1673.6939333333335</v>
      </c>
      <c r="F100" s="721">
        <f>AVERAGE(T31:W31)</f>
        <v>1799.3932004166672</v>
      </c>
      <c r="G100" s="736">
        <f>AVERAGE(X31:AA31)</f>
        <v>1888.0227410000009</v>
      </c>
    </row>
    <row r="101" spans="2:7" ht="27.65" customHeight="1" x14ac:dyDescent="0.35">
      <c r="B101" s="729" t="s">
        <v>811</v>
      </c>
      <c r="C101" s="357"/>
      <c r="D101" s="623"/>
      <c r="E101" s="733">
        <v>1.157</v>
      </c>
      <c r="F101" s="733">
        <v>1.0109999999999999</v>
      </c>
      <c r="G101" s="737">
        <v>1.0529999999999999</v>
      </c>
    </row>
    <row r="102" spans="2:7" x14ac:dyDescent="0.35">
      <c r="B102" s="240" t="s">
        <v>814</v>
      </c>
      <c r="D102" s="734">
        <f>D98-D95</f>
        <v>34.566999999999553</v>
      </c>
      <c r="E102" s="734">
        <f>E98-E95</f>
        <v>3.3749999999995453</v>
      </c>
      <c r="F102" s="734">
        <f>F98-F95</f>
        <v>-32.424999999999727</v>
      </c>
      <c r="G102" s="734">
        <f t="shared" ref="G102" si="60">G98-G95</f>
        <v>-112.91254822288965</v>
      </c>
    </row>
    <row r="104" spans="2:7" x14ac:dyDescent="0.35">
      <c r="B104" t="s">
        <v>809</v>
      </c>
      <c r="D104">
        <v>3605.8330000000001</v>
      </c>
      <c r="E104">
        <v>2832.5949999999998</v>
      </c>
      <c r="F104">
        <v>2833.72</v>
      </c>
      <c r="G104">
        <v>2976.7339999999999</v>
      </c>
    </row>
  </sheetData>
  <mergeCells count="31">
    <mergeCell ref="W47:AG47"/>
    <mergeCell ref="W58:AG58"/>
    <mergeCell ref="Q48:T48"/>
    <mergeCell ref="D47:V47"/>
    <mergeCell ref="D58:V58"/>
    <mergeCell ref="B1:AC1"/>
    <mergeCell ref="B2:AC6"/>
    <mergeCell ref="E9:H9"/>
    <mergeCell ref="I9:L9"/>
    <mergeCell ref="Y9:AB9"/>
    <mergeCell ref="M9:P9"/>
    <mergeCell ref="Q9:T9"/>
    <mergeCell ref="P8:V8"/>
    <mergeCell ref="AC9:AF9"/>
    <mergeCell ref="W8:AG8"/>
    <mergeCell ref="Y59:AB59"/>
    <mergeCell ref="B11:C11"/>
    <mergeCell ref="B46:AC46"/>
    <mergeCell ref="B47:C49"/>
    <mergeCell ref="E48:H48"/>
    <mergeCell ref="I48:L48"/>
    <mergeCell ref="B35:C35"/>
    <mergeCell ref="Y48:AB48"/>
    <mergeCell ref="B58:C60"/>
    <mergeCell ref="E59:H59"/>
    <mergeCell ref="I59:L59"/>
    <mergeCell ref="M48:P48"/>
    <mergeCell ref="M59:P59"/>
    <mergeCell ref="Q59:T59"/>
    <mergeCell ref="AC59:AF59"/>
    <mergeCell ref="AC48:AF48"/>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D23" sqref="D23"/>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380" t="s">
        <v>465</v>
      </c>
      <c r="C1" s="1380"/>
      <c r="D1" s="1380"/>
      <c r="E1" s="1380"/>
      <c r="F1" s="1380"/>
      <c r="G1" s="1380"/>
      <c r="H1" s="1380"/>
      <c r="I1" s="1380"/>
      <c r="J1" s="1380"/>
      <c r="K1" s="1380"/>
      <c r="L1" s="1380"/>
      <c r="M1" s="1380"/>
      <c r="N1" s="1380"/>
      <c r="O1" s="1380"/>
      <c r="P1" s="1380"/>
      <c r="Q1" s="1380"/>
      <c r="R1" s="1380"/>
      <c r="S1" s="1380"/>
      <c r="T1" s="1380"/>
      <c r="U1" s="1380"/>
      <c r="V1" s="1380"/>
      <c r="W1" s="1380"/>
      <c r="X1" s="1380"/>
      <c r="Y1" s="1380"/>
      <c r="Z1" s="1380"/>
      <c r="AA1" s="1380"/>
      <c r="AB1" s="1380"/>
      <c r="AC1" s="1380"/>
    </row>
    <row r="2" spans="1:29" ht="34.5" hidden="1" customHeight="1" outlineLevel="1" x14ac:dyDescent="0.35">
      <c r="B2" s="1278" t="s">
        <v>861</v>
      </c>
      <c r="C2" s="1314"/>
      <c r="D2" s="1314"/>
      <c r="E2" s="1314"/>
      <c r="F2" s="1314"/>
      <c r="G2" s="1314"/>
      <c r="H2" s="1314"/>
      <c r="I2" s="1314"/>
      <c r="J2" s="1314"/>
      <c r="K2" s="1314"/>
      <c r="L2" s="1314"/>
      <c r="M2" s="1314"/>
      <c r="N2" s="1314"/>
      <c r="O2" s="1314"/>
      <c r="P2" s="1314"/>
      <c r="Q2" s="1314"/>
      <c r="R2" s="1314"/>
      <c r="S2" s="1314"/>
      <c r="T2" s="1314"/>
      <c r="U2" s="1314"/>
      <c r="V2" s="1314"/>
      <c r="W2" s="1314"/>
      <c r="X2" s="1314"/>
      <c r="Y2" s="1314"/>
      <c r="Z2" s="1314"/>
      <c r="AA2" s="1314"/>
      <c r="AB2" s="1314"/>
      <c r="AC2" s="1314"/>
    </row>
    <row r="3" spans="1:29" ht="3" hidden="1" customHeight="1" outlineLevel="1" x14ac:dyDescent="0.35">
      <c r="B3" s="1314"/>
      <c r="C3" s="1314"/>
      <c r="D3" s="1314"/>
      <c r="E3" s="1314"/>
      <c r="F3" s="1314"/>
      <c r="G3" s="1314"/>
      <c r="H3" s="1314"/>
      <c r="I3" s="1314"/>
      <c r="J3" s="1314"/>
      <c r="K3" s="1314"/>
      <c r="L3" s="1314"/>
      <c r="M3" s="1314"/>
      <c r="N3" s="1314"/>
      <c r="O3" s="1314"/>
      <c r="P3" s="1314"/>
      <c r="Q3" s="1314"/>
      <c r="R3" s="1314"/>
      <c r="S3" s="1314"/>
      <c r="T3" s="1314"/>
      <c r="U3" s="1314"/>
      <c r="V3" s="1314"/>
      <c r="W3" s="1314"/>
      <c r="X3" s="1314"/>
      <c r="Y3" s="1314"/>
      <c r="Z3" s="1314"/>
      <c r="AA3" s="1314"/>
      <c r="AB3" s="1314"/>
      <c r="AC3" s="1314"/>
    </row>
    <row r="4" spans="1:29" ht="10.4" hidden="1" customHeight="1" outlineLevel="1" x14ac:dyDescent="0.35">
      <c r="B4" s="1314"/>
      <c r="C4" s="1314"/>
      <c r="D4" s="1314"/>
      <c r="E4" s="1314"/>
      <c r="F4" s="1314"/>
      <c r="G4" s="1314"/>
      <c r="H4" s="1314"/>
      <c r="I4" s="1314"/>
      <c r="J4" s="1314"/>
      <c r="K4" s="1314"/>
      <c r="L4" s="1314"/>
      <c r="M4" s="1314"/>
      <c r="N4" s="1314"/>
      <c r="O4" s="1314"/>
      <c r="P4" s="1314"/>
      <c r="Q4" s="1314"/>
      <c r="R4" s="1314"/>
      <c r="S4" s="1314"/>
      <c r="T4" s="1314"/>
      <c r="U4" s="1314"/>
      <c r="V4" s="1314"/>
      <c r="W4" s="1314"/>
      <c r="X4" s="1314"/>
      <c r="Y4" s="1314"/>
      <c r="Z4" s="1314"/>
      <c r="AA4" s="1314"/>
      <c r="AB4" s="1314"/>
      <c r="AC4" s="1314"/>
    </row>
    <row r="5" spans="1:29" ht="14.25" hidden="1" customHeight="1" outlineLevel="1" x14ac:dyDescent="0.35">
      <c r="B5" s="1314"/>
      <c r="C5" s="1314"/>
      <c r="D5" s="1314"/>
      <c r="E5" s="1314"/>
      <c r="F5" s="1314"/>
      <c r="G5" s="1314"/>
      <c r="H5" s="1314"/>
      <c r="I5" s="1314"/>
      <c r="J5" s="1314"/>
      <c r="K5" s="1314"/>
      <c r="L5" s="1314"/>
      <c r="M5" s="1314"/>
      <c r="N5" s="1314"/>
      <c r="O5" s="1314"/>
      <c r="P5" s="1314"/>
      <c r="Q5" s="1314"/>
      <c r="R5" s="1314"/>
      <c r="S5" s="1314"/>
      <c r="T5" s="1314"/>
      <c r="U5" s="1314"/>
      <c r="V5" s="1314"/>
      <c r="W5" s="1314"/>
      <c r="X5" s="1314"/>
      <c r="Y5" s="1314"/>
      <c r="Z5" s="1314"/>
      <c r="AA5" s="1314"/>
      <c r="AB5" s="1314"/>
      <c r="AC5" s="1314"/>
    </row>
    <row r="6" spans="1:29" ht="14.25" hidden="1" customHeight="1" outlineLevel="1" x14ac:dyDescent="0.35">
      <c r="B6" s="1314"/>
      <c r="C6" s="1314"/>
      <c r="D6" s="1314"/>
      <c r="E6" s="1314"/>
      <c r="F6" s="1314"/>
      <c r="G6" s="1314"/>
      <c r="H6" s="1314"/>
      <c r="I6" s="1314"/>
      <c r="J6" s="1314"/>
      <c r="K6" s="1314"/>
      <c r="L6" s="1314"/>
      <c r="M6" s="1314"/>
      <c r="N6" s="1314"/>
      <c r="O6" s="1314"/>
      <c r="P6" s="1314"/>
      <c r="Q6" s="1314"/>
      <c r="R6" s="1314"/>
      <c r="S6" s="1314"/>
      <c r="T6" s="1314"/>
      <c r="U6" s="1314"/>
      <c r="V6" s="1314"/>
      <c r="W6" s="1314"/>
      <c r="X6" s="1314"/>
      <c r="Y6" s="1314"/>
      <c r="Z6" s="1314"/>
      <c r="AA6" s="1314"/>
      <c r="AB6" s="1314"/>
      <c r="AC6" s="1314"/>
    </row>
    <row r="7" spans="1:29" x14ac:dyDescent="0.35">
      <c r="B7" s="730" t="s">
        <v>333</v>
      </c>
      <c r="C7" s="265"/>
      <c r="D7" s="265"/>
      <c r="E7" s="265"/>
      <c r="F7" s="265"/>
      <c r="G7" s="265"/>
      <c r="H7" s="266"/>
      <c r="I7" s="266"/>
      <c r="J7" s="266"/>
      <c r="K7" s="266"/>
      <c r="L7" s="266"/>
      <c r="M7" s="266"/>
      <c r="N7" s="266"/>
      <c r="O7" s="266"/>
      <c r="P7" s="266"/>
      <c r="Q7" s="266"/>
      <c r="R7" s="266"/>
      <c r="S7" s="266"/>
      <c r="T7" s="266"/>
      <c r="U7" s="266"/>
    </row>
    <row r="8" spans="1:29" ht="14.9" customHeight="1" x14ac:dyDescent="0.35">
      <c r="B8" s="690" t="s">
        <v>304</v>
      </c>
      <c r="C8" s="691"/>
      <c r="D8" s="694" t="s">
        <v>280</v>
      </c>
      <c r="E8" s="695"/>
      <c r="F8" s="695"/>
      <c r="G8" s="695"/>
      <c r="H8" s="695"/>
      <c r="I8" s="695"/>
      <c r="J8" s="695"/>
      <c r="K8" s="695"/>
      <c r="L8" s="695"/>
      <c r="M8" s="695"/>
      <c r="N8" s="695"/>
      <c r="O8" s="695"/>
      <c r="P8" s="1299"/>
      <c r="Q8" s="1299"/>
      <c r="R8" s="1299"/>
      <c r="S8" s="1299"/>
      <c r="T8" s="1299"/>
      <c r="U8" s="1299"/>
      <c r="V8" s="1287"/>
      <c r="W8" s="1328" t="s">
        <v>281</v>
      </c>
      <c r="X8" s="1297"/>
      <c r="Y8" s="1297"/>
      <c r="Z8" s="1297"/>
      <c r="AA8" s="1297"/>
      <c r="AB8" s="1297"/>
      <c r="AC8" s="1329"/>
    </row>
    <row r="9" spans="1:29" ht="14.9" customHeight="1" x14ac:dyDescent="0.35">
      <c r="B9" s="692"/>
      <c r="C9" s="693"/>
      <c r="D9" s="219">
        <v>2018</v>
      </c>
      <c r="E9" s="1291">
        <v>2019</v>
      </c>
      <c r="F9" s="1292"/>
      <c r="G9" s="1292"/>
      <c r="H9" s="1293"/>
      <c r="I9" s="1291">
        <v>2020</v>
      </c>
      <c r="J9" s="1292"/>
      <c r="K9" s="1292"/>
      <c r="L9" s="1292"/>
      <c r="M9" s="1291">
        <v>2021</v>
      </c>
      <c r="N9" s="1292"/>
      <c r="O9" s="1292"/>
      <c r="P9" s="1292"/>
      <c r="Q9" s="1291">
        <v>2022</v>
      </c>
      <c r="R9" s="1321"/>
      <c r="S9" s="1321"/>
      <c r="T9" s="1293"/>
      <c r="U9" s="288"/>
      <c r="V9" s="288">
        <v>2023</v>
      </c>
      <c r="W9" s="556"/>
      <c r="X9" s="260"/>
      <c r="Y9" s="1288">
        <v>2024</v>
      </c>
      <c r="Z9" s="1301"/>
      <c r="AA9" s="1301"/>
      <c r="AB9" s="1290"/>
      <c r="AC9" s="251">
        <v>2025</v>
      </c>
    </row>
    <row r="10" spans="1:29" x14ac:dyDescent="0.35">
      <c r="B10" s="692"/>
      <c r="C10" s="693"/>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5" t="s">
        <v>283</v>
      </c>
      <c r="V10" s="286" t="s">
        <v>284</v>
      </c>
      <c r="W10" s="270" t="s">
        <v>238</v>
      </c>
      <c r="X10" s="271" t="s">
        <v>282</v>
      </c>
      <c r="Y10" s="269" t="s">
        <v>283</v>
      </c>
      <c r="Z10" s="267" t="s">
        <v>284</v>
      </c>
      <c r="AA10" s="270" t="s">
        <v>238</v>
      </c>
      <c r="AB10" s="270" t="s">
        <v>282</v>
      </c>
      <c r="AC10" s="272" t="s">
        <v>283</v>
      </c>
    </row>
    <row r="11" spans="1:29" ht="15" customHeight="1" x14ac:dyDescent="0.35">
      <c r="B11" s="1373" t="s">
        <v>466</v>
      </c>
      <c r="C11" s="1374"/>
      <c r="D11" s="662"/>
      <c r="E11" s="723"/>
      <c r="F11" s="723"/>
      <c r="G11" s="723"/>
      <c r="H11" s="308"/>
      <c r="I11" s="308"/>
      <c r="J11" s="308"/>
      <c r="K11" s="308"/>
      <c r="L11" s="308"/>
      <c r="M11" s="575"/>
      <c r="N11" s="575"/>
      <c r="O11" s="575"/>
      <c r="P11" s="308"/>
      <c r="Q11" s="308"/>
      <c r="R11" s="308"/>
      <c r="S11" s="308"/>
      <c r="T11" s="287"/>
      <c r="U11" s="308"/>
      <c r="V11" s="308"/>
      <c r="W11" s="217"/>
      <c r="X11" s="217"/>
      <c r="Y11" s="217"/>
      <c r="Z11" s="217"/>
      <c r="AA11" s="217"/>
      <c r="AB11" s="217"/>
      <c r="AC11" s="218"/>
    </row>
    <row r="12" spans="1:29" ht="17.149999999999999" customHeight="1" x14ac:dyDescent="0.35">
      <c r="A12" t="s">
        <v>1854</v>
      </c>
      <c r="B12" s="746" t="s">
        <v>467</v>
      </c>
      <c r="C12" s="240" t="s">
        <v>468</v>
      </c>
      <c r="D12" s="595">
        <f>'Haver Pivoted'!GO31</f>
        <v>2223</v>
      </c>
      <c r="E12" s="555">
        <f>'Haver Pivoted'!GP31</f>
        <v>2303.6</v>
      </c>
      <c r="F12" s="555">
        <f>'Haver Pivoted'!GQ31</f>
        <v>2320.1</v>
      </c>
      <c r="G12" s="555">
        <f>'Haver Pivoted'!GR31</f>
        <v>2332.9</v>
      </c>
      <c r="H12" s="555">
        <f>'Haver Pivoted'!GS31</f>
        <v>2346.6</v>
      </c>
      <c r="I12" s="555">
        <f>'Haver Pivoted'!GT31</f>
        <v>2412.6</v>
      </c>
      <c r="J12" s="555">
        <f>'Haver Pivoted'!GU31</f>
        <v>4652.1000000000004</v>
      </c>
      <c r="K12" s="555">
        <f>'Haver Pivoted'!GV31</f>
        <v>3508</v>
      </c>
      <c r="L12" s="555">
        <f>'Haver Pivoted'!GW31</f>
        <v>2895.4</v>
      </c>
      <c r="M12" s="555">
        <f>'Haver Pivoted'!GX31</f>
        <v>5127.3999999999996</v>
      </c>
      <c r="N12" s="555">
        <f>'Haver Pivoted'!GY31</f>
        <v>3403.8</v>
      </c>
      <c r="O12" s="555">
        <f>'Haver Pivoted'!GZ31</f>
        <v>3135</v>
      </c>
      <c r="P12" s="555">
        <f>'Haver Pivoted'!HA31</f>
        <v>2947.7</v>
      </c>
      <c r="Q12" s="555">
        <f>'Haver Pivoted'!HB31</f>
        <v>2903.2</v>
      </c>
      <c r="R12" s="555">
        <f>'Haver Pivoted'!HC31</f>
        <v>2895.2</v>
      </c>
      <c r="S12" s="558">
        <f>'Haver Pivoted'!HD31</f>
        <v>2867.4</v>
      </c>
      <c r="T12" s="558">
        <f>'Haver Pivoted'!HE31</f>
        <v>2896.7</v>
      </c>
      <c r="U12" s="558">
        <f>'Haver Pivoted'!HF31</f>
        <v>2945.8</v>
      </c>
      <c r="V12" s="558">
        <f>'Haver Pivoted'!HG31</f>
        <v>2929.7</v>
      </c>
      <c r="W12" s="677">
        <f t="shared" ref="W12:AC12" si="0">SUM(W14:W39)-W38</f>
        <v>3090.5375833333328</v>
      </c>
      <c r="X12" s="677">
        <f t="shared" si="0"/>
        <v>3095.0163452380957</v>
      </c>
      <c r="Y12" s="677">
        <f t="shared" si="0"/>
        <v>3158.6079007714293</v>
      </c>
      <c r="Z12" s="677">
        <f t="shared" si="0"/>
        <v>3180.6012670249911</v>
      </c>
      <c r="AA12" s="677">
        <f t="shared" si="0"/>
        <v>3203.1623416263087</v>
      </c>
      <c r="AB12" s="677">
        <f t="shared" si="0"/>
        <v>3221.474207569398</v>
      </c>
      <c r="AC12" s="722">
        <f t="shared" si="0"/>
        <v>3270.8492533452941</v>
      </c>
    </row>
    <row r="13" spans="1:29" ht="15.65" customHeight="1" x14ac:dyDescent="0.35">
      <c r="A13" t="s">
        <v>1854</v>
      </c>
      <c r="B13" s="745" t="s">
        <v>798</v>
      </c>
      <c r="C13" s="240" t="s">
        <v>825</v>
      </c>
      <c r="D13" s="274">
        <v>30</v>
      </c>
      <c r="E13" s="230">
        <v>30</v>
      </c>
      <c r="F13" s="230">
        <v>30</v>
      </c>
      <c r="G13" s="230">
        <v>30</v>
      </c>
      <c r="H13" s="230">
        <v>30</v>
      </c>
      <c r="I13" s="230">
        <v>30</v>
      </c>
      <c r="J13" s="230">
        <v>30</v>
      </c>
      <c r="K13" s="226">
        <v>30.2</v>
      </c>
      <c r="L13" s="226">
        <v>30.2</v>
      </c>
      <c r="M13" s="226">
        <f>'Haver Pivoted'!GX89</f>
        <v>34.4</v>
      </c>
      <c r="N13" s="226">
        <f>'Haver Pivoted'!GY89</f>
        <v>34.4</v>
      </c>
      <c r="O13" s="226">
        <f>'Haver Pivoted'!GZ89</f>
        <v>218.933333333333</v>
      </c>
      <c r="P13" s="226">
        <f>'Haver Pivoted'!HA89</f>
        <v>223.13333333333301</v>
      </c>
      <c r="Q13" s="226">
        <f>'Haver Pivoted'!HB89</f>
        <v>94.3</v>
      </c>
      <c r="R13" s="226">
        <f>'Haver Pivoted'!HC89</f>
        <v>94.3</v>
      </c>
      <c r="S13" s="226">
        <f>'Haver Pivoted'!HD89</f>
        <v>94.3</v>
      </c>
      <c r="T13" s="226">
        <f>'Haver Pivoted'!HE89</f>
        <v>94.3</v>
      </c>
      <c r="U13" s="677">
        <v>34</v>
      </c>
      <c r="V13" s="555">
        <v>34</v>
      </c>
      <c r="W13" s="677">
        <v>34</v>
      </c>
      <c r="X13" s="677">
        <v>34</v>
      </c>
      <c r="Y13" s="677">
        <v>34</v>
      </c>
      <c r="Z13" s="677">
        <v>34</v>
      </c>
      <c r="AA13" s="677">
        <v>34</v>
      </c>
      <c r="AB13" s="677">
        <v>34</v>
      </c>
      <c r="AC13" s="722">
        <v>34</v>
      </c>
    </row>
    <row r="14" spans="1:29" ht="15" customHeight="1" x14ac:dyDescent="0.35">
      <c r="A14" t="s">
        <v>1851</v>
      </c>
      <c r="B14" s="671" t="s">
        <v>1843</v>
      </c>
      <c r="C14" s="240"/>
      <c r="D14" s="595">
        <f>'Unemployment Insurance'!D20+'Unemployment Insurance'!D19</f>
        <v>27.1</v>
      </c>
      <c r="E14" s="555">
        <f>'Unemployment Insurance'!E20+'Unemployment Insurance'!E19</f>
        <v>30.5</v>
      </c>
      <c r="F14" s="555">
        <f>'Unemployment Insurance'!F20+'Unemployment Insurance'!F19</f>
        <v>27.7</v>
      </c>
      <c r="G14" s="555">
        <f>'Unemployment Insurance'!G20+'Unemployment Insurance'!G19</f>
        <v>25</v>
      </c>
      <c r="H14" s="555">
        <f>'Unemployment Insurance'!H20+'Unemployment Insurance'!H19</f>
        <v>26.7</v>
      </c>
      <c r="I14" s="555">
        <f>'Unemployment Insurance'!I20+'Unemployment Insurance'!I19</f>
        <v>40.9</v>
      </c>
      <c r="J14" s="555">
        <f>'Unemployment Insurance'!J20+'Unemployment Insurance'!J19</f>
        <v>951.4</v>
      </c>
      <c r="K14" s="555">
        <f>'Unemployment Insurance'!K20+'Unemployment Insurance'!K19</f>
        <v>802.3</v>
      </c>
      <c r="L14" s="555">
        <f>'Unemployment Insurance'!L20+'Unemployment Insurance'!L19</f>
        <v>323.5</v>
      </c>
      <c r="M14" s="555">
        <f>'Unemployment Insurance'!M20+'Unemployment Insurance'!M19</f>
        <v>583.5</v>
      </c>
      <c r="N14" s="555">
        <f>'Unemployment Insurance'!N20+'Unemployment Insurance'!N19</f>
        <v>451.8</v>
      </c>
      <c r="O14" s="555">
        <f>'Unemployment Insurance'!O20+'Unemployment Insurance'!O19</f>
        <v>226.8</v>
      </c>
      <c r="P14" s="555">
        <f>'Unemployment Insurance'!P20+'Unemployment Insurance'!P19</f>
        <v>33.9</v>
      </c>
      <c r="Q14" s="555">
        <f>'Unemployment Insurance'!Q20+'Unemployment Insurance'!Q19</f>
        <v>26.2</v>
      </c>
      <c r="R14" s="555">
        <f>'Unemployment Insurance'!R20+'Unemployment Insurance'!R19</f>
        <v>21.4</v>
      </c>
      <c r="S14" s="555">
        <f>'Unemployment Insurance'!S20+'Unemployment Insurance'!S19</f>
        <v>19.600000000000001</v>
      </c>
      <c r="T14" s="555">
        <f>'Unemployment Insurance'!T20+'Unemployment Insurance'!T19</f>
        <v>22.1</v>
      </c>
      <c r="U14" s="555">
        <f>'Unemployment Insurance'!U20+'Unemployment Insurance'!U19</f>
        <v>22</v>
      </c>
      <c r="V14" s="742">
        <f>V15+V16</f>
        <v>22.62857142857143</v>
      </c>
      <c r="W14" s="677">
        <f>'Unemployment Insurance'!W20+'Unemployment Insurance'!W19</f>
        <v>22.62857142857143</v>
      </c>
      <c r="X14" s="677">
        <f>'Unemployment Insurance'!X20+'Unemployment Insurance'!X19</f>
        <v>22.7</v>
      </c>
      <c r="Y14" s="677">
        <f>'Unemployment Insurance'!Y20+'Unemployment Insurance'!Y19</f>
        <v>22.7</v>
      </c>
      <c r="Z14" s="677">
        <f>'Unemployment Insurance'!Z20+'Unemployment Insurance'!Z19</f>
        <v>22.5</v>
      </c>
      <c r="AA14" s="677">
        <f>'Unemployment Insurance'!AA20+'Unemployment Insurance'!AA19</f>
        <v>22.5</v>
      </c>
      <c r="AB14" s="677">
        <f>'Unemployment Insurance'!AB20+'Unemployment Insurance'!AB19</f>
        <v>22.5</v>
      </c>
      <c r="AC14" s="722">
        <f>'Unemployment Insurance'!AC20+'Unemployment Insurance'!AC19</f>
        <v>22.5</v>
      </c>
    </row>
    <row r="15" spans="1:29" x14ac:dyDescent="0.35">
      <c r="B15" s="416" t="s">
        <v>203</v>
      </c>
      <c r="C15" s="240"/>
      <c r="D15" s="595"/>
      <c r="E15" s="555"/>
      <c r="F15" s="555"/>
      <c r="G15" s="555"/>
      <c r="H15" s="555"/>
      <c r="I15" s="555"/>
      <c r="J15" s="555"/>
      <c r="K15" s="555"/>
      <c r="L15" s="555"/>
      <c r="M15" s="555"/>
      <c r="N15" s="555"/>
      <c r="O15" s="555"/>
      <c r="P15" s="555"/>
      <c r="Q15" s="555"/>
      <c r="R15" s="555"/>
      <c r="S15" s="555"/>
      <c r="T15" s="555"/>
      <c r="U15" s="555"/>
      <c r="V15" s="555">
        <f>'Unemployment Insurance'!V19</f>
        <v>0</v>
      </c>
      <c r="W15" s="677"/>
      <c r="X15" s="677"/>
      <c r="Y15" s="677"/>
      <c r="Z15" s="677"/>
      <c r="AA15" s="677"/>
      <c r="AB15" s="677"/>
      <c r="AC15" s="722"/>
    </row>
    <row r="16" spans="1:29" x14ac:dyDescent="0.35">
      <c r="B16" s="416" t="s">
        <v>205</v>
      </c>
      <c r="C16" s="240"/>
      <c r="D16" s="595"/>
      <c r="E16" s="555"/>
      <c r="F16" s="555"/>
      <c r="G16" s="555"/>
      <c r="H16" s="555"/>
      <c r="I16" s="555"/>
      <c r="J16" s="555"/>
      <c r="K16" s="555"/>
      <c r="L16" s="555"/>
      <c r="M16" s="555"/>
      <c r="N16" s="555"/>
      <c r="O16" s="555"/>
      <c r="P16" s="555"/>
      <c r="Q16" s="555"/>
      <c r="R16" s="555"/>
      <c r="S16" s="555"/>
      <c r="T16" s="555"/>
      <c r="U16" s="555"/>
      <c r="V16" s="555">
        <f>'Unemployment Insurance'!V20</f>
        <v>22.62857142857143</v>
      </c>
      <c r="W16" s="677"/>
      <c r="X16" s="677"/>
      <c r="Y16" s="677"/>
      <c r="Z16" s="677"/>
      <c r="AA16" s="677"/>
      <c r="AB16" s="677"/>
      <c r="AC16" s="722"/>
    </row>
    <row r="17" spans="1:101" ht="17.899999999999999" customHeight="1" x14ac:dyDescent="0.35">
      <c r="A17" t="s">
        <v>1851</v>
      </c>
      <c r="B17" s="671" t="s">
        <v>55</v>
      </c>
      <c r="C17" s="240"/>
      <c r="D17" s="595">
        <f>Medicare!D10</f>
        <v>755</v>
      </c>
      <c r="E17" s="555">
        <f>Medicare!E10</f>
        <v>771.9</v>
      </c>
      <c r="F17" s="555">
        <f>Medicare!F10</f>
        <v>785.3</v>
      </c>
      <c r="G17" s="555">
        <f>Medicare!G10</f>
        <v>793.9</v>
      </c>
      <c r="H17" s="555">
        <f>Medicare!H10</f>
        <v>797.9</v>
      </c>
      <c r="I17" s="555">
        <f>Medicare!I10</f>
        <v>798.4</v>
      </c>
      <c r="J17" s="555">
        <f>Medicare!J10</f>
        <v>811.1</v>
      </c>
      <c r="K17" s="555">
        <f>Medicare!K10</f>
        <v>823.1</v>
      </c>
      <c r="L17" s="555">
        <f>Medicare!L10</f>
        <v>834.5</v>
      </c>
      <c r="M17" s="555">
        <f>Medicare!M10</f>
        <v>849.4</v>
      </c>
      <c r="N17" s="555">
        <f>Medicare!N10</f>
        <v>865.6</v>
      </c>
      <c r="O17" s="555">
        <f>Medicare!O10</f>
        <v>882.6</v>
      </c>
      <c r="P17" s="555">
        <f>Medicare!P10</f>
        <v>900.3</v>
      </c>
      <c r="Q17" s="555">
        <f>Medicare!Q10</f>
        <v>918.2</v>
      </c>
      <c r="R17" s="555">
        <f>Medicare!R10</f>
        <v>924.7</v>
      </c>
      <c r="S17" s="555">
        <f>Medicare!S10</f>
        <v>927.2</v>
      </c>
      <c r="T17" s="555">
        <f>Medicare!T10</f>
        <v>934.2</v>
      </c>
      <c r="U17" s="555">
        <f>Medicare!U10</f>
        <v>938.1</v>
      </c>
      <c r="V17" s="742">
        <f>Medicare!V10</f>
        <v>941.9</v>
      </c>
      <c r="W17" s="677">
        <f>Medicare!W10</f>
        <v>946.3</v>
      </c>
      <c r="X17" s="677">
        <f>Medicare!X10</f>
        <v>951.3</v>
      </c>
      <c r="Y17" s="677">
        <f>Medicare!Y10</f>
        <v>965.3</v>
      </c>
      <c r="Z17" s="677">
        <f>Medicare!Z10</f>
        <v>980.56003292022876</v>
      </c>
      <c r="AA17" s="677">
        <f>Medicare!AA10</f>
        <v>996.18777418821298</v>
      </c>
      <c r="AB17" s="677">
        <f>Medicare!AB10</f>
        <v>1008.812306797969</v>
      </c>
      <c r="AC17" s="722">
        <f>Medicare!AC10</f>
        <v>1021.5968281445319</v>
      </c>
    </row>
    <row r="18" spans="1:101" ht="18" customHeight="1" x14ac:dyDescent="0.35">
      <c r="A18" t="s">
        <v>1851</v>
      </c>
      <c r="B18" s="672" t="s">
        <v>469</v>
      </c>
      <c r="C18" s="240"/>
      <c r="D18" s="595"/>
      <c r="E18" s="555"/>
      <c r="F18" s="555"/>
      <c r="G18" s="555"/>
      <c r="H18" s="555">
        <f>'Rebate Checks (expired)'!H10 +'Rebate Checks (expired)'!H11</f>
        <v>0</v>
      </c>
      <c r="I18" s="555">
        <f>'Rebate Checks (expired)'!I10 +'Rebate Checks (expired)'!I11</f>
        <v>0</v>
      </c>
      <c r="J18" s="555">
        <f>'Rebate Checks (expired)'!J10 +'Rebate Checks (expired)'!J11</f>
        <v>1078.0999999999999</v>
      </c>
      <c r="K18" s="555">
        <f>'Rebate Checks (expired)'!K10 +'Rebate Checks (expired)'!K11</f>
        <v>15.6</v>
      </c>
      <c r="L18" s="555">
        <f>'Rebate Checks (expired)'!L10 +'Rebate Checks (expired)'!L11</f>
        <v>5</v>
      </c>
      <c r="M18" s="555">
        <f>'Rebate Checks (expired)'!M10 +'Rebate Checks (expired)'!M11</f>
        <v>1933.6999999999998</v>
      </c>
      <c r="N18" s="555">
        <f>'Rebate Checks (expired)'!N10 +'Rebate Checks (expired)'!N11</f>
        <v>290.10000000000002</v>
      </c>
      <c r="O18" s="555">
        <f>'Rebate Checks (expired)'!O10 +'Rebate Checks (expired)'!O11</f>
        <v>38.9</v>
      </c>
      <c r="P18" s="555">
        <f>'Rebate Checks (expired)'!P10 +'Rebate Checks (expired)'!P11</f>
        <v>14.2</v>
      </c>
      <c r="Q18" s="555">
        <f>'Rebate Checks (expired)'!Q10 +'Rebate Checks (expired)'!Q11</f>
        <v>0</v>
      </c>
      <c r="R18" s="555">
        <f>'Rebate Checks (expired)'!Q10 +'Rebate Checks (expired)'!R11</f>
        <v>0</v>
      </c>
      <c r="S18" s="555">
        <f>'Rebate Checks (expired)'!S10 +'Rebate Checks (expired)'!S11</f>
        <v>0</v>
      </c>
      <c r="T18" s="555">
        <f>'Rebate Checks (expired)'!T10 +'Rebate Checks (expired)'!T11</f>
        <v>0</v>
      </c>
      <c r="U18" s="555">
        <f>'Rebate Checks (expired)'!U10 +'Rebate Checks (expired)'!U11</f>
        <v>0</v>
      </c>
      <c r="V18" s="742">
        <f>V19+V20</f>
        <v>0</v>
      </c>
      <c r="W18" s="677">
        <f>'Rebate Checks (expired)'!W10 +'Rebate Checks (expired)'!W11</f>
        <v>0</v>
      </c>
      <c r="X18" s="677">
        <f>'Rebate Checks (expired)'!X10 +'Rebate Checks (expired)'!X11</f>
        <v>0</v>
      </c>
      <c r="Y18" s="677">
        <f>'Rebate Checks (expired)'!Y10 +'Rebate Checks (expired)'!Y11</f>
        <v>0</v>
      </c>
      <c r="Z18" s="677">
        <f>'Rebate Checks (expired)'!Z10 +'Rebate Checks (expired)'!Z11</f>
        <v>0</v>
      </c>
      <c r="AA18" s="677">
        <f>'Rebate Checks (expired)'!AA10 +'Rebate Checks (expired)'!AA11</f>
        <v>0</v>
      </c>
      <c r="AB18" s="677">
        <f>'Rebate Checks (expired)'!AB10 +'Rebate Checks (expired)'!AB11</f>
        <v>0</v>
      </c>
      <c r="AC18" s="722">
        <f>'Rebate Checks (expired)'!AC10 +'Rebate Checks (expired)'!AC11</f>
        <v>0</v>
      </c>
    </row>
    <row r="19" spans="1:101" ht="18" customHeight="1" x14ac:dyDescent="0.35">
      <c r="B19" s="673" t="s">
        <v>1844</v>
      </c>
      <c r="C19" s="240"/>
      <c r="D19" s="595"/>
      <c r="E19" s="555"/>
      <c r="F19" s="555"/>
      <c r="G19" s="555"/>
      <c r="H19" s="555"/>
      <c r="I19" s="555"/>
      <c r="J19" s="555"/>
      <c r="K19" s="555"/>
      <c r="L19" s="555"/>
      <c r="M19" s="555"/>
      <c r="N19" s="555"/>
      <c r="O19" s="555"/>
      <c r="P19" s="555"/>
      <c r="Q19" s="555"/>
      <c r="R19" s="555"/>
      <c r="S19" s="555"/>
      <c r="T19" s="555"/>
      <c r="U19" s="555"/>
      <c r="V19" s="555">
        <v>0</v>
      </c>
      <c r="W19" s="677"/>
      <c r="X19" s="677"/>
      <c r="Y19" s="677"/>
      <c r="Z19" s="677"/>
      <c r="AA19" s="677"/>
      <c r="AB19" s="677"/>
      <c r="AC19" s="722"/>
    </row>
    <row r="20" spans="1:101" ht="18" customHeight="1" x14ac:dyDescent="0.35">
      <c r="B20" s="673" t="s">
        <v>1845</v>
      </c>
      <c r="C20" s="240"/>
      <c r="D20" s="595"/>
      <c r="E20" s="555"/>
      <c r="F20" s="555"/>
      <c r="G20" s="555"/>
      <c r="H20" s="555"/>
      <c r="I20" s="555"/>
      <c r="J20" s="555"/>
      <c r="K20" s="555"/>
      <c r="L20" s="555"/>
      <c r="M20" s="555"/>
      <c r="N20" s="555"/>
      <c r="O20" s="555"/>
      <c r="P20" s="555"/>
      <c r="Q20" s="555"/>
      <c r="R20" s="555"/>
      <c r="S20" s="555"/>
      <c r="T20" s="555"/>
      <c r="U20" s="555"/>
      <c r="V20" s="555">
        <v>0</v>
      </c>
      <c r="W20" s="677"/>
      <c r="X20" s="677"/>
      <c r="Y20" s="677"/>
      <c r="Z20" s="677"/>
      <c r="AA20" s="677"/>
      <c r="AB20" s="677"/>
      <c r="AC20" s="722"/>
    </row>
    <row r="21" spans="1:101" ht="18" customHeight="1" x14ac:dyDescent="0.35">
      <c r="A21" t="s">
        <v>1851</v>
      </c>
      <c r="B21" s="674" t="s">
        <v>49</v>
      </c>
      <c r="C21" s="240"/>
      <c r="D21" s="395">
        <f>'Provider Relief (expired)'!D11</f>
        <v>0</v>
      </c>
      <c r="E21" s="401">
        <f>'Provider Relief (expired)'!E11</f>
        <v>0</v>
      </c>
      <c r="F21" s="401">
        <f>'Provider Relief (expired)'!F11</f>
        <v>0</v>
      </c>
      <c r="G21" s="401">
        <f>'Provider Relief (expired)'!G11</f>
        <v>0</v>
      </c>
      <c r="H21" s="401">
        <f>'Provider Relief (expired)'!H11</f>
        <v>0</v>
      </c>
      <c r="I21" s="401">
        <f>'Provider Relief (expired)'!I11</f>
        <v>0</v>
      </c>
      <c r="J21" s="401">
        <f>'Provider Relief (expired)'!J11</f>
        <v>160.9</v>
      </c>
      <c r="K21" s="401">
        <f>'Provider Relief (expired)'!K11</f>
        <v>58.4</v>
      </c>
      <c r="L21" s="401">
        <f>'Provider Relief (expired)'!L11</f>
        <v>34.5</v>
      </c>
      <c r="M21" s="401">
        <f>'Provider Relief (expired)'!M11</f>
        <v>21.4</v>
      </c>
      <c r="N21" s="401">
        <f>'Provider Relief (expired)'!N11</f>
        <v>13.3</v>
      </c>
      <c r="O21" s="401">
        <f>'Provider Relief (expired)'!O11</f>
        <v>18.7</v>
      </c>
      <c r="P21" s="401">
        <f>'Provider Relief (expired)'!P11</f>
        <v>32.200000000000003</v>
      </c>
      <c r="Q21" s="401">
        <f>'Provider Relief (expired)'!Q11</f>
        <v>26.9</v>
      </c>
      <c r="R21" s="401">
        <f>'Provider Relief (expired)'!R11</f>
        <v>20</v>
      </c>
      <c r="S21" s="401">
        <f>'Provider Relief (expired)'!S11</f>
        <v>8.1</v>
      </c>
      <c r="T21" s="401">
        <f>'Provider Relief (expired)'!T11</f>
        <v>4.9000000000000004</v>
      </c>
      <c r="U21" s="401">
        <v>0</v>
      </c>
      <c r="V21" s="742">
        <v>0</v>
      </c>
      <c r="W21" s="677">
        <v>0</v>
      </c>
      <c r="X21" s="677">
        <v>0</v>
      </c>
      <c r="Y21" s="677">
        <v>0</v>
      </c>
      <c r="Z21" s="677">
        <v>0</v>
      </c>
      <c r="AA21" s="677">
        <v>0</v>
      </c>
      <c r="AB21" s="677">
        <v>0</v>
      </c>
      <c r="AC21" s="722">
        <v>0</v>
      </c>
    </row>
    <row r="22" spans="1:101" ht="21.65" customHeight="1" x14ac:dyDescent="0.35">
      <c r="B22" s="425" t="s">
        <v>470</v>
      </c>
      <c r="C22" s="240"/>
      <c r="D22" s="595"/>
      <c r="E22" s="555"/>
      <c r="F22" s="555"/>
      <c r="G22" s="555"/>
      <c r="H22" s="555"/>
      <c r="I22" s="555"/>
      <c r="J22" s="555">
        <f>'PPP (expired)'!J53</f>
        <v>57.2</v>
      </c>
      <c r="K22" s="555">
        <f>'PPP (expired)'!K53</f>
        <v>81.2</v>
      </c>
      <c r="L22" s="555">
        <f>'PPP (expired)'!L53</f>
        <v>24.4</v>
      </c>
      <c r="M22" s="555">
        <f>'PPP (expired)'!M53</f>
        <v>11.7</v>
      </c>
      <c r="N22" s="555">
        <f>'PPP (expired)'!N53</f>
        <v>28.5</v>
      </c>
      <c r="O22" s="555">
        <f>'PPP (expired)'!O53</f>
        <v>18.8</v>
      </c>
      <c r="P22" s="555">
        <f>'PPP (expired)'!P53</f>
        <v>1.6</v>
      </c>
      <c r="Q22" s="555">
        <f>'PPP (expired)'!Q53</f>
        <v>0</v>
      </c>
      <c r="R22" s="555">
        <f>'PPP (expired)'!R53</f>
        <v>0</v>
      </c>
      <c r="S22" s="555">
        <f>'PPP (expired)'!S53</f>
        <v>0</v>
      </c>
      <c r="T22" s="555">
        <f>'PPP (expired)'!T53</f>
        <v>0</v>
      </c>
      <c r="U22" s="555">
        <f>'PPP (expired)'!U53</f>
        <v>0</v>
      </c>
      <c r="V22" s="555">
        <f>'PPP (expired)'!V53</f>
        <v>0</v>
      </c>
      <c r="W22" s="677">
        <f>'PPP (expired)'!W53</f>
        <v>0</v>
      </c>
      <c r="X22" s="677">
        <f>'PPP (expired)'!X53</f>
        <v>0</v>
      </c>
      <c r="Y22" s="677">
        <f>'PPP (expired)'!Y53</f>
        <v>0</v>
      </c>
      <c r="Z22" s="677">
        <f>'PPP (expired)'!Z53</f>
        <v>0</v>
      </c>
      <c r="AA22" s="677">
        <f>'PPP (expired)'!AA53</f>
        <v>0</v>
      </c>
      <c r="AB22" s="677">
        <f>'PPP (expired)'!AB53</f>
        <v>0</v>
      </c>
      <c r="AC22" s="677">
        <f>'PPP (expired)'!AC53</f>
        <v>0</v>
      </c>
    </row>
    <row r="23" spans="1:101" ht="22.4" customHeight="1" x14ac:dyDescent="0.35">
      <c r="B23" s="425" t="s">
        <v>218</v>
      </c>
      <c r="C23" s="681"/>
      <c r="D23" s="395"/>
      <c r="E23" s="401"/>
      <c r="F23" s="401"/>
      <c r="G23" s="401"/>
      <c r="H23" s="401"/>
      <c r="I23" s="401"/>
      <c r="J23" s="401"/>
      <c r="K23" s="401"/>
      <c r="L23" s="401"/>
      <c r="M23" s="555">
        <f>'ARP Quarterly'!C4</f>
        <v>0</v>
      </c>
      <c r="N23" s="555">
        <f>'ARP Quarterly'!D4</f>
        <v>0</v>
      </c>
      <c r="O23" s="555">
        <f>'ARP Quarterly'!E4</f>
        <v>3.1040000000000418</v>
      </c>
      <c r="P23" s="555">
        <f>'ARP Quarterly'!F4</f>
        <v>19.719000000000005</v>
      </c>
      <c r="Q23" s="555">
        <f>'ARP Quarterly'!G4</f>
        <v>19.719000000000005</v>
      </c>
      <c r="R23" s="555">
        <f>'ARP Quarterly'!H4</f>
        <v>19.719000000000005</v>
      </c>
      <c r="S23" s="555">
        <f>'ARP Quarterly'!I4</f>
        <v>19.719000000000005</v>
      </c>
      <c r="T23" s="555">
        <f>'ARP Quarterly'!J4</f>
        <v>1.4159999999999999</v>
      </c>
      <c r="U23" s="555">
        <f>'ARP Quarterly'!K4</f>
        <v>1.4159999999999999</v>
      </c>
      <c r="V23" s="555">
        <f>'ARP Quarterly'!L4</f>
        <v>1.4159999999999999</v>
      </c>
      <c r="W23" s="677">
        <f>'ARP Quarterly'!M4</f>
        <v>1.4159999999999999</v>
      </c>
      <c r="X23" s="677">
        <f>'ARP Quarterly'!N4</f>
        <v>1.4790000000000001</v>
      </c>
      <c r="Y23" s="677">
        <f>'ARP Quarterly'!O4</f>
        <v>1.4790000000000001</v>
      </c>
      <c r="Z23" s="677">
        <f>'ARP Quarterly'!P4</f>
        <v>1.4790000000000001</v>
      </c>
      <c r="AA23" s="677">
        <f>'ARP Quarterly'!Q4</f>
        <v>1.4790000000000001</v>
      </c>
      <c r="AB23" s="677">
        <f>'ARP Quarterly'!R4</f>
        <v>1.63</v>
      </c>
      <c r="AC23" s="677">
        <f>'ARP Quarterly'!S4</f>
        <v>1.63</v>
      </c>
      <c r="AE23" s="681"/>
      <c r="AF23" s="681"/>
      <c r="AG23" s="681"/>
      <c r="AH23" s="681"/>
      <c r="AI23" s="681"/>
      <c r="AJ23" s="681"/>
      <c r="AK23" s="681"/>
      <c r="AL23" s="681"/>
      <c r="AM23" s="681"/>
      <c r="AN23" s="681"/>
      <c r="AO23" s="681"/>
      <c r="AP23" s="681"/>
      <c r="AQ23" s="681"/>
      <c r="AR23" s="681"/>
      <c r="AS23" s="681"/>
      <c r="AT23" s="681"/>
      <c r="AU23" s="681"/>
      <c r="AV23" s="681"/>
      <c r="AW23" s="681"/>
      <c r="AX23" s="681"/>
      <c r="AY23" s="681"/>
      <c r="AZ23" s="681"/>
      <c r="BA23" s="681"/>
      <c r="BB23" s="681"/>
      <c r="BC23" s="681"/>
      <c r="BD23" s="681"/>
      <c r="BE23" s="681"/>
      <c r="BF23" s="681"/>
      <c r="BG23" s="681"/>
      <c r="BH23" s="681"/>
      <c r="BI23" s="681"/>
      <c r="BJ23" s="681"/>
      <c r="BK23" s="681"/>
      <c r="BL23" s="681"/>
      <c r="BM23" s="681"/>
      <c r="BN23" s="681"/>
      <c r="BO23" s="681"/>
      <c r="BP23" s="681"/>
      <c r="BQ23" s="681"/>
      <c r="BR23" s="681"/>
      <c r="BS23" s="681"/>
      <c r="BT23" s="681"/>
      <c r="BU23" s="681"/>
      <c r="BV23" s="681"/>
      <c r="BW23" s="681"/>
      <c r="BX23" s="681"/>
      <c r="BY23" s="681"/>
      <c r="BZ23" s="681"/>
      <c r="CA23" s="681"/>
      <c r="CB23" s="681"/>
      <c r="CC23" s="681"/>
      <c r="CD23" s="681"/>
      <c r="CE23" s="681"/>
      <c r="CF23" s="681"/>
      <c r="CG23" s="681"/>
      <c r="CH23" s="681"/>
      <c r="CI23" s="681"/>
      <c r="CJ23" s="681"/>
      <c r="CK23" s="681"/>
      <c r="CL23" s="681"/>
      <c r="CM23" s="681"/>
      <c r="CN23" s="681"/>
      <c r="CO23" s="681"/>
      <c r="CP23" s="681"/>
      <c r="CQ23" s="681"/>
      <c r="CR23" s="681"/>
      <c r="CS23" s="681"/>
      <c r="CT23" s="681"/>
      <c r="CU23" s="681"/>
      <c r="CV23" s="681"/>
      <c r="CW23" s="681"/>
    </row>
    <row r="24" spans="1:101" ht="36.65" customHeight="1" x14ac:dyDescent="0.35">
      <c r="B24" s="248" t="s">
        <v>1433</v>
      </c>
      <c r="C24" s="240"/>
      <c r="D24" s="595">
        <f>D85</f>
        <v>0</v>
      </c>
      <c r="E24" s="555">
        <f t="shared" ref="E24:AC24" si="1">E85</f>
        <v>0</v>
      </c>
      <c r="F24" s="555">
        <f t="shared" si="1"/>
        <v>0</v>
      </c>
      <c r="G24" s="555">
        <f t="shared" si="1"/>
        <v>0</v>
      </c>
      <c r="H24" s="555">
        <f t="shared" si="1"/>
        <v>0</v>
      </c>
      <c r="I24" s="555">
        <f t="shared" si="1"/>
        <v>6.6417500000000018</v>
      </c>
      <c r="J24" s="555">
        <f t="shared" si="1"/>
        <v>51.388749999999995</v>
      </c>
      <c r="K24" s="555">
        <f t="shared" si="1"/>
        <v>55.337750000000007</v>
      </c>
      <c r="L24" s="555">
        <f t="shared" si="1"/>
        <v>62.597749999999998</v>
      </c>
      <c r="M24" s="555">
        <f t="shared" si="1"/>
        <v>88.07774999999998</v>
      </c>
      <c r="N24" s="555">
        <f t="shared" si="1"/>
        <v>102.89075</v>
      </c>
      <c r="O24" s="555">
        <f t="shared" si="1"/>
        <v>94.404750000000007</v>
      </c>
      <c r="P24" s="555">
        <f t="shared" si="1"/>
        <v>91.919749999999993</v>
      </c>
      <c r="Q24" s="555">
        <f t="shared" si="1"/>
        <v>80.097749999999991</v>
      </c>
      <c r="R24" s="555">
        <f t="shared" si="1"/>
        <v>69.023750000000007</v>
      </c>
      <c r="S24" s="555">
        <f t="shared" si="1"/>
        <v>61.349750000000007</v>
      </c>
      <c r="T24" s="555">
        <f t="shared" si="1"/>
        <v>81.433750000000003</v>
      </c>
      <c r="U24" s="555">
        <f t="shared" si="1"/>
        <v>75.465749999999986</v>
      </c>
      <c r="V24" s="555">
        <f t="shared" si="1"/>
        <v>48.418749999999996</v>
      </c>
      <c r="W24" s="677">
        <f t="shared" si="1"/>
        <v>48.418749999999996</v>
      </c>
      <c r="X24" s="677">
        <f t="shared" si="1"/>
        <v>48.418749999999996</v>
      </c>
      <c r="Y24" s="677">
        <f t="shared" si="1"/>
        <v>48.418749999999996</v>
      </c>
      <c r="Z24" s="677">
        <f t="shared" si="1"/>
        <v>48.418749999999996</v>
      </c>
      <c r="AA24" s="677">
        <f t="shared" si="1"/>
        <v>48.418749999999996</v>
      </c>
      <c r="AB24" s="677">
        <f t="shared" si="1"/>
        <v>48.418749999999996</v>
      </c>
      <c r="AC24" s="677">
        <f t="shared" si="1"/>
        <v>48.418749999999996</v>
      </c>
      <c r="AE24" s="240"/>
      <c r="AF24" s="240"/>
      <c r="AG24" s="240"/>
      <c r="AH24" s="240"/>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40"/>
      <c r="BF24" s="240"/>
      <c r="BG24" s="240"/>
      <c r="BH24" s="240"/>
      <c r="BI24" s="240"/>
      <c r="BJ24" s="240"/>
      <c r="BK24" s="240"/>
      <c r="BL24" s="240"/>
      <c r="BM24" s="240"/>
      <c r="BN24" s="240"/>
      <c r="BO24" s="240"/>
      <c r="BP24" s="240"/>
      <c r="BQ24" s="240"/>
      <c r="BR24" s="240"/>
      <c r="BS24" s="240"/>
      <c r="BT24" s="240"/>
      <c r="BU24" s="240"/>
      <c r="BV24" s="240"/>
      <c r="BW24" s="240"/>
      <c r="BX24" s="240"/>
      <c r="BY24" s="240"/>
      <c r="BZ24" s="240"/>
      <c r="CA24" s="240"/>
      <c r="CB24" s="240"/>
      <c r="CC24" s="240"/>
      <c r="CD24" s="240"/>
      <c r="CE24" s="240"/>
      <c r="CF24" s="240"/>
      <c r="CG24" s="240"/>
      <c r="CH24" s="240"/>
      <c r="CI24" s="240"/>
      <c r="CJ24" s="240"/>
      <c r="CK24" s="240"/>
      <c r="CL24" s="240"/>
      <c r="CM24" s="240"/>
      <c r="CN24" s="240"/>
      <c r="CO24" s="240"/>
      <c r="CP24" s="240"/>
      <c r="CQ24" s="240"/>
      <c r="CR24" s="240"/>
      <c r="CS24" s="240"/>
      <c r="CT24" s="240"/>
      <c r="CU24" s="240"/>
      <c r="CV24" s="240"/>
    </row>
    <row r="25" spans="1:101" ht="17.149999999999999" customHeight="1" x14ac:dyDescent="0.35">
      <c r="A25" t="s">
        <v>1854</v>
      </c>
      <c r="B25" s="746" t="s">
        <v>467</v>
      </c>
      <c r="C25" s="240" t="s">
        <v>468</v>
      </c>
      <c r="D25" s="555">
        <f>'Haver Pivoted'!GO31</f>
        <v>2223</v>
      </c>
      <c r="E25" s="555">
        <f>'Haver Pivoted'!GP31</f>
        <v>2303.6</v>
      </c>
      <c r="F25" s="555">
        <f>'Haver Pivoted'!GQ31</f>
        <v>2320.1</v>
      </c>
      <c r="G25" s="555">
        <f>'Haver Pivoted'!GR31</f>
        <v>2332.9</v>
      </c>
      <c r="H25" s="555">
        <f>'Haver Pivoted'!GS31</f>
        <v>2346.6</v>
      </c>
      <c r="I25" s="555">
        <f>'Haver Pivoted'!GT31</f>
        <v>2412.6</v>
      </c>
      <c r="J25" s="555">
        <f>'Haver Pivoted'!GU31</f>
        <v>4652.1000000000004</v>
      </c>
      <c r="K25" s="555">
        <f>'Haver Pivoted'!GV31</f>
        <v>3508</v>
      </c>
      <c r="L25" s="555">
        <f>'Haver Pivoted'!GW31</f>
        <v>2895.4</v>
      </c>
      <c r="M25" s="555">
        <f>'Haver Pivoted'!GX31</f>
        <v>5127.3999999999996</v>
      </c>
      <c r="N25" s="555">
        <f>'Haver Pivoted'!GY31</f>
        <v>3403.8</v>
      </c>
      <c r="O25" s="555">
        <f>'Haver Pivoted'!GZ31</f>
        <v>3135</v>
      </c>
      <c r="P25" s="555">
        <f>'Haver Pivoted'!HA31</f>
        <v>2947.7</v>
      </c>
      <c r="Q25" s="555">
        <f>'Haver Pivoted'!HB31</f>
        <v>2903.2</v>
      </c>
      <c r="R25" s="555">
        <f>'Haver Pivoted'!HC31</f>
        <v>2895.2</v>
      </c>
      <c r="S25" s="555">
        <f>'Haver Pivoted'!HD31</f>
        <v>2867.4</v>
      </c>
      <c r="T25" s="555">
        <f>'Haver Pivoted'!HE31</f>
        <v>2896.7</v>
      </c>
      <c r="U25" s="555">
        <f>'Haver Pivoted'!HF31</f>
        <v>2945.8</v>
      </c>
      <c r="V25" s="555">
        <f>'Haver Pivoted'!HG31</f>
        <v>2929.7</v>
      </c>
      <c r="W25" s="677"/>
      <c r="X25" s="677"/>
      <c r="Y25" s="677"/>
      <c r="Z25" s="677"/>
      <c r="AA25" s="677"/>
      <c r="AB25" s="677"/>
      <c r="AC25" s="677"/>
    </row>
    <row r="26" spans="1:101" ht="17.149999999999999" customHeight="1" x14ac:dyDescent="0.35">
      <c r="B26" s="265" t="s">
        <v>1853</v>
      </c>
      <c r="C26" s="240"/>
      <c r="D26" s="555">
        <f>D27+D28</f>
        <v>812.1</v>
      </c>
      <c r="E26" s="555">
        <f t="shared" ref="E26:V26" si="2">E27+E28</f>
        <v>832.4</v>
      </c>
      <c r="F26" s="555">
        <f t="shared" si="2"/>
        <v>843</v>
      </c>
      <c r="G26" s="555">
        <f t="shared" si="2"/>
        <v>848.9</v>
      </c>
      <c r="H26" s="555">
        <f t="shared" si="2"/>
        <v>854.6</v>
      </c>
      <c r="I26" s="555">
        <f t="shared" si="2"/>
        <v>875.94174999999996</v>
      </c>
      <c r="J26" s="555">
        <f t="shared" si="2"/>
        <v>2979.1887500000003</v>
      </c>
      <c r="K26" s="555">
        <f t="shared" si="2"/>
        <v>1807.73775</v>
      </c>
      <c r="L26" s="555">
        <f t="shared" si="2"/>
        <v>1280.19775</v>
      </c>
      <c r="M26" s="555">
        <f>M27+M28</f>
        <v>3500.7777499999997</v>
      </c>
      <c r="N26" s="555">
        <f t="shared" si="2"/>
        <v>1773.2907500000001</v>
      </c>
      <c r="O26" s="555">
        <f t="shared" si="2"/>
        <v>1483.542083333333</v>
      </c>
      <c r="P26" s="555">
        <f t="shared" si="2"/>
        <v>1284.7720833333331</v>
      </c>
      <c r="Q26" s="555">
        <f t="shared" si="2"/>
        <v>1138.51675</v>
      </c>
      <c r="R26" s="555">
        <f t="shared" si="2"/>
        <v>1129.1427500000002</v>
      </c>
      <c r="S26" s="555">
        <f t="shared" si="2"/>
        <v>1122.16875</v>
      </c>
      <c r="T26" s="555">
        <f t="shared" si="2"/>
        <v>1133.4497500000002</v>
      </c>
      <c r="U26" s="555">
        <f t="shared" si="2"/>
        <v>1070.9817499999999</v>
      </c>
      <c r="V26" s="555">
        <f t="shared" si="2"/>
        <v>1048.3633214285715</v>
      </c>
      <c r="W26" s="677">
        <f>W27+W28</f>
        <v>49.834749999999993</v>
      </c>
      <c r="X26" s="677">
        <f t="shared" ref="X26" si="3">X27+X28</f>
        <v>49.897749999999995</v>
      </c>
      <c r="Y26" s="677">
        <f t="shared" ref="Y26" si="4">Y27+Y28</f>
        <v>49.897749999999995</v>
      </c>
      <c r="Z26" s="677">
        <f t="shared" ref="Z26" si="5">Z27+Z28</f>
        <v>49.897749999999995</v>
      </c>
      <c r="AA26" s="677">
        <f t="shared" ref="AA26" si="6">AA27+AA28</f>
        <v>49.897749999999995</v>
      </c>
      <c r="AB26" s="677">
        <f t="shared" ref="AB26" si="7">AB27+AB28</f>
        <v>50.048749999999998</v>
      </c>
      <c r="AC26" s="677">
        <f t="shared" ref="AC26" si="8">AC27+AC28</f>
        <v>50.048749999999998</v>
      </c>
    </row>
    <row r="27" spans="1:101" ht="17.149999999999999" customHeight="1" x14ac:dyDescent="0.35">
      <c r="B27" s="416" t="s">
        <v>1852</v>
      </c>
      <c r="C27" s="240"/>
      <c r="D27" s="595">
        <f t="shared" ref="D27:V27" si="9">D13+D14+D17</f>
        <v>812.1</v>
      </c>
      <c r="E27" s="555">
        <f t="shared" si="9"/>
        <v>832.4</v>
      </c>
      <c r="F27" s="555">
        <f t="shared" si="9"/>
        <v>843</v>
      </c>
      <c r="G27" s="555">
        <f t="shared" si="9"/>
        <v>848.9</v>
      </c>
      <c r="H27" s="555">
        <f t="shared" si="9"/>
        <v>854.6</v>
      </c>
      <c r="I27" s="555">
        <f t="shared" si="9"/>
        <v>869.3</v>
      </c>
      <c r="J27" s="555">
        <f t="shared" si="9"/>
        <v>1792.5</v>
      </c>
      <c r="K27" s="555">
        <f t="shared" si="9"/>
        <v>1655.6</v>
      </c>
      <c r="L27" s="555">
        <f t="shared" si="9"/>
        <v>1188.2</v>
      </c>
      <c r="M27" s="555">
        <f t="shared" si="9"/>
        <v>1467.3</v>
      </c>
      <c r="N27" s="555">
        <f t="shared" si="9"/>
        <v>1351.8</v>
      </c>
      <c r="O27" s="555">
        <f t="shared" si="9"/>
        <v>1328.333333333333</v>
      </c>
      <c r="P27" s="555">
        <f t="shared" si="9"/>
        <v>1157.333333333333</v>
      </c>
      <c r="Q27" s="555">
        <f t="shared" si="9"/>
        <v>1038.7</v>
      </c>
      <c r="R27" s="555">
        <f t="shared" si="9"/>
        <v>1040.4000000000001</v>
      </c>
      <c r="S27" s="555">
        <f t="shared" si="9"/>
        <v>1041.1000000000001</v>
      </c>
      <c r="T27" s="555">
        <f t="shared" si="9"/>
        <v>1050.6000000000001</v>
      </c>
      <c r="U27" s="555">
        <f t="shared" si="9"/>
        <v>994.1</v>
      </c>
      <c r="V27" s="555">
        <f t="shared" si="9"/>
        <v>998.52857142857147</v>
      </c>
      <c r="W27" s="677"/>
      <c r="X27" s="677"/>
      <c r="Y27" s="677"/>
      <c r="Z27" s="677"/>
      <c r="AA27" s="677"/>
      <c r="AB27" s="677"/>
      <c r="AC27" s="722"/>
    </row>
    <row r="28" spans="1:101" ht="28.5" customHeight="1" x14ac:dyDescent="0.35">
      <c r="B28" s="416" t="s">
        <v>1849</v>
      </c>
      <c r="C28" s="240"/>
      <c r="D28" s="395">
        <f t="shared" ref="D28:AC28" si="10">D18+D23+D24+D22</f>
        <v>0</v>
      </c>
      <c r="E28" s="401">
        <f t="shared" si="10"/>
        <v>0</v>
      </c>
      <c r="F28" s="401">
        <f t="shared" si="10"/>
        <v>0</v>
      </c>
      <c r="G28" s="401">
        <f t="shared" si="10"/>
        <v>0</v>
      </c>
      <c r="H28" s="401">
        <f t="shared" si="10"/>
        <v>0</v>
      </c>
      <c r="I28" s="401">
        <f t="shared" si="10"/>
        <v>6.6417500000000018</v>
      </c>
      <c r="J28" s="401">
        <f t="shared" si="10"/>
        <v>1186.68875</v>
      </c>
      <c r="K28" s="401">
        <f t="shared" si="10"/>
        <v>152.13775000000001</v>
      </c>
      <c r="L28" s="401">
        <f t="shared" si="10"/>
        <v>91.997749999999996</v>
      </c>
      <c r="M28" s="401">
        <f t="shared" si="10"/>
        <v>2033.4777499999998</v>
      </c>
      <c r="N28" s="401">
        <f t="shared" si="10"/>
        <v>421.49075000000005</v>
      </c>
      <c r="O28" s="401">
        <f t="shared" si="10"/>
        <v>155.20875000000007</v>
      </c>
      <c r="P28" s="401">
        <f t="shared" si="10"/>
        <v>127.43875</v>
      </c>
      <c r="Q28" s="401">
        <f t="shared" si="10"/>
        <v>99.816749999999999</v>
      </c>
      <c r="R28" s="401">
        <f t="shared" si="10"/>
        <v>88.742750000000015</v>
      </c>
      <c r="S28" s="401">
        <f t="shared" si="10"/>
        <v>81.068750000000009</v>
      </c>
      <c r="T28" s="401">
        <f t="shared" si="10"/>
        <v>82.84975</v>
      </c>
      <c r="U28" s="401">
        <f t="shared" si="10"/>
        <v>76.881749999999982</v>
      </c>
      <c r="V28" s="401">
        <f t="shared" si="10"/>
        <v>49.834749999999993</v>
      </c>
      <c r="W28" s="346">
        <f t="shared" si="10"/>
        <v>49.834749999999993</v>
      </c>
      <c r="X28" s="346">
        <f t="shared" si="10"/>
        <v>49.897749999999995</v>
      </c>
      <c r="Y28" s="346">
        <f t="shared" si="10"/>
        <v>49.897749999999995</v>
      </c>
      <c r="Z28" s="346">
        <f t="shared" si="10"/>
        <v>49.897749999999995</v>
      </c>
      <c r="AA28" s="346">
        <f t="shared" si="10"/>
        <v>49.897749999999995</v>
      </c>
      <c r="AB28" s="346">
        <f t="shared" si="10"/>
        <v>50.048749999999998</v>
      </c>
      <c r="AC28" s="346">
        <f t="shared" si="10"/>
        <v>50.048749999999998</v>
      </c>
    </row>
    <row r="29" spans="1:101" x14ac:dyDescent="0.35">
      <c r="B29" s="425" t="s">
        <v>1855</v>
      </c>
      <c r="C29" s="240"/>
      <c r="D29" s="401">
        <f>D25-D26</f>
        <v>1410.9</v>
      </c>
      <c r="E29" s="401">
        <f t="shared" ref="E29:V29" si="11">E25-E26</f>
        <v>1471.1999999999998</v>
      </c>
      <c r="F29" s="401">
        <f t="shared" si="11"/>
        <v>1477.1</v>
      </c>
      <c r="G29" s="401">
        <f t="shared" si="11"/>
        <v>1484</v>
      </c>
      <c r="H29" s="401">
        <f t="shared" si="11"/>
        <v>1492</v>
      </c>
      <c r="I29" s="401">
        <f t="shared" si="11"/>
        <v>1536.65825</v>
      </c>
      <c r="J29" s="401">
        <f t="shared" si="11"/>
        <v>1672.9112500000001</v>
      </c>
      <c r="K29" s="401">
        <f t="shared" si="11"/>
        <v>1700.26225</v>
      </c>
      <c r="L29" s="401">
        <f t="shared" si="11"/>
        <v>1615.20225</v>
      </c>
      <c r="M29" s="401">
        <f t="shared" si="11"/>
        <v>1626.6222499999999</v>
      </c>
      <c r="N29" s="401">
        <f t="shared" si="11"/>
        <v>1630.5092500000001</v>
      </c>
      <c r="O29" s="401">
        <f t="shared" si="11"/>
        <v>1651.457916666667</v>
      </c>
      <c r="P29" s="401">
        <f t="shared" si="11"/>
        <v>1662.9279166666668</v>
      </c>
      <c r="Q29" s="401">
        <f t="shared" si="11"/>
        <v>1764.6832499999998</v>
      </c>
      <c r="R29" s="401">
        <f t="shared" si="11"/>
        <v>1766.0572499999996</v>
      </c>
      <c r="S29" s="401">
        <f t="shared" si="11"/>
        <v>1745.23125</v>
      </c>
      <c r="T29" s="401">
        <f t="shared" si="11"/>
        <v>1763.2502499999996</v>
      </c>
      <c r="U29" s="401">
        <f t="shared" si="11"/>
        <v>1874.8182500000003</v>
      </c>
      <c r="V29" s="401">
        <f t="shared" si="11"/>
        <v>1881.3366785714284</v>
      </c>
      <c r="W29" s="346"/>
      <c r="X29" s="346"/>
      <c r="Y29" s="346"/>
      <c r="Z29" s="346"/>
      <c r="AA29" s="346"/>
      <c r="AB29" s="346"/>
      <c r="AC29" s="346"/>
    </row>
    <row r="30" spans="1:101" ht="18" customHeight="1" x14ac:dyDescent="0.35">
      <c r="B30" s="462" t="s">
        <v>1846</v>
      </c>
      <c r="C30" s="240"/>
      <c r="D30" s="274"/>
      <c r="E30" s="230"/>
      <c r="F30" s="230"/>
      <c r="G30" s="230"/>
      <c r="H30" s="230"/>
      <c r="I30" s="230"/>
      <c r="J30" s="230"/>
      <c r="K30" s="230"/>
      <c r="L30" s="230"/>
      <c r="M30" s="230"/>
      <c r="N30" s="230"/>
      <c r="O30" s="230"/>
      <c r="P30" s="230"/>
      <c r="Q30" s="230"/>
      <c r="R30" s="230"/>
      <c r="S30" s="230"/>
      <c r="T30" s="230"/>
      <c r="U30" s="230"/>
      <c r="V30" s="555"/>
      <c r="W30" s="677"/>
      <c r="X30" s="677"/>
      <c r="Y30" s="677"/>
      <c r="Z30" s="677"/>
      <c r="AA30" s="677"/>
      <c r="AB30" s="677"/>
      <c r="AC30" s="722"/>
    </row>
    <row r="31" spans="1:101" ht="18" customHeight="1" x14ac:dyDescent="0.35">
      <c r="B31" s="462" t="s">
        <v>1847</v>
      </c>
      <c r="C31" s="240"/>
      <c r="D31" s="274"/>
      <c r="E31" s="230"/>
      <c r="F31" s="230"/>
      <c r="G31" s="230"/>
      <c r="H31" s="230"/>
      <c r="I31" s="230"/>
      <c r="J31" s="230"/>
      <c r="K31" s="230"/>
      <c r="L31" s="230"/>
      <c r="M31" s="230"/>
      <c r="N31" s="230"/>
      <c r="O31" s="230"/>
      <c r="P31" s="230"/>
      <c r="Q31" s="230"/>
      <c r="R31" s="230"/>
      <c r="S31" s="230"/>
      <c r="T31" s="230"/>
      <c r="U31" s="230"/>
      <c r="V31" s="555"/>
      <c r="W31" s="677"/>
      <c r="X31" s="677"/>
      <c r="Y31" s="677"/>
      <c r="Z31" s="677"/>
      <c r="AA31" s="677"/>
      <c r="AB31" s="677"/>
      <c r="AC31" s="722"/>
    </row>
    <row r="32" spans="1:101" ht="20.149999999999999" customHeight="1" x14ac:dyDescent="0.35">
      <c r="B32" s="268" t="s">
        <v>472</v>
      </c>
      <c r="C32" s="263"/>
      <c r="D32" s="724"/>
      <c r="E32" s="637"/>
      <c r="F32" s="637"/>
      <c r="G32" s="637"/>
      <c r="H32" s="552"/>
      <c r="I32" s="552"/>
      <c r="J32" s="552"/>
      <c r="K32" s="552"/>
      <c r="L32" s="552"/>
      <c r="M32" s="552">
        <f>'ARP Quarterly'!C5</f>
        <v>0</v>
      </c>
      <c r="N32" s="552">
        <f>'ARP Quarterly'!D5</f>
        <v>33.921840000000024</v>
      </c>
      <c r="O32" s="552">
        <f>'ARP Quarterly'!E5</f>
        <v>44.966160000000031</v>
      </c>
      <c r="P32" s="552">
        <f>'ARP Quarterly'!F5</f>
        <v>52.756999999999998</v>
      </c>
      <c r="Q32" s="552">
        <f>'ARP Quarterly'!G5</f>
        <v>52.756999999999998</v>
      </c>
      <c r="R32" s="552">
        <f>'ARP Quarterly'!H5</f>
        <v>52.756999999999998</v>
      </c>
      <c r="S32" s="552">
        <f>'ARP Quarterly'!I5</f>
        <v>52.756999999999998</v>
      </c>
      <c r="T32" s="552">
        <v>30</v>
      </c>
      <c r="U32" s="552">
        <f>'ARP Quarterly'!K5</f>
        <v>12</v>
      </c>
      <c r="V32" s="743">
        <f>'ARP Quarterly'!L5</f>
        <v>12</v>
      </c>
      <c r="W32" s="557">
        <f>'ARP Quarterly'!M5</f>
        <v>12</v>
      </c>
      <c r="X32" s="557">
        <f>'ARP Quarterly'!N5</f>
        <v>4.2219999999999995</v>
      </c>
      <c r="Y32" s="557">
        <f>'ARP Quarterly'!O5</f>
        <v>4.2219999999999995</v>
      </c>
      <c r="Z32" s="557">
        <f>'ARP Quarterly'!P5</f>
        <v>4.2219999999999995</v>
      </c>
      <c r="AA32" s="557">
        <f>'ARP Quarterly'!Q5</f>
        <v>4.2219999999999995</v>
      </c>
      <c r="AB32" s="557">
        <f>'ARP Quarterly'!R5</f>
        <v>2.3719999999999999</v>
      </c>
      <c r="AC32" s="689">
        <f>'ARP Quarterly'!S5</f>
        <v>2.3719999999999999</v>
      </c>
    </row>
    <row r="33" spans="2:101" ht="22.4" customHeight="1" x14ac:dyDescent="0.35">
      <c r="B33" s="248" t="s">
        <v>218</v>
      </c>
      <c r="C33" s="681"/>
      <c r="D33" s="274"/>
      <c r="E33" s="230"/>
      <c r="F33" s="230"/>
      <c r="G33" s="230"/>
      <c r="H33" s="230"/>
      <c r="I33" s="230"/>
      <c r="J33" s="230"/>
      <c r="K33" s="230"/>
      <c r="L33" s="230"/>
      <c r="M33" s="555">
        <f>'ARP Quarterly'!C4</f>
        <v>0</v>
      </c>
      <c r="N33" s="555">
        <f>'ARP Quarterly'!D4</f>
        <v>0</v>
      </c>
      <c r="O33" s="555">
        <f>'ARP Quarterly'!E4</f>
        <v>3.1040000000000418</v>
      </c>
      <c r="P33" s="555">
        <f>'ARP Quarterly'!F4</f>
        <v>19.719000000000005</v>
      </c>
      <c r="Q33" s="555">
        <f>'ARP Quarterly'!G4</f>
        <v>19.719000000000005</v>
      </c>
      <c r="R33" s="555">
        <f>'ARP Quarterly'!H4</f>
        <v>19.719000000000005</v>
      </c>
      <c r="S33" s="555">
        <f>'ARP Quarterly'!I4</f>
        <v>19.719000000000005</v>
      </c>
      <c r="T33" s="555">
        <f>'ARP Quarterly'!J4</f>
        <v>1.4159999999999999</v>
      </c>
      <c r="U33" s="555">
        <f>'ARP Quarterly'!K4</f>
        <v>1.4159999999999999</v>
      </c>
      <c r="V33" s="555">
        <f>'ARP Quarterly'!L4</f>
        <v>1.4159999999999999</v>
      </c>
      <c r="W33" s="677">
        <f>'ARP Quarterly'!M4</f>
        <v>1.4159999999999999</v>
      </c>
      <c r="X33" s="677">
        <f>'ARP Quarterly'!N4</f>
        <v>1.4790000000000001</v>
      </c>
      <c r="Y33" s="677">
        <f>'ARP Quarterly'!O4</f>
        <v>1.4790000000000001</v>
      </c>
      <c r="Z33" s="677">
        <f>'ARP Quarterly'!P4</f>
        <v>1.4790000000000001</v>
      </c>
      <c r="AA33" s="677">
        <f>'ARP Quarterly'!Q4</f>
        <v>1.4790000000000001</v>
      </c>
      <c r="AB33" s="677">
        <f>'ARP Quarterly'!R4</f>
        <v>1.63</v>
      </c>
      <c r="AC33" s="722">
        <f>'ARP Quarterly'!S4</f>
        <v>1.63</v>
      </c>
      <c r="AE33" s="681"/>
      <c r="AF33" s="681"/>
      <c r="AG33" s="681"/>
      <c r="AH33" s="681"/>
      <c r="AI33" s="681"/>
      <c r="AJ33" s="681"/>
      <c r="AK33" s="681"/>
      <c r="AL33" s="681"/>
      <c r="AM33" s="681"/>
      <c r="AN33" s="681"/>
      <c r="AO33" s="681"/>
      <c r="AP33" s="681"/>
      <c r="AQ33" s="681"/>
      <c r="AR33" s="681"/>
      <c r="AS33" s="681"/>
      <c r="AT33" s="681"/>
      <c r="AU33" s="681"/>
      <c r="AV33" s="681"/>
      <c r="AW33" s="681"/>
      <c r="AX33" s="681"/>
      <c r="AY33" s="681"/>
      <c r="AZ33" s="681"/>
      <c r="BA33" s="681"/>
      <c r="BB33" s="681"/>
      <c r="BC33" s="681"/>
      <c r="BD33" s="681"/>
      <c r="BE33" s="681"/>
      <c r="BF33" s="681"/>
      <c r="BG33" s="681"/>
      <c r="BH33" s="681"/>
      <c r="BI33" s="681"/>
      <c r="BJ33" s="681"/>
      <c r="BK33" s="681"/>
      <c r="BL33" s="681"/>
      <c r="BM33" s="681"/>
      <c r="BN33" s="681"/>
      <c r="BO33" s="681"/>
      <c r="BP33" s="681"/>
      <c r="BQ33" s="681"/>
      <c r="BR33" s="681"/>
      <c r="BS33" s="681"/>
      <c r="BT33" s="681"/>
      <c r="BU33" s="681"/>
      <c r="BV33" s="681"/>
      <c r="BW33" s="681"/>
      <c r="BX33" s="681"/>
      <c r="BY33" s="681"/>
      <c r="BZ33" s="681"/>
      <c r="CA33" s="681"/>
      <c r="CB33" s="681"/>
      <c r="CC33" s="681"/>
      <c r="CD33" s="681"/>
      <c r="CE33" s="681"/>
      <c r="CF33" s="681"/>
      <c r="CG33" s="681"/>
      <c r="CH33" s="681"/>
      <c r="CI33" s="681"/>
      <c r="CJ33" s="681"/>
      <c r="CK33" s="681"/>
      <c r="CL33" s="681"/>
      <c r="CM33" s="681"/>
      <c r="CN33" s="681"/>
      <c r="CO33" s="681"/>
      <c r="CP33" s="681"/>
      <c r="CQ33" s="681"/>
      <c r="CR33" s="681"/>
      <c r="CS33" s="681"/>
      <c r="CT33" s="681"/>
      <c r="CU33" s="681"/>
      <c r="CV33" s="681"/>
      <c r="CW33" s="681"/>
    </row>
    <row r="34" spans="2:101" ht="36.65" customHeight="1" x14ac:dyDescent="0.35">
      <c r="B34" s="248" t="s">
        <v>1433</v>
      </c>
      <c r="C34" s="240"/>
      <c r="D34" s="275">
        <f>D85</f>
        <v>0</v>
      </c>
      <c r="E34" s="234">
        <f t="shared" ref="E34:AC34" si="12">E85</f>
        <v>0</v>
      </c>
      <c r="F34" s="234">
        <f t="shared" si="12"/>
        <v>0</v>
      </c>
      <c r="G34" s="234">
        <f t="shared" si="12"/>
        <v>0</v>
      </c>
      <c r="H34" s="234">
        <f t="shared" si="12"/>
        <v>0</v>
      </c>
      <c r="I34" s="555">
        <f t="shared" si="12"/>
        <v>6.6417500000000018</v>
      </c>
      <c r="J34" s="555">
        <f t="shared" si="12"/>
        <v>51.388749999999995</v>
      </c>
      <c r="K34" s="555">
        <f t="shared" si="12"/>
        <v>55.337750000000007</v>
      </c>
      <c r="L34" s="555">
        <f t="shared" si="12"/>
        <v>62.597749999999998</v>
      </c>
      <c r="M34" s="555">
        <f t="shared" si="12"/>
        <v>88.07774999999998</v>
      </c>
      <c r="N34" s="555">
        <f t="shared" si="12"/>
        <v>102.89075</v>
      </c>
      <c r="O34" s="555">
        <f t="shared" si="12"/>
        <v>94.404750000000007</v>
      </c>
      <c r="P34" s="555">
        <f t="shared" si="12"/>
        <v>91.919749999999993</v>
      </c>
      <c r="Q34" s="555">
        <f t="shared" si="12"/>
        <v>80.097749999999991</v>
      </c>
      <c r="R34" s="555">
        <f t="shared" si="12"/>
        <v>69.023750000000007</v>
      </c>
      <c r="S34" s="555">
        <f t="shared" si="12"/>
        <v>61.349750000000007</v>
      </c>
      <c r="T34" s="555">
        <f t="shared" si="12"/>
        <v>81.433750000000003</v>
      </c>
      <c r="U34" s="555">
        <f t="shared" si="12"/>
        <v>75.465749999999986</v>
      </c>
      <c r="V34" s="555">
        <f>V85</f>
        <v>48.418749999999996</v>
      </c>
      <c r="W34" s="677">
        <f>W85</f>
        <v>48.418749999999996</v>
      </c>
      <c r="X34" s="677">
        <f t="shared" si="12"/>
        <v>48.418749999999996</v>
      </c>
      <c r="Y34" s="677">
        <f t="shared" si="12"/>
        <v>48.418749999999996</v>
      </c>
      <c r="Z34" s="677">
        <f t="shared" si="12"/>
        <v>48.418749999999996</v>
      </c>
      <c r="AA34" s="677">
        <f t="shared" si="12"/>
        <v>48.418749999999996</v>
      </c>
      <c r="AB34" s="677">
        <f t="shared" si="12"/>
        <v>48.418749999999996</v>
      </c>
      <c r="AC34" s="722">
        <f t="shared" si="12"/>
        <v>48.418749999999996</v>
      </c>
      <c r="AE34" s="240"/>
      <c r="AF34" s="240"/>
      <c r="AG34" s="240"/>
      <c r="AH34" s="240"/>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40"/>
      <c r="BF34" s="240"/>
      <c r="BG34" s="240"/>
      <c r="BH34" s="240"/>
      <c r="BI34" s="240"/>
      <c r="BJ34" s="240"/>
      <c r="BK34" s="240"/>
      <c r="BL34" s="240"/>
      <c r="BM34" s="240"/>
      <c r="BN34" s="240"/>
      <c r="BO34" s="240"/>
      <c r="BP34" s="240"/>
      <c r="BQ34" s="240"/>
      <c r="BR34" s="240"/>
      <c r="BS34" s="240"/>
      <c r="BT34" s="240"/>
      <c r="BU34" s="240"/>
      <c r="BV34" s="240"/>
      <c r="BW34" s="240"/>
      <c r="BX34" s="240"/>
      <c r="BY34" s="240"/>
      <c r="BZ34" s="240"/>
      <c r="CA34" s="240"/>
      <c r="CB34" s="240"/>
      <c r="CC34" s="240"/>
      <c r="CD34" s="240"/>
      <c r="CE34" s="240"/>
      <c r="CF34" s="240"/>
      <c r="CG34" s="240"/>
      <c r="CH34" s="240"/>
      <c r="CI34" s="240"/>
      <c r="CJ34" s="240"/>
      <c r="CK34" s="240"/>
      <c r="CL34" s="240"/>
      <c r="CM34" s="240"/>
      <c r="CN34" s="240"/>
      <c r="CO34" s="240"/>
      <c r="CP34" s="240"/>
      <c r="CQ34" s="240"/>
      <c r="CR34" s="240"/>
      <c r="CS34" s="240"/>
      <c r="CT34" s="240"/>
      <c r="CU34" s="240"/>
      <c r="CV34" s="240"/>
    </row>
    <row r="35" spans="2:101" ht="15.65" customHeight="1" x14ac:dyDescent="0.35">
      <c r="B35" s="744" t="s">
        <v>798</v>
      </c>
      <c r="C35" s="240" t="s">
        <v>825</v>
      </c>
      <c r="D35" s="274">
        <v>30</v>
      </c>
      <c r="E35" s="230">
        <v>30</v>
      </c>
      <c r="F35" s="230">
        <v>30</v>
      </c>
      <c r="G35" s="230">
        <v>30</v>
      </c>
      <c r="H35" s="230">
        <v>30</v>
      </c>
      <c r="I35" s="230">
        <v>30</v>
      </c>
      <c r="J35" s="230">
        <v>30</v>
      </c>
      <c r="K35" s="226">
        <v>30.2</v>
      </c>
      <c r="L35" s="226">
        <v>30.2</v>
      </c>
      <c r="M35" s="226">
        <f>'Haver Pivoted'!GX89</f>
        <v>34.4</v>
      </c>
      <c r="N35" s="226">
        <f>'Haver Pivoted'!GY89</f>
        <v>34.4</v>
      </c>
      <c r="O35" s="226">
        <f>'Haver Pivoted'!GZ89</f>
        <v>218.933333333333</v>
      </c>
      <c r="P35" s="226">
        <f>'Haver Pivoted'!HA89</f>
        <v>223.13333333333301</v>
      </c>
      <c r="Q35" s="226">
        <f>'Haver Pivoted'!HB89</f>
        <v>94.3</v>
      </c>
      <c r="R35" s="226">
        <f>'Haver Pivoted'!HC89</f>
        <v>94.3</v>
      </c>
      <c r="S35" s="442">
        <f>'Haver Pivoted'!HD89</f>
        <v>94.3</v>
      </c>
      <c r="T35" s="442">
        <f>'Haver Pivoted'!HE89</f>
        <v>94.3</v>
      </c>
      <c r="U35" s="677">
        <v>34</v>
      </c>
      <c r="V35" s="555">
        <v>34</v>
      </c>
      <c r="W35" s="677">
        <v>34</v>
      </c>
      <c r="X35" s="677">
        <v>34</v>
      </c>
      <c r="Y35" s="677">
        <v>34</v>
      </c>
      <c r="Z35" s="677">
        <v>34</v>
      </c>
      <c r="AA35" s="677">
        <v>34</v>
      </c>
      <c r="AB35" s="677">
        <v>34</v>
      </c>
      <c r="AC35" s="722">
        <v>34</v>
      </c>
    </row>
    <row r="36" spans="2:101" ht="21.65" customHeight="1" x14ac:dyDescent="0.35">
      <c r="B36" s="248" t="s">
        <v>470</v>
      </c>
      <c r="C36" s="240"/>
      <c r="D36" s="275"/>
      <c r="E36" s="234"/>
      <c r="F36" s="234"/>
      <c r="G36" s="234"/>
      <c r="H36" s="555"/>
      <c r="I36" s="555"/>
      <c r="J36" s="555">
        <f>'PPP (expired)'!J53</f>
        <v>57.2</v>
      </c>
      <c r="K36" s="555">
        <f>'PPP (expired)'!K53</f>
        <v>81.2</v>
      </c>
      <c r="L36" s="555">
        <f>'PPP (expired)'!L53</f>
        <v>24.4</v>
      </c>
      <c r="M36" s="555">
        <f>'PPP (expired)'!M53</f>
        <v>11.7</v>
      </c>
      <c r="N36" s="555">
        <f>'PPP (expired)'!N53</f>
        <v>28.5</v>
      </c>
      <c r="O36" s="555">
        <f>'PPP (expired)'!O53</f>
        <v>18.8</v>
      </c>
      <c r="P36" s="555">
        <f>'PPP (expired)'!P53</f>
        <v>1.6</v>
      </c>
      <c r="Q36" s="555">
        <f>'PPP (expired)'!Q53</f>
        <v>0</v>
      </c>
      <c r="R36" s="555">
        <f>'PPP (expired)'!Q61</f>
        <v>0</v>
      </c>
      <c r="S36" s="555">
        <f>'PPP (expired)'!S53</f>
        <v>0</v>
      </c>
      <c r="T36" s="555">
        <f>'PPP (expired)'!T53</f>
        <v>0</v>
      </c>
      <c r="U36" s="555">
        <f>'PPP (expired)'!U53</f>
        <v>0</v>
      </c>
      <c r="V36" s="555">
        <f>'PPP (expired)'!V53</f>
        <v>0</v>
      </c>
      <c r="W36" s="677">
        <f>'PPP (expired)'!W53</f>
        <v>0</v>
      </c>
      <c r="X36" s="677">
        <f>'PPP (expired)'!X53</f>
        <v>0</v>
      </c>
      <c r="Y36" s="677">
        <f>'PPP (expired)'!Y53</f>
        <v>0</v>
      </c>
      <c r="Z36" s="677">
        <f>'PPP (expired)'!Z53</f>
        <v>0</v>
      </c>
      <c r="AA36" s="677">
        <f>'PPP (expired)'!AA53</f>
        <v>0</v>
      </c>
      <c r="AB36" s="677">
        <f>'PPP (expired)'!AB53</f>
        <v>0</v>
      </c>
      <c r="AC36" s="722">
        <f>'PPP (expired)'!AC53</f>
        <v>0</v>
      </c>
    </row>
    <row r="37" spans="2:101" ht="21.65" customHeight="1" x14ac:dyDescent="0.35">
      <c r="B37" s="462" t="s">
        <v>799</v>
      </c>
      <c r="C37" s="240"/>
      <c r="D37" s="595">
        <f t="shared" ref="D37:AC37" si="13">D109</f>
        <v>0</v>
      </c>
      <c r="E37" s="555">
        <f t="shared" si="13"/>
        <v>0</v>
      </c>
      <c r="F37" s="555">
        <f t="shared" si="13"/>
        <v>0</v>
      </c>
      <c r="G37" s="555">
        <f t="shared" si="13"/>
        <v>0</v>
      </c>
      <c r="H37" s="555">
        <f t="shared" si="13"/>
        <v>0</v>
      </c>
      <c r="I37" s="555">
        <f t="shared" si="13"/>
        <v>-6.6417499999997744</v>
      </c>
      <c r="J37" s="555">
        <f t="shared" si="13"/>
        <v>-38.222083333332648</v>
      </c>
      <c r="K37" s="555">
        <f t="shared" si="13"/>
        <v>84.695583333333389</v>
      </c>
      <c r="L37" s="555">
        <f t="shared" si="13"/>
        <v>16.60225000000014</v>
      </c>
      <c r="M37" s="555">
        <f t="shared" si="13"/>
        <v>16.668916666666519</v>
      </c>
      <c r="N37" s="555">
        <f t="shared" si="13"/>
        <v>-12.19925666666677</v>
      </c>
      <c r="O37" s="555">
        <f t="shared" si="13"/>
        <v>-14.628243333333103</v>
      </c>
      <c r="P37" s="555">
        <f t="shared" si="13"/>
        <v>-31.382416666666586</v>
      </c>
      <c r="Q37" s="555">
        <f t="shared" si="13"/>
        <v>-3.1812166666670691</v>
      </c>
      <c r="R37" s="555">
        <f t="shared" si="13"/>
        <v>-1.8405500000005759</v>
      </c>
      <c r="S37" s="555">
        <f t="shared" si="13"/>
        <v>-17.699883333333901</v>
      </c>
      <c r="T37" s="555">
        <f t="shared" si="13"/>
        <v>19.342783333332591</v>
      </c>
      <c r="U37" s="741">
        <f t="shared" si="13"/>
        <v>40.229804999999715</v>
      </c>
      <c r="V37" s="555">
        <f>V109</f>
        <v>39.814900238094424</v>
      </c>
      <c r="W37" s="677">
        <f t="shared" si="13"/>
        <v>39.814900238094424</v>
      </c>
      <c r="X37" s="677">
        <f t="shared" si="13"/>
        <v>39.814900238094424</v>
      </c>
      <c r="Y37" s="677">
        <f t="shared" si="13"/>
        <v>39.814900238094424</v>
      </c>
      <c r="Z37" s="677">
        <f t="shared" si="13"/>
        <v>39.814900238094424</v>
      </c>
      <c r="AA37" s="677">
        <f t="shared" si="13"/>
        <v>39.814900238094424</v>
      </c>
      <c r="AB37" s="677">
        <f t="shared" si="13"/>
        <v>39.814900238094424</v>
      </c>
      <c r="AC37" s="722">
        <f t="shared" si="13"/>
        <v>39.814900238094424</v>
      </c>
    </row>
    <row r="38" spans="2:101" ht="21" customHeight="1" x14ac:dyDescent="0.35">
      <c r="B38" s="268" t="s">
        <v>796</v>
      </c>
      <c r="C38" s="263"/>
      <c r="D38" s="724">
        <f t="shared" ref="D38:AC38" si="14">D33+D21</f>
        <v>0</v>
      </c>
      <c r="E38" s="637">
        <f t="shared" si="14"/>
        <v>0</v>
      </c>
      <c r="F38" s="637">
        <f t="shared" si="14"/>
        <v>0</v>
      </c>
      <c r="G38" s="637">
        <f t="shared" si="14"/>
        <v>0</v>
      </c>
      <c r="H38" s="637">
        <f t="shared" si="14"/>
        <v>0</v>
      </c>
      <c r="I38" s="637">
        <f t="shared" si="14"/>
        <v>0</v>
      </c>
      <c r="J38" s="637">
        <f t="shared" si="14"/>
        <v>160.9</v>
      </c>
      <c r="K38" s="637">
        <f t="shared" si="14"/>
        <v>58.4</v>
      </c>
      <c r="L38" s="637">
        <f t="shared" si="14"/>
        <v>34.5</v>
      </c>
      <c r="M38" s="637">
        <f t="shared" si="14"/>
        <v>21.4</v>
      </c>
      <c r="N38" s="637">
        <f t="shared" si="14"/>
        <v>13.3</v>
      </c>
      <c r="O38" s="637">
        <f t="shared" si="14"/>
        <v>21.804000000000041</v>
      </c>
      <c r="P38" s="552">
        <f t="shared" si="14"/>
        <v>51.919000000000011</v>
      </c>
      <c r="Q38" s="637">
        <f t="shared" si="14"/>
        <v>46.619</v>
      </c>
      <c r="R38" s="637">
        <f t="shared" si="14"/>
        <v>39.719000000000008</v>
      </c>
      <c r="S38" s="637">
        <f t="shared" si="14"/>
        <v>27.819000000000003</v>
      </c>
      <c r="T38" s="552">
        <f t="shared" si="14"/>
        <v>6.3160000000000007</v>
      </c>
      <c r="U38" s="552">
        <f t="shared" si="14"/>
        <v>1.4159999999999999</v>
      </c>
      <c r="V38" s="743">
        <f t="shared" si="14"/>
        <v>1.4159999999999999</v>
      </c>
      <c r="W38" s="557">
        <f t="shared" si="14"/>
        <v>1.4159999999999999</v>
      </c>
      <c r="X38" s="557">
        <f t="shared" si="14"/>
        <v>1.4790000000000001</v>
      </c>
      <c r="Y38" s="557">
        <f t="shared" si="14"/>
        <v>1.4790000000000001</v>
      </c>
      <c r="Z38" s="557">
        <f t="shared" si="14"/>
        <v>1.4790000000000001</v>
      </c>
      <c r="AA38" s="557">
        <f t="shared" si="14"/>
        <v>1.4790000000000001</v>
      </c>
      <c r="AB38" s="557">
        <f t="shared" si="14"/>
        <v>1.63</v>
      </c>
      <c r="AC38" s="557">
        <f t="shared" si="14"/>
        <v>1.63</v>
      </c>
    </row>
    <row r="39" spans="2:101" ht="44.9" customHeight="1" x14ac:dyDescent="0.35">
      <c r="B39" s="248" t="s">
        <v>803</v>
      </c>
      <c r="C39" s="240"/>
      <c r="D39" s="595">
        <f t="shared" ref="D39:AC39" si="15">D101</f>
        <v>1410.9</v>
      </c>
      <c r="E39" s="555">
        <f t="shared" si="15"/>
        <v>1471.1999999999998</v>
      </c>
      <c r="F39" s="555">
        <f t="shared" si="15"/>
        <v>1477.1000000000001</v>
      </c>
      <c r="G39" s="555">
        <f t="shared" si="15"/>
        <v>1484</v>
      </c>
      <c r="H39" s="555">
        <f t="shared" si="15"/>
        <v>1492</v>
      </c>
      <c r="I39" s="555">
        <f t="shared" si="15"/>
        <v>1543.2999999999997</v>
      </c>
      <c r="J39" s="555">
        <f t="shared" si="15"/>
        <v>1550.2333333333331</v>
      </c>
      <c r="K39" s="555">
        <f t="shared" si="15"/>
        <v>1557.1666666666665</v>
      </c>
      <c r="L39" s="555">
        <f t="shared" si="15"/>
        <v>1564.1</v>
      </c>
      <c r="M39" s="555">
        <f t="shared" si="15"/>
        <v>1588.5533333333333</v>
      </c>
      <c r="N39" s="555">
        <f t="shared" si="15"/>
        <v>1595.4866666666667</v>
      </c>
      <c r="O39" s="555">
        <f t="shared" si="15"/>
        <v>1602.42</v>
      </c>
      <c r="P39" s="555">
        <f t="shared" si="15"/>
        <v>1609.3533333333335</v>
      </c>
      <c r="Q39" s="555">
        <f t="shared" si="15"/>
        <v>1688.207466666667</v>
      </c>
      <c r="R39" s="555">
        <f t="shared" si="15"/>
        <v>1695.1408000000004</v>
      </c>
      <c r="S39" s="555">
        <f t="shared" si="15"/>
        <v>1702.0741333333337</v>
      </c>
      <c r="T39" s="555">
        <f t="shared" si="15"/>
        <v>1709.0074666666671</v>
      </c>
      <c r="U39" s="555">
        <f t="shared" si="15"/>
        <v>1822.5884450000005</v>
      </c>
      <c r="V39" s="555">
        <f t="shared" si="15"/>
        <v>1829.5217783333339</v>
      </c>
      <c r="W39" s="677">
        <f t="shared" si="15"/>
        <v>1836.4551116666673</v>
      </c>
      <c r="X39" s="677">
        <f t="shared" si="15"/>
        <v>1843.3884450000007</v>
      </c>
      <c r="Y39" s="677">
        <f t="shared" si="15"/>
        <v>1892.9800005333341</v>
      </c>
      <c r="Z39" s="677">
        <f t="shared" si="15"/>
        <v>1899.9133338666675</v>
      </c>
      <c r="AA39" s="677">
        <f t="shared" si="15"/>
        <v>1906.8466672000009</v>
      </c>
      <c r="AB39" s="677">
        <f t="shared" si="15"/>
        <v>1913.7800005333343</v>
      </c>
      <c r="AC39" s="722">
        <f t="shared" si="15"/>
        <v>1950.3705249626676</v>
      </c>
    </row>
    <row r="40" spans="2:101" ht="44.9" customHeight="1" x14ac:dyDescent="0.35">
      <c r="B40" s="426" t="s">
        <v>1185</v>
      </c>
      <c r="D40" s="595"/>
      <c r="E40" s="555"/>
      <c r="F40" s="555"/>
      <c r="G40" s="555"/>
      <c r="H40" s="555"/>
      <c r="I40" s="555"/>
      <c r="J40" s="555"/>
      <c r="K40" s="555"/>
      <c r="L40" s="555"/>
      <c r="M40" s="555"/>
      <c r="N40" s="555"/>
      <c r="O40" s="555"/>
      <c r="P40" s="555"/>
      <c r="Q40" s="555"/>
      <c r="R40" s="555"/>
      <c r="S40" s="667">
        <f>'IRA and CHIPS'!E191</f>
        <v>-0.622</v>
      </c>
      <c r="T40" s="667">
        <f>'IRA and CHIPS'!F191</f>
        <v>21.89</v>
      </c>
      <c r="U40" s="667">
        <f>'IRA and CHIPS'!G191</f>
        <v>21.89</v>
      </c>
      <c r="V40" s="667">
        <f>'IRA and CHIPS'!H191</f>
        <v>21.89</v>
      </c>
      <c r="W40" s="679">
        <f>'IRA and CHIPS'!I191</f>
        <v>21.89</v>
      </c>
      <c r="X40" s="679">
        <f>'IRA and CHIPS'!J191</f>
        <v>15.439</v>
      </c>
      <c r="Y40" s="679">
        <f>'IRA and CHIPS'!K191</f>
        <v>15.439</v>
      </c>
      <c r="Z40" s="679">
        <f>'IRA and CHIPS'!L191</f>
        <v>15.439</v>
      </c>
      <c r="AA40" s="679">
        <f>'IRA and CHIPS'!M191</f>
        <v>15.439</v>
      </c>
      <c r="AB40" s="679">
        <f>'IRA and CHIPS'!N191</f>
        <v>16.966999999999999</v>
      </c>
      <c r="AC40" s="747">
        <f>'IRA and CHIPS'!O191</f>
        <v>16.966999999999999</v>
      </c>
    </row>
    <row r="41" spans="2:101" ht="31.4" customHeight="1" x14ac:dyDescent="0.35">
      <c r="B41" s="583" t="s">
        <v>800</v>
      </c>
      <c r="C41" s="263"/>
      <c r="D41" s="552">
        <f t="shared" ref="D41:R41" si="16">D39+SUM(D34:D37)+D40</f>
        <v>1440.9</v>
      </c>
      <c r="E41" s="552">
        <f t="shared" si="16"/>
        <v>1501.1999999999998</v>
      </c>
      <c r="F41" s="552">
        <f t="shared" si="16"/>
        <v>1507.1000000000001</v>
      </c>
      <c r="G41" s="552">
        <f t="shared" si="16"/>
        <v>1514</v>
      </c>
      <c r="H41" s="552">
        <f t="shared" si="16"/>
        <v>1522</v>
      </c>
      <c r="I41" s="552">
        <f t="shared" si="16"/>
        <v>1573.3</v>
      </c>
      <c r="J41" s="552">
        <f t="shared" si="16"/>
        <v>1650.6000000000004</v>
      </c>
      <c r="K41" s="552">
        <f t="shared" si="16"/>
        <v>1808.6</v>
      </c>
      <c r="L41" s="552">
        <f t="shared" si="16"/>
        <v>1697.9</v>
      </c>
      <c r="M41" s="552">
        <f t="shared" si="16"/>
        <v>1739.3999999999999</v>
      </c>
      <c r="N41" s="552">
        <f t="shared" si="16"/>
        <v>1749.07816</v>
      </c>
      <c r="O41" s="552">
        <f t="shared" si="16"/>
        <v>1919.92984</v>
      </c>
      <c r="P41" s="552">
        <f t="shared" si="16"/>
        <v>1894.6239999999998</v>
      </c>
      <c r="Q41" s="552">
        <f t="shared" si="16"/>
        <v>1859.424</v>
      </c>
      <c r="R41" s="552">
        <f t="shared" si="16"/>
        <v>1856.6239999999998</v>
      </c>
      <c r="S41" s="552">
        <f>S39+SUM(S34:S37)+S40</f>
        <v>1839.4019999999998</v>
      </c>
      <c r="T41" s="696">
        <f>T39+SUM(T34:T37)+T40</f>
        <v>1925.9739999999999</v>
      </c>
      <c r="U41" s="696">
        <f>U39+SUM(U34:U37)+U40</f>
        <v>1994.1740000000004</v>
      </c>
      <c r="V41" s="743">
        <f>V39+SUM(V34:V37)+V40</f>
        <v>1973.6454285714285</v>
      </c>
      <c r="W41" s="557">
        <f t="shared" ref="W41:AC41" si="17">W39+SUM(W34:W37)+W40</f>
        <v>1980.5787619047619</v>
      </c>
      <c r="X41" s="557">
        <f t="shared" si="17"/>
        <v>1981.0610952380953</v>
      </c>
      <c r="Y41" s="557">
        <f t="shared" si="17"/>
        <v>2030.6526507714286</v>
      </c>
      <c r="Z41" s="557">
        <f t="shared" si="17"/>
        <v>2037.585984104762</v>
      </c>
      <c r="AA41" s="557">
        <f t="shared" si="17"/>
        <v>2044.5193174380954</v>
      </c>
      <c r="AB41" s="557">
        <f t="shared" si="17"/>
        <v>2052.9806507714288</v>
      </c>
      <c r="AC41" s="557">
        <f t="shared" si="17"/>
        <v>2089.5711752007619</v>
      </c>
    </row>
    <row r="42" spans="2:101" ht="31.4" customHeight="1" x14ac:dyDescent="0.35">
      <c r="B42" s="583"/>
      <c r="C42" s="263"/>
      <c r="D42" s="552"/>
      <c r="E42" s="552"/>
      <c r="F42" s="552"/>
      <c r="G42" s="552"/>
      <c r="H42" s="552"/>
      <c r="I42" s="552"/>
      <c r="J42" s="552"/>
      <c r="K42" s="552"/>
      <c r="L42" s="552"/>
      <c r="M42" s="552"/>
      <c r="N42" s="552"/>
      <c r="O42" s="552"/>
      <c r="P42" s="552"/>
      <c r="Q42" s="552"/>
      <c r="R42" s="552"/>
      <c r="S42" s="552"/>
      <c r="T42" s="552"/>
      <c r="U42" s="552"/>
      <c r="V42" s="552">
        <f>V12-SUM(V14,V17,V18,V21,V32,V33,V34,V35)+V40</f>
        <v>1891.2266785714285</v>
      </c>
      <c r="W42" s="557"/>
      <c r="X42" s="557"/>
      <c r="Y42" s="557"/>
      <c r="Z42" s="557"/>
      <c r="AA42" s="557"/>
      <c r="AB42" s="557"/>
      <c r="AC42" s="557"/>
    </row>
    <row r="43" spans="2:101" ht="31.4" customHeight="1" x14ac:dyDescent="0.35">
      <c r="B43" s="1373" t="s">
        <v>473</v>
      </c>
      <c r="C43" s="1374"/>
      <c r="D43" s="578"/>
      <c r="E43" s="579"/>
      <c r="F43" s="579"/>
      <c r="G43" s="579"/>
      <c r="H43" s="579"/>
      <c r="I43" s="579"/>
      <c r="J43" s="579"/>
      <c r="K43" s="579"/>
      <c r="L43" s="579"/>
      <c r="M43" s="579"/>
      <c r="N43" s="579"/>
      <c r="O43" s="579"/>
      <c r="P43" s="579"/>
      <c r="Q43" s="579"/>
      <c r="R43" s="579"/>
      <c r="S43" s="579"/>
      <c r="T43" s="552"/>
      <c r="U43" s="579"/>
      <c r="V43" s="552">
        <f>V39+V37</f>
        <v>1869.3366785714284</v>
      </c>
      <c r="W43" s="557"/>
      <c r="X43" s="557"/>
      <c r="Y43" s="557"/>
      <c r="Z43" s="557"/>
      <c r="AA43" s="557"/>
      <c r="AB43" s="557"/>
      <c r="AC43" s="689"/>
    </row>
    <row r="44" spans="2:101" x14ac:dyDescent="0.35">
      <c r="B44" s="462" t="s">
        <v>805</v>
      </c>
      <c r="C44" s="240" t="s">
        <v>474</v>
      </c>
      <c r="D44" s="275">
        <f>'Haver Pivoted'!GO37</f>
        <v>733.6</v>
      </c>
      <c r="E44" s="234">
        <f>'Haver Pivoted'!GP37</f>
        <v>744.2</v>
      </c>
      <c r="F44" s="234">
        <f>'Haver Pivoted'!GQ37</f>
        <v>762.1</v>
      </c>
      <c r="G44" s="234">
        <f>'Haver Pivoted'!GR37</f>
        <v>772.2</v>
      </c>
      <c r="H44" s="234">
        <f>'Haver Pivoted'!GS37</f>
        <v>772.4</v>
      </c>
      <c r="I44" s="234">
        <f>'Haver Pivoted'!GT37</f>
        <v>761.7</v>
      </c>
      <c r="J44" s="234">
        <f>'Haver Pivoted'!GU37</f>
        <v>812.1</v>
      </c>
      <c r="K44" s="234">
        <f>'Haver Pivoted'!GV37</f>
        <v>850.2</v>
      </c>
      <c r="L44" s="234">
        <f>'Haver Pivoted'!GW37</f>
        <v>838.8</v>
      </c>
      <c r="M44" s="234">
        <f>'Haver Pivoted'!GX37</f>
        <v>866.1</v>
      </c>
      <c r="N44" s="234">
        <f>'Haver Pivoted'!GY37</f>
        <v>908</v>
      </c>
      <c r="O44" s="234">
        <f>'Haver Pivoted'!GZ37</f>
        <v>915.6</v>
      </c>
      <c r="P44" s="234">
        <f>'Haver Pivoted'!HA37</f>
        <v>912.9</v>
      </c>
      <c r="Q44" s="234">
        <f>'Haver Pivoted'!HB37</f>
        <v>960.5</v>
      </c>
      <c r="R44" s="234">
        <f>'Haver Pivoted'!HC37</f>
        <v>995.3</v>
      </c>
      <c r="S44" s="636">
        <f>'Haver Pivoted'!HD37</f>
        <v>1015.5</v>
      </c>
      <c r="T44" s="636">
        <f>'Haver Pivoted'!HE37</f>
        <v>1078.2</v>
      </c>
      <c r="U44" s="636">
        <f>'Haver Pivoted'!HF37</f>
        <v>1055.7</v>
      </c>
      <c r="V44" s="636">
        <f>'Haver Pivoted'!HG37</f>
        <v>1087.5</v>
      </c>
      <c r="W44" s="680"/>
      <c r="X44" s="680"/>
      <c r="Y44" s="680"/>
      <c r="Z44" s="680"/>
      <c r="AA44" s="680"/>
      <c r="AB44" s="680"/>
      <c r="AC44" s="735"/>
    </row>
    <row r="45" spans="2:101" x14ac:dyDescent="0.35">
      <c r="B45" s="551" t="s">
        <v>209</v>
      </c>
      <c r="C45" s="240"/>
      <c r="D45" s="595">
        <f>Medicaid!D27</f>
        <v>589.5</v>
      </c>
      <c r="E45" s="555">
        <f>Medicaid!E27</f>
        <v>598.70000000000005</v>
      </c>
      <c r="F45" s="555">
        <f>Medicaid!F27</f>
        <v>614.4</v>
      </c>
      <c r="G45" s="555">
        <f>Medicaid!G27</f>
        <v>622.4</v>
      </c>
      <c r="H45" s="555">
        <f>Medicaid!H27</f>
        <v>620.6</v>
      </c>
      <c r="I45" s="555">
        <f>Medicaid!I27</f>
        <v>606.4</v>
      </c>
      <c r="J45" s="555">
        <f>Medicaid!J27</f>
        <v>654.6</v>
      </c>
      <c r="K45" s="555">
        <f>Medicaid!K27</f>
        <v>690.8</v>
      </c>
      <c r="L45" s="555">
        <f>Medicaid!L27</f>
        <v>678.6</v>
      </c>
      <c r="M45" s="555">
        <f>Medicaid!M27</f>
        <v>705</v>
      </c>
      <c r="N45" s="555">
        <f>Medicaid!N27</f>
        <v>745.7</v>
      </c>
      <c r="O45" s="555">
        <f>Medicaid!O27</f>
        <v>749.2</v>
      </c>
      <c r="P45" s="555">
        <f>Medicaid!P27</f>
        <v>746.1</v>
      </c>
      <c r="Q45" s="555">
        <f>Medicaid!Q27</f>
        <v>791.4</v>
      </c>
      <c r="R45" s="555">
        <f>Medicaid!R27</f>
        <v>818.7</v>
      </c>
      <c r="S45" s="636">
        <f>Medicaid!S27</f>
        <v>819</v>
      </c>
      <c r="T45" s="555">
        <f>Medicaid!T27</f>
        <v>828.4</v>
      </c>
      <c r="U45" s="555">
        <f>Medicaid!U27</f>
        <v>871.5</v>
      </c>
      <c r="V45" s="555">
        <f>Medicaid!V27</f>
        <v>911.4</v>
      </c>
      <c r="W45" s="677">
        <f>Medicaid!W27</f>
        <v>880.6</v>
      </c>
      <c r="X45" s="677">
        <f>Medicaid!X27</f>
        <v>868.3</v>
      </c>
      <c r="Y45" s="677">
        <f>Medicaid!Y27</f>
        <v>916.9</v>
      </c>
      <c r="Z45" s="677">
        <f>Medicaid!Z27</f>
        <v>974.06810687091604</v>
      </c>
      <c r="AA45" s="677">
        <f>Medicaid!AA27</f>
        <v>994.74548978777989</v>
      </c>
      <c r="AB45" s="677">
        <f>Medicaid!AB27</f>
        <v>1001.8057700902358</v>
      </c>
      <c r="AC45" s="722">
        <f>Medicaid!AC27</f>
        <v>1008.9161612586981</v>
      </c>
    </row>
    <row r="46" spans="2:101" ht="14.9" customHeight="1" x14ac:dyDescent="0.35">
      <c r="B46" s="583" t="s">
        <v>806</v>
      </c>
      <c r="C46" s="263"/>
      <c r="D46" s="594">
        <f>D44-D45</f>
        <v>144.10000000000002</v>
      </c>
      <c r="E46" s="552">
        <f t="shared" ref="E46:O46" si="18">E44-E45</f>
        <v>145.5</v>
      </c>
      <c r="F46" s="552">
        <f t="shared" si="18"/>
        <v>147.70000000000005</v>
      </c>
      <c r="G46" s="552">
        <f t="shared" si="18"/>
        <v>149.80000000000007</v>
      </c>
      <c r="H46" s="552">
        <f t="shared" si="18"/>
        <v>151.79999999999995</v>
      </c>
      <c r="I46" s="552">
        <f t="shared" si="18"/>
        <v>155.30000000000007</v>
      </c>
      <c r="J46" s="552">
        <f t="shared" si="18"/>
        <v>157.5</v>
      </c>
      <c r="K46" s="552">
        <f t="shared" si="18"/>
        <v>159.40000000000009</v>
      </c>
      <c r="L46" s="552">
        <f t="shared" si="18"/>
        <v>160.19999999999993</v>
      </c>
      <c r="M46" s="552">
        <f t="shared" si="18"/>
        <v>161.10000000000002</v>
      </c>
      <c r="N46" s="552">
        <f t="shared" si="18"/>
        <v>162.29999999999995</v>
      </c>
      <c r="O46" s="552">
        <f t="shared" si="18"/>
        <v>166.39999999999998</v>
      </c>
      <c r="P46" s="552">
        <f>P44-P45</f>
        <v>166.79999999999995</v>
      </c>
      <c r="Q46" s="552">
        <f>Q44-Q45</f>
        <v>169.10000000000002</v>
      </c>
      <c r="R46" s="552">
        <f>R44-R45</f>
        <v>176.59999999999991</v>
      </c>
      <c r="S46" s="636">
        <f>S44-S45</f>
        <v>196.5</v>
      </c>
      <c r="T46" s="636">
        <f>T44-T45</f>
        <v>249.80000000000007</v>
      </c>
      <c r="U46" s="552">
        <f>T46*(1+AVERAGE($F$48:$I$48))+U47</f>
        <v>183.90584224202988</v>
      </c>
      <c r="V46" s="743">
        <f>U46*(1+AVERAGE($F$48:$I$48))+V47</f>
        <v>186.92861396193939</v>
      </c>
      <c r="W46" s="557">
        <f t="shared" ref="W46:AC46" si="19">V46*(1+AVERAGE($F$48:$I$48))</f>
        <v>190.00106952418523</v>
      </c>
      <c r="X46" s="557">
        <f t="shared" si="19"/>
        <v>193.12402555814535</v>
      </c>
      <c r="Y46" s="557">
        <f t="shared" si="19"/>
        <v>196.29831211574134</v>
      </c>
      <c r="Z46" s="557">
        <f t="shared" si="19"/>
        <v>199.52477289205825</v>
      </c>
      <c r="AA46" s="557">
        <f t="shared" si="19"/>
        <v>202.80426544959073</v>
      </c>
      <c r="AB46" s="557">
        <f t="shared" si="19"/>
        <v>206.137661446175</v>
      </c>
      <c r="AC46" s="689">
        <f t="shared" si="19"/>
        <v>209.52584686666717</v>
      </c>
    </row>
    <row r="47" spans="2:101" ht="14.9" customHeight="1" x14ac:dyDescent="0.35">
      <c r="B47" s="583" t="s">
        <v>1695</v>
      </c>
      <c r="C47" s="263"/>
      <c r="D47" s="594"/>
      <c r="E47" s="552"/>
      <c r="F47" s="552"/>
      <c r="G47" s="552"/>
      <c r="H47" s="552"/>
      <c r="I47" s="552"/>
      <c r="J47" s="552"/>
      <c r="K47" s="552"/>
      <c r="L47" s="552"/>
      <c r="M47" s="552"/>
      <c r="N47" s="552"/>
      <c r="O47" s="552"/>
      <c r="P47" s="552"/>
      <c r="Q47" s="552"/>
      <c r="R47" s="552"/>
      <c r="S47" s="636"/>
      <c r="T47" s="552"/>
      <c r="U47" s="552">
        <v>-70</v>
      </c>
      <c r="V47" s="552"/>
      <c r="W47" s="557"/>
      <c r="X47" s="557"/>
      <c r="Y47" s="557"/>
      <c r="Z47" s="557"/>
      <c r="AA47" s="557"/>
      <c r="AB47" s="557"/>
      <c r="AC47" s="689"/>
    </row>
    <row r="48" spans="2:101" x14ac:dyDescent="0.35">
      <c r="B48" s="716" t="s">
        <v>807</v>
      </c>
      <c r="C48" s="358"/>
      <c r="D48" s="596"/>
      <c r="E48" s="582">
        <f>E46/D46-1</f>
        <v>9.7154753643302616E-3</v>
      </c>
      <c r="F48" s="582">
        <f t="shared" ref="F48:N48" si="20">F46/E46-1</f>
        <v>1.5120274914089737E-2</v>
      </c>
      <c r="G48" s="582">
        <f t="shared" si="20"/>
        <v>1.4218009478673244E-2</v>
      </c>
      <c r="H48" s="582">
        <f t="shared" si="20"/>
        <v>1.3351134846461221E-2</v>
      </c>
      <c r="I48" s="582">
        <f t="shared" si="20"/>
        <v>2.3056653491436929E-2</v>
      </c>
      <c r="J48" s="582">
        <f t="shared" si="20"/>
        <v>1.416613007083023E-2</v>
      </c>
      <c r="K48" s="582">
        <f t="shared" si="20"/>
        <v>1.2063492063492554E-2</v>
      </c>
      <c r="L48" s="582">
        <f t="shared" si="20"/>
        <v>5.0188205771632965E-3</v>
      </c>
      <c r="M48" s="582">
        <f t="shared" si="20"/>
        <v>5.6179775280904565E-3</v>
      </c>
      <c r="N48" s="582">
        <f t="shared" si="20"/>
        <v>7.4487895716941477E-3</v>
      </c>
      <c r="O48" s="582">
        <f>O46/N46-1</f>
        <v>2.5261860751694565E-2</v>
      </c>
      <c r="P48" s="582">
        <f t="shared" ref="P48:S48" si="21">P46/O46-1</f>
        <v>2.4038461538460343E-3</v>
      </c>
      <c r="Q48" s="582">
        <f t="shared" si="21"/>
        <v>1.3788968824940406E-2</v>
      </c>
      <c r="R48" s="582">
        <f t="shared" si="21"/>
        <v>4.4352454169130029E-2</v>
      </c>
      <c r="S48" s="656">
        <f t="shared" si="21"/>
        <v>0.1126840317100799</v>
      </c>
      <c r="T48" s="554"/>
      <c r="U48" s="554"/>
      <c r="V48" s="554"/>
      <c r="W48" s="590"/>
      <c r="X48" s="590"/>
      <c r="Y48" s="590"/>
      <c r="Z48" s="590"/>
      <c r="AA48" s="590"/>
      <c r="AB48" s="590"/>
      <c r="AC48" s="688"/>
    </row>
    <row r="51" spans="2:39" x14ac:dyDescent="0.35">
      <c r="B51" s="1319"/>
      <c r="C51" s="1319"/>
      <c r="U51" s="234"/>
      <c r="V51" s="234"/>
      <c r="W51" s="234"/>
      <c r="X51" s="234"/>
      <c r="Y51" s="234"/>
      <c r="Z51" s="234"/>
      <c r="AA51" s="234"/>
      <c r="AB51" s="234"/>
      <c r="AC51" s="234"/>
    </row>
    <row r="52" spans="2:39" x14ac:dyDescent="0.35">
      <c r="B52" s="472"/>
      <c r="C52" s="240"/>
      <c r="U52" s="555"/>
      <c r="V52" s="555">
        <f>V40+V39+V34+V35+V36+V37</f>
        <v>1973.6454285714285</v>
      </c>
      <c r="W52" s="555"/>
      <c r="X52" s="555"/>
      <c r="Y52" s="555"/>
      <c r="Z52" s="555"/>
      <c r="AA52" s="555"/>
      <c r="AB52" s="555"/>
      <c r="AC52" s="555"/>
      <c r="AD52" s="520"/>
      <c r="AE52" s="520"/>
      <c r="AF52" s="520"/>
      <c r="AG52" s="520"/>
      <c r="AH52" s="520"/>
      <c r="AI52" s="520"/>
      <c r="AJ52" s="520"/>
      <c r="AK52" s="520"/>
      <c r="AL52" s="520"/>
      <c r="AM52" s="520"/>
    </row>
    <row r="53" spans="2:39" x14ac:dyDescent="0.35">
      <c r="B53" s="472"/>
      <c r="C53" s="240"/>
      <c r="U53" s="234"/>
      <c r="V53" s="234"/>
      <c r="W53" s="234"/>
      <c r="X53" s="234"/>
      <c r="Y53" s="234"/>
      <c r="Z53" s="234"/>
      <c r="AA53" s="234"/>
      <c r="AB53" s="234"/>
      <c r="AC53" s="234"/>
      <c r="AD53" s="520"/>
      <c r="AE53" s="520"/>
      <c r="AF53" s="520"/>
      <c r="AG53" s="520"/>
      <c r="AH53" s="520"/>
      <c r="AI53" s="520"/>
      <c r="AJ53" s="520"/>
      <c r="AK53" s="520"/>
      <c r="AL53" s="520"/>
      <c r="AM53" s="520"/>
    </row>
    <row r="54" spans="2:39" ht="28.5" customHeight="1" x14ac:dyDescent="0.35">
      <c r="B54" s="249"/>
      <c r="C54" s="240"/>
      <c r="U54" s="555"/>
      <c r="V54" s="555"/>
      <c r="W54" s="555"/>
      <c r="X54" s="555"/>
      <c r="Y54" s="555"/>
      <c r="Z54" s="555"/>
      <c r="AA54" s="555"/>
      <c r="AB54" s="555"/>
      <c r="AC54" s="555"/>
      <c r="AD54" s="520"/>
      <c r="AE54" s="520"/>
      <c r="AF54" s="520"/>
      <c r="AG54" s="520"/>
      <c r="AH54" s="520"/>
      <c r="AI54" s="520"/>
      <c r="AJ54" s="520"/>
      <c r="AK54" s="520"/>
      <c r="AL54" s="520"/>
      <c r="AM54" s="520"/>
    </row>
    <row r="55" spans="2:39" x14ac:dyDescent="0.35">
      <c r="B55" s="249"/>
      <c r="C55" s="240"/>
      <c r="U55" s="555"/>
      <c r="V55" s="555"/>
      <c r="W55" s="555"/>
      <c r="X55" s="555"/>
      <c r="Y55" s="555"/>
      <c r="Z55" s="555"/>
      <c r="AA55" s="555"/>
      <c r="AB55" s="555"/>
      <c r="AC55" s="555"/>
      <c r="AD55" s="520"/>
      <c r="AE55" s="520"/>
      <c r="AF55" s="520"/>
      <c r="AG55" s="520"/>
      <c r="AH55" s="520"/>
      <c r="AI55" s="520"/>
      <c r="AJ55" s="520"/>
      <c r="AK55" s="520"/>
      <c r="AL55" s="520"/>
      <c r="AM55" s="520"/>
    </row>
    <row r="56" spans="2:39" x14ac:dyDescent="0.35">
      <c r="B56" s="472"/>
      <c r="C56" s="240"/>
      <c r="U56" s="555"/>
      <c r="V56" s="555"/>
      <c r="W56" s="555"/>
      <c r="X56" s="555"/>
      <c r="Y56" s="555"/>
      <c r="Z56" s="555"/>
      <c r="AA56" s="555"/>
      <c r="AB56" s="555"/>
      <c r="AC56" s="555"/>
      <c r="AD56" s="520"/>
      <c r="AE56" s="520"/>
      <c r="AF56" s="520"/>
      <c r="AG56" s="520"/>
      <c r="AH56" s="520"/>
      <c r="AI56" s="520"/>
      <c r="AJ56" s="520"/>
      <c r="AK56" s="520"/>
      <c r="AL56" s="520"/>
      <c r="AM56" s="520"/>
    </row>
    <row r="57" spans="2:39" x14ac:dyDescent="0.35">
      <c r="B57" s="255"/>
      <c r="C57" s="263"/>
      <c r="U57" s="552"/>
      <c r="V57" s="552"/>
      <c r="W57" s="552"/>
      <c r="X57" s="552"/>
      <c r="Y57" s="552"/>
      <c r="Z57" s="552"/>
      <c r="AA57" s="552"/>
      <c r="AB57" s="552"/>
      <c r="AC57" s="552"/>
      <c r="AD57" s="520"/>
      <c r="AE57" s="520"/>
      <c r="AF57" s="520"/>
      <c r="AG57" s="520"/>
      <c r="AH57" s="520"/>
      <c r="AI57" s="520"/>
      <c r="AJ57" s="520"/>
      <c r="AK57" s="520"/>
      <c r="AL57" s="520"/>
      <c r="AM57" s="520"/>
    </row>
    <row r="58" spans="2:39" x14ac:dyDescent="0.35">
      <c r="B58" s="249"/>
      <c r="C58" s="681"/>
      <c r="U58" s="555"/>
      <c r="V58" s="555"/>
      <c r="W58" s="555"/>
      <c r="X58" s="555"/>
      <c r="Y58" s="555"/>
      <c r="Z58" s="555"/>
      <c r="AA58" s="555"/>
      <c r="AB58" s="555"/>
      <c r="AC58" s="555"/>
      <c r="AD58" s="520"/>
      <c r="AE58" s="520"/>
      <c r="AF58" s="520"/>
      <c r="AG58" s="520"/>
      <c r="AH58" s="520"/>
      <c r="AI58" s="520"/>
      <c r="AJ58" s="520"/>
      <c r="AK58" s="520"/>
      <c r="AL58" s="520"/>
      <c r="AM58" s="520"/>
    </row>
    <row r="59" spans="2:39" x14ac:dyDescent="0.35">
      <c r="B59" s="249"/>
      <c r="C59" s="681"/>
      <c r="U59" s="230"/>
      <c r="V59" s="230"/>
      <c r="W59" s="230"/>
      <c r="X59" s="230"/>
      <c r="Y59" s="230"/>
      <c r="Z59" s="230"/>
      <c r="AA59" s="230"/>
      <c r="AB59" s="230"/>
      <c r="AC59" s="230"/>
      <c r="AD59" s="520"/>
      <c r="AE59" s="520"/>
      <c r="AF59" s="520"/>
      <c r="AG59" s="520"/>
      <c r="AH59" s="520"/>
      <c r="AI59" s="520"/>
      <c r="AJ59" s="520"/>
      <c r="AK59" s="520"/>
      <c r="AL59" s="520"/>
      <c r="AM59" s="520"/>
    </row>
    <row r="60" spans="2:39" x14ac:dyDescent="0.35">
      <c r="B60" s="249"/>
      <c r="C60" s="240"/>
      <c r="U60" s="555"/>
      <c r="V60" s="555"/>
      <c r="W60" s="555"/>
      <c r="X60" s="555"/>
      <c r="Y60" s="555"/>
      <c r="Z60" s="555"/>
      <c r="AA60" s="555"/>
      <c r="AB60" s="555"/>
      <c r="AC60" s="555"/>
      <c r="AD60" s="520"/>
      <c r="AE60" s="520"/>
      <c r="AF60" s="520"/>
      <c r="AG60" s="520"/>
      <c r="AH60" s="520"/>
      <c r="AI60" s="520"/>
      <c r="AJ60" s="520"/>
      <c r="AK60" s="520"/>
      <c r="AL60" s="520"/>
      <c r="AM60" s="520"/>
    </row>
    <row r="61" spans="2:39" x14ac:dyDescent="0.35">
      <c r="B61" s="249"/>
      <c r="C61" s="240"/>
      <c r="U61" s="555"/>
      <c r="V61" s="555"/>
      <c r="W61" s="555"/>
      <c r="X61" s="555"/>
      <c r="Y61" s="555"/>
      <c r="Z61" s="555"/>
      <c r="AA61" s="555"/>
      <c r="AB61" s="555"/>
      <c r="AC61" s="555"/>
      <c r="AD61" s="520"/>
      <c r="AE61" s="520"/>
      <c r="AF61" s="520"/>
      <c r="AG61" s="520"/>
      <c r="AH61" s="520"/>
      <c r="AI61" s="520"/>
      <c r="AJ61" s="520"/>
      <c r="AK61" s="520"/>
      <c r="AL61" s="520"/>
      <c r="AM61" s="520"/>
    </row>
    <row r="62" spans="2:39" x14ac:dyDescent="0.35">
      <c r="B62" s="249"/>
      <c r="C62" s="240"/>
      <c r="U62" s="555"/>
      <c r="V62" s="555"/>
      <c r="W62" s="555"/>
      <c r="X62" s="555"/>
      <c r="Y62" s="555"/>
      <c r="Z62" s="555"/>
      <c r="AA62" s="555"/>
      <c r="AB62" s="555"/>
      <c r="AC62" s="555"/>
      <c r="AD62" s="520"/>
      <c r="AE62" s="520"/>
      <c r="AF62" s="520"/>
      <c r="AG62" s="520"/>
      <c r="AH62" s="520"/>
      <c r="AI62" s="520"/>
      <c r="AJ62" s="520"/>
      <c r="AK62" s="520"/>
      <c r="AL62" s="520"/>
      <c r="AM62" s="520"/>
    </row>
    <row r="63" spans="2:39" x14ac:dyDescent="0.35">
      <c r="B63" s="472"/>
      <c r="C63" s="240"/>
      <c r="U63" s="555"/>
      <c r="V63" s="555"/>
      <c r="W63" s="555"/>
      <c r="X63" s="555"/>
      <c r="Y63" s="555"/>
      <c r="Z63" s="555"/>
      <c r="AA63" s="555"/>
      <c r="AB63" s="555"/>
      <c r="AC63" s="555"/>
      <c r="AD63" s="520"/>
      <c r="AE63" s="520"/>
      <c r="AF63" s="520"/>
      <c r="AG63" s="520"/>
      <c r="AH63" s="520"/>
      <c r="AI63" s="520"/>
      <c r="AJ63" s="520"/>
      <c r="AK63" s="520"/>
      <c r="AL63" s="520"/>
      <c r="AM63" s="520"/>
    </row>
    <row r="64" spans="2:39" x14ac:dyDescent="0.35">
      <c r="B64" s="255"/>
      <c r="C64" s="263"/>
      <c r="U64" s="637"/>
      <c r="V64" s="637"/>
      <c r="W64" s="637"/>
      <c r="X64" s="637"/>
      <c r="Y64" s="637"/>
      <c r="Z64" s="637"/>
      <c r="AA64" s="637"/>
      <c r="AB64" s="637"/>
      <c r="AC64" s="637"/>
      <c r="AD64" s="520"/>
      <c r="AE64" s="520"/>
      <c r="AF64" s="520"/>
      <c r="AG64" s="520"/>
      <c r="AH64" s="520"/>
      <c r="AI64" s="520"/>
      <c r="AJ64" s="520"/>
      <c r="AK64" s="520"/>
      <c r="AL64" s="520"/>
      <c r="AM64" s="520"/>
    </row>
    <row r="65" spans="2:39" ht="28.5" customHeight="1" x14ac:dyDescent="0.35">
      <c r="B65" s="249"/>
      <c r="C65" s="240"/>
      <c r="U65" s="555"/>
      <c r="V65" s="555"/>
      <c r="W65" s="555"/>
      <c r="X65" s="555"/>
      <c r="Y65" s="555"/>
      <c r="Z65" s="555"/>
      <c r="AA65" s="555"/>
      <c r="AB65" s="555"/>
      <c r="AC65" s="555"/>
      <c r="AD65" s="520"/>
      <c r="AE65" s="520"/>
      <c r="AF65" s="520"/>
      <c r="AG65" s="520"/>
      <c r="AH65" s="520"/>
      <c r="AI65" s="520"/>
      <c r="AJ65" s="520"/>
      <c r="AK65" s="520"/>
      <c r="AL65" s="520"/>
      <c r="AM65" s="520"/>
    </row>
    <row r="66" spans="2:39" x14ac:dyDescent="0.35">
      <c r="B66" s="379"/>
      <c r="C66" s="56"/>
      <c r="U66" s="667"/>
      <c r="V66" s="667"/>
      <c r="W66" s="667"/>
      <c r="X66" s="667"/>
      <c r="Y66" s="667"/>
      <c r="Z66" s="667"/>
      <c r="AA66" s="667"/>
      <c r="AB66" s="667"/>
      <c r="AC66" s="667"/>
      <c r="AD66" s="520"/>
      <c r="AE66" s="520"/>
      <c r="AF66" s="520"/>
      <c r="AG66" s="520"/>
      <c r="AH66" s="520"/>
      <c r="AI66" s="520"/>
      <c r="AJ66" s="520"/>
      <c r="AK66" s="520"/>
      <c r="AL66" s="520"/>
      <c r="AM66" s="520"/>
    </row>
    <row r="67" spans="2:39" x14ac:dyDescent="0.35">
      <c r="B67" s="263"/>
      <c r="C67" s="263"/>
      <c r="U67" s="552"/>
      <c r="V67" s="552"/>
      <c r="W67" s="552"/>
      <c r="X67" s="552"/>
      <c r="Y67" s="552"/>
      <c r="Z67" s="552"/>
      <c r="AA67" s="552"/>
      <c r="AB67" s="552"/>
      <c r="AC67" s="552"/>
      <c r="AD67" s="520"/>
      <c r="AE67" s="520"/>
      <c r="AF67" s="520"/>
      <c r="AG67" s="520"/>
      <c r="AH67" s="520"/>
      <c r="AI67" s="520"/>
      <c r="AJ67" s="520"/>
      <c r="AK67" s="520"/>
      <c r="AL67" s="520"/>
      <c r="AM67" s="520"/>
    </row>
    <row r="68" spans="2:39" x14ac:dyDescent="0.35">
      <c r="B68" s="1319"/>
      <c r="C68" s="1319"/>
      <c r="U68" s="552"/>
      <c r="V68" s="552"/>
      <c r="W68" s="552"/>
      <c r="X68" s="552"/>
      <c r="Y68" s="552"/>
      <c r="Z68" s="552"/>
      <c r="AA68" s="552"/>
      <c r="AB68" s="552"/>
      <c r="AC68" s="552"/>
      <c r="AD68" s="520"/>
      <c r="AE68" s="520"/>
      <c r="AF68" s="520"/>
      <c r="AG68" s="520"/>
      <c r="AH68" s="520"/>
      <c r="AI68" s="520"/>
      <c r="AJ68" s="520"/>
      <c r="AK68" s="520"/>
      <c r="AL68" s="520"/>
      <c r="AM68" s="520"/>
    </row>
    <row r="69" spans="2:39" x14ac:dyDescent="0.35">
      <c r="B69" s="472"/>
      <c r="C69" s="240"/>
      <c r="U69" s="240"/>
      <c r="V69" s="240"/>
      <c r="W69" s="240"/>
      <c r="X69" s="240"/>
      <c r="Y69" s="240"/>
      <c r="Z69" s="240"/>
      <c r="AA69" s="240"/>
      <c r="AB69" s="240"/>
      <c r="AC69" s="240"/>
      <c r="AD69" s="520"/>
      <c r="AE69" s="520"/>
      <c r="AF69" s="520"/>
      <c r="AG69" s="520"/>
      <c r="AH69" s="520"/>
      <c r="AI69" s="520"/>
      <c r="AJ69" s="520"/>
      <c r="AK69" s="520"/>
      <c r="AL69" s="520"/>
      <c r="AM69" s="520"/>
    </row>
    <row r="70" spans="2:39" x14ac:dyDescent="0.35">
      <c r="B70" s="240"/>
      <c r="C70" s="240"/>
      <c r="U70" s="555"/>
      <c r="V70" s="555"/>
      <c r="W70" s="555"/>
      <c r="X70" s="555"/>
      <c r="Y70" s="555"/>
      <c r="Z70" s="555"/>
      <c r="AA70" s="555"/>
      <c r="AB70" s="555"/>
      <c r="AC70" s="555"/>
      <c r="AD70" s="520"/>
      <c r="AE70" s="520"/>
      <c r="AF70" s="520"/>
      <c r="AG70" s="520"/>
      <c r="AH70" s="520"/>
      <c r="AI70" s="520"/>
      <c r="AJ70" s="520"/>
      <c r="AK70" s="520"/>
      <c r="AL70" s="520"/>
      <c r="AM70" s="520"/>
    </row>
    <row r="71" spans="2:39" x14ac:dyDescent="0.35">
      <c r="B71" s="263"/>
      <c r="C71" s="263"/>
      <c r="U71" s="552"/>
      <c r="V71" s="552"/>
      <c r="W71" s="552"/>
      <c r="X71" s="552"/>
      <c r="Y71" s="552"/>
      <c r="Z71" s="552"/>
      <c r="AA71" s="552"/>
      <c r="AB71" s="552"/>
      <c r="AC71" s="552"/>
      <c r="AD71" s="520"/>
      <c r="AE71" s="520"/>
      <c r="AF71" s="520"/>
      <c r="AG71" s="520"/>
      <c r="AH71" s="520"/>
      <c r="AI71" s="520"/>
      <c r="AJ71" s="520"/>
      <c r="AK71" s="520"/>
      <c r="AL71" s="520"/>
      <c r="AM71" s="520"/>
    </row>
    <row r="72" spans="2:39" x14ac:dyDescent="0.35">
      <c r="B72" s="263"/>
      <c r="C72" s="263"/>
      <c r="U72" s="552"/>
      <c r="V72" s="552"/>
      <c r="W72" s="552"/>
      <c r="X72" s="552"/>
      <c r="Y72" s="552"/>
      <c r="Z72" s="552"/>
      <c r="AA72" s="552"/>
      <c r="AB72" s="552"/>
      <c r="AC72" s="552"/>
      <c r="AD72" s="520"/>
      <c r="AE72" s="520"/>
      <c r="AF72" s="520"/>
      <c r="AG72" s="520"/>
      <c r="AH72" s="520"/>
      <c r="AI72" s="520"/>
      <c r="AJ72" s="520"/>
      <c r="AK72" s="520"/>
      <c r="AL72" s="520"/>
      <c r="AM72" s="520"/>
    </row>
    <row r="73" spans="2:39" x14ac:dyDescent="0.35">
      <c r="B73" s="740"/>
      <c r="C73" s="240"/>
      <c r="U73" s="555"/>
      <c r="V73" s="555"/>
      <c r="W73" s="555"/>
      <c r="X73" s="555"/>
      <c r="Y73" s="555"/>
      <c r="Z73" s="555"/>
      <c r="AA73" s="555"/>
      <c r="AB73" s="555"/>
      <c r="AC73" s="555"/>
      <c r="AD73" s="520"/>
      <c r="AE73" s="520"/>
      <c r="AF73" s="520"/>
      <c r="AG73" s="520"/>
      <c r="AH73" s="520"/>
      <c r="AI73" s="520"/>
      <c r="AJ73" s="520"/>
      <c r="AK73" s="520"/>
      <c r="AL73" s="520"/>
      <c r="AM73" s="520"/>
    </row>
    <row r="75" spans="2:39" x14ac:dyDescent="0.35">
      <c r="U75" s="1382"/>
      <c r="V75" s="1382"/>
      <c r="W75" s="1382"/>
      <c r="X75" s="1382"/>
    </row>
    <row r="76" spans="2:39" x14ac:dyDescent="0.35">
      <c r="U76" s="1382"/>
      <c r="V76" s="1382"/>
      <c r="W76" s="1382"/>
      <c r="X76" s="1382"/>
    </row>
    <row r="77" spans="2:39" x14ac:dyDescent="0.35">
      <c r="U77" s="1382"/>
      <c r="V77" s="1382"/>
      <c r="W77" s="1382"/>
      <c r="X77" s="1382"/>
    </row>
    <row r="79" spans="2:39" x14ac:dyDescent="0.35">
      <c r="P79" s="486"/>
      <c r="Q79" s="486"/>
    </row>
    <row r="80" spans="2:39" x14ac:dyDescent="0.35">
      <c r="B80" s="517" t="s">
        <v>352</v>
      </c>
      <c r="D80" s="555"/>
      <c r="E80" s="555"/>
      <c r="F80" s="555"/>
      <c r="G80" s="555"/>
      <c r="H80" s="555"/>
      <c r="I80" s="555"/>
      <c r="J80" s="555"/>
      <c r="K80" s="555"/>
      <c r="L80" s="555"/>
      <c r="M80" s="555"/>
      <c r="N80" s="555"/>
      <c r="O80" s="555"/>
      <c r="P80" s="555"/>
      <c r="Q80" s="555"/>
      <c r="R80" s="555"/>
      <c r="S80" s="555"/>
      <c r="T80" s="555"/>
      <c r="U80" s="555"/>
      <c r="V80" s="555"/>
      <c r="W80" s="555"/>
      <c r="X80" s="555"/>
      <c r="Y80" s="555"/>
      <c r="Z80" s="555"/>
      <c r="AA80" s="555"/>
      <c r="AB80" s="555"/>
      <c r="AC80" s="555"/>
    </row>
    <row r="81" spans="2:33" ht="45.75" customHeight="1" x14ac:dyDescent="0.35">
      <c r="B81" s="1375" t="s">
        <v>477</v>
      </c>
      <c r="C81" s="1375"/>
      <c r="D81" s="1375"/>
      <c r="E81" s="1375"/>
      <c r="F81" s="1375"/>
      <c r="G81" s="1375"/>
      <c r="H81" s="1375"/>
      <c r="I81" s="1375"/>
      <c r="J81" s="1375"/>
      <c r="K81" s="1375"/>
      <c r="L81" s="1375"/>
      <c r="M81" s="1375"/>
      <c r="N81" s="1375"/>
      <c r="O81" s="1375"/>
      <c r="P81" s="1375"/>
      <c r="Q81" s="1375"/>
      <c r="R81" s="1375"/>
      <c r="S81" s="1375"/>
      <c r="T81" s="1375"/>
      <c r="U81" s="1375"/>
      <c r="V81" s="1375"/>
      <c r="W81" s="1375"/>
      <c r="X81" s="1375"/>
      <c r="Y81" s="1375"/>
      <c r="Z81" s="1375"/>
      <c r="AA81" s="1375"/>
      <c r="AB81" s="1375"/>
      <c r="AC81" s="1375"/>
    </row>
    <row r="82" spans="2:33" ht="14.9" customHeight="1" x14ac:dyDescent="0.35">
      <c r="B82" s="1284" t="s">
        <v>478</v>
      </c>
      <c r="C82" s="1285"/>
      <c r="D82" s="1348" t="s">
        <v>280</v>
      </c>
      <c r="E82" s="1349"/>
      <c r="F82" s="1349"/>
      <c r="G82" s="1349"/>
      <c r="H82" s="1349"/>
      <c r="I82" s="1349"/>
      <c r="J82" s="1349"/>
      <c r="K82" s="1349"/>
      <c r="L82" s="1349"/>
      <c r="M82" s="1349"/>
      <c r="N82" s="1349"/>
      <c r="O82" s="1349"/>
      <c r="P82" s="1349"/>
      <c r="Q82" s="1349"/>
      <c r="R82" s="1349"/>
      <c r="S82" s="1349"/>
      <c r="T82" s="1349"/>
      <c r="U82" s="1349"/>
      <c r="V82" s="1381"/>
      <c r="W82" s="1311" t="s">
        <v>281</v>
      </c>
      <c r="X82" s="1312"/>
      <c r="Y82" s="1312"/>
      <c r="Z82" s="1312"/>
      <c r="AA82" s="1312"/>
      <c r="AB82" s="1312"/>
      <c r="AC82" s="1312"/>
      <c r="AD82" s="1312"/>
      <c r="AE82" s="1312"/>
      <c r="AF82" s="1312"/>
      <c r="AG82" s="1312"/>
    </row>
    <row r="83" spans="2:33" x14ac:dyDescent="0.35">
      <c r="B83" s="1284"/>
      <c r="C83" s="1285"/>
      <c r="D83" s="219">
        <v>2018</v>
      </c>
      <c r="E83" s="1291">
        <v>2019</v>
      </c>
      <c r="F83" s="1292"/>
      <c r="G83" s="1292"/>
      <c r="H83" s="1293"/>
      <c r="I83" s="1291">
        <v>2020</v>
      </c>
      <c r="J83" s="1292"/>
      <c r="K83" s="1292"/>
      <c r="L83" s="1292"/>
      <c r="M83" s="1291">
        <v>2021</v>
      </c>
      <c r="N83" s="1292"/>
      <c r="O83" s="1292"/>
      <c r="P83" s="1292"/>
      <c r="Q83" s="1291">
        <v>2022</v>
      </c>
      <c r="R83" s="1321"/>
      <c r="S83" s="1321"/>
      <c r="T83" s="1293"/>
      <c r="U83" s="288"/>
      <c r="V83" s="560">
        <v>2023</v>
      </c>
      <c r="W83" s="556"/>
      <c r="X83" s="260"/>
      <c r="Y83" s="1288">
        <v>2024</v>
      </c>
      <c r="Z83" s="1301"/>
      <c r="AA83" s="1301"/>
      <c r="AB83" s="1290"/>
      <c r="AC83" s="1288">
        <v>2025</v>
      </c>
      <c r="AD83" s="1301"/>
      <c r="AE83" s="1301"/>
      <c r="AF83" s="1290"/>
      <c r="AG83" s="506">
        <v>2026</v>
      </c>
    </row>
    <row r="84" spans="2:33" x14ac:dyDescent="0.35">
      <c r="B84" s="1286"/>
      <c r="C84" s="1287"/>
      <c r="D84" s="214" t="s">
        <v>282</v>
      </c>
      <c r="E84" s="214" t="s">
        <v>283</v>
      </c>
      <c r="F84" s="215" t="s">
        <v>284</v>
      </c>
      <c r="G84" s="215" t="s">
        <v>238</v>
      </c>
      <c r="H84" s="216" t="s">
        <v>282</v>
      </c>
      <c r="I84" s="215" t="s">
        <v>283</v>
      </c>
      <c r="J84" s="215" t="s">
        <v>284</v>
      </c>
      <c r="K84" s="215" t="s">
        <v>238</v>
      </c>
      <c r="L84" s="215" t="s">
        <v>282</v>
      </c>
      <c r="M84" s="214" t="s">
        <v>283</v>
      </c>
      <c r="N84" s="215" t="s">
        <v>284</v>
      </c>
      <c r="O84" s="215" t="s">
        <v>238</v>
      </c>
      <c r="P84" s="215" t="s">
        <v>282</v>
      </c>
      <c r="Q84" s="214" t="s">
        <v>283</v>
      </c>
      <c r="R84" s="215" t="s">
        <v>284</v>
      </c>
      <c r="S84" s="215" t="s">
        <v>238</v>
      </c>
      <c r="T84" s="216" t="s">
        <v>282</v>
      </c>
      <c r="U84" s="215" t="s">
        <v>283</v>
      </c>
      <c r="V84" s="286" t="s">
        <v>284</v>
      </c>
      <c r="W84" s="270" t="s">
        <v>238</v>
      </c>
      <c r="X84" s="271" t="s">
        <v>282</v>
      </c>
      <c r="Y84" s="269" t="s">
        <v>283</v>
      </c>
      <c r="Z84" s="267" t="s">
        <v>284</v>
      </c>
      <c r="AA84" s="270" t="s">
        <v>238</v>
      </c>
      <c r="AB84" s="270" t="s">
        <v>282</v>
      </c>
      <c r="AC84" s="269" t="s">
        <v>283</v>
      </c>
      <c r="AD84" s="267" t="s">
        <v>284</v>
      </c>
      <c r="AE84" s="270" t="s">
        <v>238</v>
      </c>
      <c r="AF84" s="270" t="s">
        <v>282</v>
      </c>
      <c r="AG84" s="269" t="s">
        <v>283</v>
      </c>
    </row>
    <row r="85" spans="2:33" x14ac:dyDescent="0.35">
      <c r="B85" s="551" t="s">
        <v>1434</v>
      </c>
      <c r="D85" s="253"/>
      <c r="E85" s="308"/>
      <c r="F85" s="308"/>
      <c r="G85" s="308"/>
      <c r="H85" s="308"/>
      <c r="I85" s="575">
        <f>(I86-AVERAGE($E86:$H86))</f>
        <v>6.6417500000000018</v>
      </c>
      <c r="J85" s="575">
        <f t="shared" ref="J85:U85" si="22">(J86-AVERAGE($E86:$H86))</f>
        <v>51.388749999999995</v>
      </c>
      <c r="K85" s="575">
        <f t="shared" si="22"/>
        <v>55.337750000000007</v>
      </c>
      <c r="L85" s="575">
        <f t="shared" si="22"/>
        <v>62.597749999999998</v>
      </c>
      <c r="M85" s="575">
        <f t="shared" si="22"/>
        <v>88.07774999999998</v>
      </c>
      <c r="N85" s="575">
        <f t="shared" si="22"/>
        <v>102.89075</v>
      </c>
      <c r="O85" s="575">
        <f t="shared" si="22"/>
        <v>94.404750000000007</v>
      </c>
      <c r="P85" s="575">
        <f t="shared" si="22"/>
        <v>91.919749999999993</v>
      </c>
      <c r="Q85" s="575">
        <f t="shared" si="22"/>
        <v>80.097749999999991</v>
      </c>
      <c r="R85" s="575">
        <f t="shared" si="22"/>
        <v>69.023750000000007</v>
      </c>
      <c r="S85" s="576">
        <f t="shared" si="22"/>
        <v>61.349750000000007</v>
      </c>
      <c r="T85" s="563">
        <f t="shared" si="22"/>
        <v>81.433750000000003</v>
      </c>
      <c r="U85" s="576">
        <f t="shared" si="22"/>
        <v>75.465749999999986</v>
      </c>
      <c r="V85" s="576">
        <f>(V86-AVERAGE($E86:$H86))</f>
        <v>48.418749999999996</v>
      </c>
      <c r="W85" s="725">
        <f>V85</f>
        <v>48.418749999999996</v>
      </c>
      <c r="X85" s="725">
        <f t="shared" ref="X85:AG85" si="23">W85</f>
        <v>48.418749999999996</v>
      </c>
      <c r="Y85" s="725">
        <f t="shared" si="23"/>
        <v>48.418749999999996</v>
      </c>
      <c r="Z85" s="725">
        <f t="shared" si="23"/>
        <v>48.418749999999996</v>
      </c>
      <c r="AA85" s="725">
        <f t="shared" si="23"/>
        <v>48.418749999999996</v>
      </c>
      <c r="AB85" s="725">
        <f t="shared" si="23"/>
        <v>48.418749999999996</v>
      </c>
      <c r="AC85" s="686">
        <f t="shared" si="23"/>
        <v>48.418749999999996</v>
      </c>
      <c r="AD85" s="725">
        <f t="shared" si="23"/>
        <v>48.418749999999996</v>
      </c>
      <c r="AE85" s="725">
        <f t="shared" si="23"/>
        <v>48.418749999999996</v>
      </c>
      <c r="AF85" s="725">
        <f t="shared" si="23"/>
        <v>48.418749999999996</v>
      </c>
      <c r="AG85" s="725">
        <f t="shared" si="23"/>
        <v>48.418749999999996</v>
      </c>
    </row>
    <row r="86" spans="2:33" x14ac:dyDescent="0.35">
      <c r="B86" s="551" t="s">
        <v>160</v>
      </c>
      <c r="C86" s="240" t="s">
        <v>479</v>
      </c>
      <c r="D86" s="275">
        <f>'Haver Pivoted'!GO66</f>
        <v>57.017000000000003</v>
      </c>
      <c r="E86" s="234">
        <f>'Haver Pivoted'!GP66</f>
        <v>55.847999999999999</v>
      </c>
      <c r="F86" s="234">
        <f>'Haver Pivoted'!GQ66</f>
        <v>54.531999999999996</v>
      </c>
      <c r="G86" s="234">
        <f>'Haver Pivoted'!GR66</f>
        <v>54.451999999999998</v>
      </c>
      <c r="H86" s="234">
        <f>'Haver Pivoted'!GS66</f>
        <v>54.012999999999998</v>
      </c>
      <c r="I86" s="234">
        <f>'Haver Pivoted'!GT66</f>
        <v>61.353000000000002</v>
      </c>
      <c r="J86" s="234">
        <f>'Haver Pivoted'!GU66</f>
        <v>106.1</v>
      </c>
      <c r="K86" s="234">
        <f>'Haver Pivoted'!GV66</f>
        <v>110.04900000000001</v>
      </c>
      <c r="L86" s="234">
        <f>'Haver Pivoted'!GW66</f>
        <v>117.309</v>
      </c>
      <c r="M86" s="234">
        <f>'Haver Pivoted'!GX66</f>
        <v>142.78899999999999</v>
      </c>
      <c r="N86" s="234">
        <f>'Haver Pivoted'!GY66</f>
        <v>157.602</v>
      </c>
      <c r="O86" s="234">
        <f>'Haver Pivoted'!GZ66</f>
        <v>149.11600000000001</v>
      </c>
      <c r="P86" s="234">
        <f>'Haver Pivoted'!HA66</f>
        <v>146.631</v>
      </c>
      <c r="Q86" s="234">
        <f>'Haver Pivoted'!HB66</f>
        <v>134.809</v>
      </c>
      <c r="R86" s="234">
        <f>'Haver Pivoted'!HC66</f>
        <v>123.735</v>
      </c>
      <c r="S86" s="215">
        <f>'Haver Pivoted'!HD66</f>
        <v>116.06100000000001</v>
      </c>
      <c r="T86" s="215">
        <f>'Haver Pivoted'!HE66</f>
        <v>136.14500000000001</v>
      </c>
      <c r="U86" s="215">
        <f>'Haver Pivoted'!HF66</f>
        <v>130.17699999999999</v>
      </c>
      <c r="V86" s="215">
        <f>'Haver Pivoted'!HG66</f>
        <v>103.13</v>
      </c>
      <c r="W86" s="326"/>
      <c r="X86" s="326"/>
      <c r="Y86" s="326"/>
      <c r="Z86" s="326"/>
      <c r="AA86" s="326"/>
      <c r="AB86" s="326"/>
      <c r="AC86" s="326"/>
      <c r="AD86" s="508"/>
      <c r="AE86" s="508"/>
      <c r="AF86" s="508"/>
      <c r="AG86" s="508"/>
    </row>
    <row r="87" spans="2:33" ht="29.15" customHeight="1" x14ac:dyDescent="0.35">
      <c r="B87" s="357" t="s">
        <v>480</v>
      </c>
      <c r="C87" s="358"/>
      <c r="D87" s="720"/>
      <c r="E87" s="566"/>
      <c r="F87" s="566"/>
      <c r="G87" s="566"/>
      <c r="H87" s="566"/>
      <c r="I87" s="566"/>
      <c r="J87" s="566">
        <f t="shared" ref="J87:V87" si="24">J86-$H86</f>
        <v>52.086999999999996</v>
      </c>
      <c r="K87" s="566">
        <f t="shared" si="24"/>
        <v>56.036000000000008</v>
      </c>
      <c r="L87" s="566">
        <f t="shared" si="24"/>
        <v>63.295999999999999</v>
      </c>
      <c r="M87" s="566">
        <f t="shared" si="24"/>
        <v>88.775999999999982</v>
      </c>
      <c r="N87" s="566">
        <f>N86-$H86</f>
        <v>103.589</v>
      </c>
      <c r="O87" s="566">
        <f>O86-$H86</f>
        <v>95.103000000000009</v>
      </c>
      <c r="P87" s="566">
        <f t="shared" si="24"/>
        <v>92.617999999999995</v>
      </c>
      <c r="Q87" s="566">
        <f t="shared" si="24"/>
        <v>80.795999999999992</v>
      </c>
      <c r="R87" s="566">
        <f t="shared" si="24"/>
        <v>69.722000000000008</v>
      </c>
      <c r="S87" s="286">
        <f t="shared" si="24"/>
        <v>62.048000000000009</v>
      </c>
      <c r="T87" s="286">
        <f t="shared" si="24"/>
        <v>82.132000000000005</v>
      </c>
      <c r="U87" s="286">
        <f t="shared" si="24"/>
        <v>76.163999999999987</v>
      </c>
      <c r="V87" s="286">
        <f t="shared" si="24"/>
        <v>49.116999999999997</v>
      </c>
      <c r="W87" s="270"/>
      <c r="X87" s="270"/>
      <c r="Y87" s="270"/>
      <c r="Z87" s="270"/>
      <c r="AA87" s="270"/>
      <c r="AB87" s="270"/>
      <c r="AC87" s="270"/>
      <c r="AD87" s="508"/>
      <c r="AE87" s="508"/>
      <c r="AF87" s="508"/>
      <c r="AG87" s="508"/>
    </row>
    <row r="88" spans="2:33" ht="29.15" customHeight="1" x14ac:dyDescent="0.35">
      <c r="B88" s="240"/>
      <c r="C88" s="240"/>
      <c r="D88" s="234"/>
      <c r="E88" s="234"/>
      <c r="F88" s="234"/>
      <c r="G88" s="234"/>
      <c r="H88" s="234"/>
      <c r="I88" s="234"/>
      <c r="J88" s="234"/>
      <c r="K88" s="234"/>
      <c r="L88" s="234"/>
      <c r="M88" s="234"/>
      <c r="N88" s="234"/>
      <c r="O88" s="234"/>
      <c r="P88" s="234"/>
      <c r="Q88" s="234"/>
      <c r="R88" s="234"/>
      <c r="S88" s="234"/>
      <c r="T88" s="234"/>
      <c r="U88" s="234"/>
      <c r="V88" s="234"/>
      <c r="W88" s="234"/>
      <c r="X88" s="234"/>
      <c r="Y88" s="234"/>
      <c r="Z88" s="234"/>
      <c r="AA88" s="234"/>
      <c r="AB88" s="234"/>
      <c r="AC88" s="234"/>
    </row>
    <row r="89" spans="2:33" ht="29.15" customHeight="1" x14ac:dyDescent="0.35">
      <c r="B89" s="240"/>
      <c r="C89" s="240"/>
      <c r="D89" s="234"/>
      <c r="E89" s="234"/>
      <c r="F89" s="234"/>
      <c r="G89" s="234"/>
      <c r="H89" s="234"/>
      <c r="I89" s="234"/>
      <c r="J89" s="234"/>
      <c r="K89" s="234"/>
      <c r="L89" s="234"/>
      <c r="M89" s="234"/>
      <c r="N89" s="234"/>
      <c r="O89" s="234"/>
      <c r="P89" s="234"/>
      <c r="Q89" s="234"/>
      <c r="R89" s="234"/>
      <c r="S89" s="234"/>
      <c r="T89" s="234"/>
      <c r="U89" s="234"/>
      <c r="V89" s="234"/>
      <c r="W89" s="234"/>
      <c r="X89" s="234"/>
      <c r="Y89" s="234"/>
      <c r="Z89" s="234"/>
      <c r="AA89" s="234"/>
      <c r="AB89" s="234"/>
      <c r="AC89" s="234"/>
    </row>
    <row r="90" spans="2:33" ht="29.15" customHeight="1" x14ac:dyDescent="0.35">
      <c r="B90" s="240"/>
      <c r="C90" s="240"/>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B90" s="234"/>
      <c r="AC90" s="234"/>
    </row>
    <row r="91" spans="2:33" ht="35.9" customHeight="1" x14ac:dyDescent="0.35"/>
    <row r="92" spans="2:33" x14ac:dyDescent="0.35">
      <c r="B92" s="517" t="s">
        <v>365</v>
      </c>
    </row>
    <row r="93" spans="2:33" x14ac:dyDescent="0.35">
      <c r="B93" s="1376" t="s">
        <v>804</v>
      </c>
      <c r="C93" s="1377"/>
      <c r="D93" s="1286" t="s">
        <v>280</v>
      </c>
      <c r="E93" s="1299"/>
      <c r="F93" s="1299"/>
      <c r="G93" s="1299"/>
      <c r="H93" s="1299"/>
      <c r="I93" s="1299"/>
      <c r="J93" s="1299"/>
      <c r="K93" s="1299"/>
      <c r="L93" s="1299"/>
      <c r="M93" s="1299"/>
      <c r="N93" s="1299"/>
      <c r="O93" s="1299"/>
      <c r="P93" s="1299"/>
      <c r="Q93" s="1299"/>
      <c r="R93" s="1299"/>
      <c r="S93" s="1299"/>
      <c r="T93" s="1299"/>
      <c r="U93" s="1299"/>
      <c r="V93" s="1287"/>
      <c r="W93" s="1311" t="s">
        <v>281</v>
      </c>
      <c r="X93" s="1312"/>
      <c r="Y93" s="1312"/>
      <c r="Z93" s="1312"/>
      <c r="AA93" s="1312"/>
      <c r="AB93" s="1312"/>
      <c r="AC93" s="1312"/>
      <c r="AD93" s="1312"/>
      <c r="AE93" s="1312"/>
      <c r="AF93" s="1312"/>
      <c r="AG93" s="1312"/>
    </row>
    <row r="94" spans="2:33" x14ac:dyDescent="0.35">
      <c r="B94" s="1378"/>
      <c r="C94" s="1379"/>
      <c r="D94" s="219">
        <v>2018</v>
      </c>
      <c r="E94" s="1291">
        <v>2019</v>
      </c>
      <c r="F94" s="1292"/>
      <c r="G94" s="1292"/>
      <c r="H94" s="1293"/>
      <c r="I94" s="1291">
        <v>2020</v>
      </c>
      <c r="J94" s="1292"/>
      <c r="K94" s="1292"/>
      <c r="L94" s="1292"/>
      <c r="M94" s="1291">
        <v>2021</v>
      </c>
      <c r="N94" s="1292"/>
      <c r="O94" s="1292"/>
      <c r="P94" s="1292"/>
      <c r="Q94" s="1291">
        <v>2022</v>
      </c>
      <c r="R94" s="1321"/>
      <c r="S94" s="1321"/>
      <c r="T94" s="1293"/>
      <c r="U94" s="288"/>
      <c r="V94" s="560">
        <v>2023</v>
      </c>
      <c r="W94" s="556"/>
      <c r="X94" s="260"/>
      <c r="Y94" s="1288">
        <v>2024</v>
      </c>
      <c r="Z94" s="1301"/>
      <c r="AA94" s="1301"/>
      <c r="AB94" s="1290"/>
      <c r="AC94" s="1288">
        <v>2025</v>
      </c>
      <c r="AD94" s="1301"/>
      <c r="AE94" s="1301"/>
      <c r="AF94" s="1290"/>
      <c r="AG94" s="506">
        <v>2026</v>
      </c>
    </row>
    <row r="95" spans="2:33" x14ac:dyDescent="0.35">
      <c r="B95" s="1378"/>
      <c r="C95" s="1379"/>
      <c r="D95" s="214" t="s">
        <v>282</v>
      </c>
      <c r="E95" s="214" t="s">
        <v>283</v>
      </c>
      <c r="F95" s="215" t="s">
        <v>284</v>
      </c>
      <c r="G95" s="215" t="s">
        <v>238</v>
      </c>
      <c r="H95" s="216" t="s">
        <v>282</v>
      </c>
      <c r="I95" s="215" t="s">
        <v>283</v>
      </c>
      <c r="J95" s="215" t="s">
        <v>284</v>
      </c>
      <c r="K95" s="215" t="s">
        <v>238</v>
      </c>
      <c r="L95" s="215" t="s">
        <v>282</v>
      </c>
      <c r="M95" s="214" t="s">
        <v>283</v>
      </c>
      <c r="N95" s="215" t="s">
        <v>284</v>
      </c>
      <c r="O95" s="215" t="s">
        <v>238</v>
      </c>
      <c r="P95" s="215" t="s">
        <v>282</v>
      </c>
      <c r="Q95" s="214" t="s">
        <v>283</v>
      </c>
      <c r="R95" s="215" t="s">
        <v>284</v>
      </c>
      <c r="S95" s="215" t="s">
        <v>238</v>
      </c>
      <c r="T95" s="216" t="s">
        <v>282</v>
      </c>
      <c r="U95" s="215" t="s">
        <v>283</v>
      </c>
      <c r="V95" s="286" t="s">
        <v>284</v>
      </c>
      <c r="W95" s="270" t="s">
        <v>238</v>
      </c>
      <c r="X95" s="271" t="s">
        <v>282</v>
      </c>
      <c r="Y95" s="269" t="s">
        <v>283</v>
      </c>
      <c r="Z95" s="267" t="s">
        <v>284</v>
      </c>
      <c r="AA95" s="270" t="s">
        <v>238</v>
      </c>
      <c r="AB95" s="270" t="s">
        <v>282</v>
      </c>
      <c r="AC95" s="269" t="s">
        <v>283</v>
      </c>
      <c r="AD95" s="267" t="s">
        <v>284</v>
      </c>
      <c r="AE95" s="270" t="s">
        <v>238</v>
      </c>
      <c r="AF95" s="270" t="s">
        <v>282</v>
      </c>
      <c r="AG95" s="269" t="s">
        <v>283</v>
      </c>
    </row>
    <row r="96" spans="2:33" ht="25.75" customHeight="1" x14ac:dyDescent="0.35">
      <c r="B96" s="676" t="s">
        <v>467</v>
      </c>
      <c r="C96" s="443" t="s">
        <v>468</v>
      </c>
      <c r="D96" s="366">
        <f>'Haver Pivoted'!GO31</f>
        <v>2223</v>
      </c>
      <c r="E96" s="367">
        <f>'Haver Pivoted'!GP31</f>
        <v>2303.6</v>
      </c>
      <c r="F96" s="367">
        <f>'Haver Pivoted'!GQ31</f>
        <v>2320.1</v>
      </c>
      <c r="G96" s="367">
        <f>'Haver Pivoted'!GR31</f>
        <v>2332.9</v>
      </c>
      <c r="H96" s="367">
        <f>'Haver Pivoted'!GS31</f>
        <v>2346.6</v>
      </c>
      <c r="I96" s="367">
        <f>'Haver Pivoted'!GT31</f>
        <v>2412.6</v>
      </c>
      <c r="J96" s="367">
        <f>'Haver Pivoted'!GU31</f>
        <v>4652.1000000000004</v>
      </c>
      <c r="K96" s="367">
        <f>'Haver Pivoted'!GV31</f>
        <v>3508</v>
      </c>
      <c r="L96" s="367">
        <f>'Haver Pivoted'!GW31</f>
        <v>2895.4</v>
      </c>
      <c r="M96" s="367">
        <f>'Haver Pivoted'!GX31</f>
        <v>5127.3999999999996</v>
      </c>
      <c r="N96" s="367">
        <f>'Haver Pivoted'!GY31</f>
        <v>3403.8</v>
      </c>
      <c r="O96" s="367">
        <f>'Haver Pivoted'!GZ31</f>
        <v>3135</v>
      </c>
      <c r="P96" s="367">
        <f>'Haver Pivoted'!HA31</f>
        <v>2947.7</v>
      </c>
      <c r="Q96" s="367">
        <f>'Haver Pivoted'!HB31</f>
        <v>2903.2</v>
      </c>
      <c r="R96" s="367">
        <f>'Haver Pivoted'!HC31</f>
        <v>2895.2</v>
      </c>
      <c r="S96" s="368">
        <f>'Haver Pivoted'!HD31</f>
        <v>2867.4</v>
      </c>
      <c r="T96" s="687">
        <f>'Haver Pivoted'!HE31</f>
        <v>2896.7</v>
      </c>
      <c r="U96" s="368">
        <f>'Haver Pivoted'!HF31</f>
        <v>2945.8</v>
      </c>
      <c r="V96" s="368">
        <f>'Haver Pivoted'!HG31</f>
        <v>2929.7</v>
      </c>
      <c r="W96" s="697"/>
      <c r="X96" s="697"/>
      <c r="Y96" s="697"/>
      <c r="Z96" s="697"/>
      <c r="AA96" s="697"/>
      <c r="AB96" s="697"/>
      <c r="AC96" s="739"/>
      <c r="AD96" s="739"/>
      <c r="AE96" s="739"/>
      <c r="AF96" s="739"/>
      <c r="AG96" s="508"/>
    </row>
    <row r="97" spans="2:33" ht="25.75" customHeight="1" x14ac:dyDescent="0.35">
      <c r="B97" s="481" t="s">
        <v>1850</v>
      </c>
      <c r="C97" s="240"/>
      <c r="D97" s="715">
        <f>D98+D99</f>
        <v>812.1</v>
      </c>
      <c r="E97" s="441">
        <f>E98+E99</f>
        <v>832.4</v>
      </c>
      <c r="F97" s="441">
        <f>F98+F99</f>
        <v>843</v>
      </c>
      <c r="G97" s="441">
        <f t="shared" ref="G97:N97" si="25">G98+G99</f>
        <v>848.9</v>
      </c>
      <c r="H97" s="441">
        <f t="shared" si="25"/>
        <v>854.6</v>
      </c>
      <c r="I97" s="441">
        <f t="shared" si="25"/>
        <v>875.94174999999996</v>
      </c>
      <c r="J97" s="441">
        <f t="shared" si="25"/>
        <v>3140.0887499999999</v>
      </c>
      <c r="K97" s="441">
        <f t="shared" si="25"/>
        <v>1866.1377500000001</v>
      </c>
      <c r="L97" s="441">
        <f t="shared" si="25"/>
        <v>1314.69775</v>
      </c>
      <c r="M97" s="441">
        <f t="shared" si="25"/>
        <v>3522.1777499999998</v>
      </c>
      <c r="N97" s="441">
        <f t="shared" si="25"/>
        <v>1820.5125900000003</v>
      </c>
      <c r="O97" s="441">
        <f>O98+O99</f>
        <v>1547.208243333333</v>
      </c>
      <c r="P97" s="441">
        <f t="shared" ref="P97:R97" si="26">P98+P99</f>
        <v>1369.7290833333329</v>
      </c>
      <c r="Q97" s="441">
        <f t="shared" si="26"/>
        <v>1218.1737499999999</v>
      </c>
      <c r="R97" s="441">
        <f t="shared" si="26"/>
        <v>1201.89975</v>
      </c>
      <c r="S97" s="682">
        <f>S98+S99</f>
        <v>1183.0257500000002</v>
      </c>
      <c r="T97" s="682">
        <f t="shared" ref="T97:U97" si="27">T98+T99</f>
        <v>1168.3497500000001</v>
      </c>
      <c r="U97" s="682">
        <f t="shared" si="27"/>
        <v>1082.9817499999999</v>
      </c>
      <c r="V97" s="682">
        <f>V98+V99</f>
        <v>1060.3633214285715</v>
      </c>
      <c r="W97" s="440"/>
      <c r="X97" s="440"/>
      <c r="Y97" s="440"/>
      <c r="Z97" s="440"/>
      <c r="AA97" s="440"/>
      <c r="AB97" s="440"/>
      <c r="AC97" s="440"/>
      <c r="AD97" s="440"/>
      <c r="AE97" s="440"/>
      <c r="AF97" s="440"/>
      <c r="AG97" s="508"/>
    </row>
    <row r="98" spans="2:33" ht="25.75" customHeight="1" x14ac:dyDescent="0.35">
      <c r="B98" s="425" t="s">
        <v>1848</v>
      </c>
      <c r="C98" s="240"/>
      <c r="D98" s="715">
        <f t="shared" ref="D98:V98" si="28">D14+D17+D35</f>
        <v>812.1</v>
      </c>
      <c r="E98" s="715">
        <f t="shared" si="28"/>
        <v>832.4</v>
      </c>
      <c r="F98" s="441">
        <f t="shared" si="28"/>
        <v>843</v>
      </c>
      <c r="G98" s="441">
        <f t="shared" si="28"/>
        <v>848.9</v>
      </c>
      <c r="H98" s="441">
        <f t="shared" si="28"/>
        <v>854.6</v>
      </c>
      <c r="I98" s="441">
        <f t="shared" si="28"/>
        <v>869.3</v>
      </c>
      <c r="J98" s="441">
        <f t="shared" si="28"/>
        <v>1792.5</v>
      </c>
      <c r="K98" s="441">
        <f t="shared" si="28"/>
        <v>1655.6000000000001</v>
      </c>
      <c r="L98" s="441">
        <f t="shared" si="28"/>
        <v>1188.2</v>
      </c>
      <c r="M98" s="441">
        <f t="shared" si="28"/>
        <v>1467.3000000000002</v>
      </c>
      <c r="N98" s="441">
        <f t="shared" si="28"/>
        <v>1351.8000000000002</v>
      </c>
      <c r="O98" s="441">
        <f t="shared" si="28"/>
        <v>1328.333333333333</v>
      </c>
      <c r="P98" s="441">
        <f t="shared" si="28"/>
        <v>1157.333333333333</v>
      </c>
      <c r="Q98" s="441">
        <f t="shared" si="28"/>
        <v>1038.7</v>
      </c>
      <c r="R98" s="441">
        <f t="shared" si="28"/>
        <v>1040.4000000000001</v>
      </c>
      <c r="S98" s="682">
        <f t="shared" si="28"/>
        <v>1041.1000000000001</v>
      </c>
      <c r="T98" s="682">
        <f t="shared" si="28"/>
        <v>1050.6000000000001</v>
      </c>
      <c r="U98" s="682">
        <f t="shared" si="28"/>
        <v>994.1</v>
      </c>
      <c r="V98" s="682">
        <f t="shared" si="28"/>
        <v>998.52857142857135</v>
      </c>
      <c r="W98" s="440"/>
      <c r="X98" s="440"/>
      <c r="Y98" s="440"/>
      <c r="Z98" s="440"/>
      <c r="AA98" s="440"/>
      <c r="AB98" s="440"/>
      <c r="AC98" s="440"/>
      <c r="AD98" s="440"/>
      <c r="AE98" s="440"/>
      <c r="AF98" s="440"/>
      <c r="AG98" s="440"/>
    </row>
    <row r="99" spans="2:33" ht="36" customHeight="1" x14ac:dyDescent="0.35">
      <c r="B99" s="425" t="s">
        <v>1849</v>
      </c>
      <c r="C99" s="240"/>
      <c r="D99" s="441">
        <f t="shared" ref="D99:AG99" si="29">D18+D21+D32+D33+D34+D36</f>
        <v>0</v>
      </c>
      <c r="E99" s="441">
        <f t="shared" si="29"/>
        <v>0</v>
      </c>
      <c r="F99" s="441">
        <f t="shared" si="29"/>
        <v>0</v>
      </c>
      <c r="G99" s="441">
        <f t="shared" si="29"/>
        <v>0</v>
      </c>
      <c r="H99" s="441">
        <f t="shared" si="29"/>
        <v>0</v>
      </c>
      <c r="I99" s="441">
        <f t="shared" si="29"/>
        <v>6.6417500000000018</v>
      </c>
      <c r="J99" s="441">
        <f t="shared" si="29"/>
        <v>1347.5887500000001</v>
      </c>
      <c r="K99" s="441">
        <f t="shared" si="29"/>
        <v>210.53775000000002</v>
      </c>
      <c r="L99" s="441">
        <f t="shared" si="29"/>
        <v>126.49775</v>
      </c>
      <c r="M99" s="441">
        <f t="shared" si="29"/>
        <v>2054.8777499999997</v>
      </c>
      <c r="N99" s="441">
        <f t="shared" si="29"/>
        <v>468.71259000000009</v>
      </c>
      <c r="O99" s="441">
        <f t="shared" si="29"/>
        <v>218.87491000000009</v>
      </c>
      <c r="P99" s="441">
        <f t="shared" si="29"/>
        <v>212.39574999999999</v>
      </c>
      <c r="Q99" s="441">
        <f t="shared" si="29"/>
        <v>179.47375</v>
      </c>
      <c r="R99" s="441">
        <f t="shared" si="29"/>
        <v>161.49975000000001</v>
      </c>
      <c r="S99" s="682">
        <f t="shared" si="29"/>
        <v>141.92575000000002</v>
      </c>
      <c r="T99" s="682">
        <f t="shared" si="29"/>
        <v>117.74975000000001</v>
      </c>
      <c r="U99" s="682">
        <f t="shared" si="29"/>
        <v>88.881749999999982</v>
      </c>
      <c r="V99" s="682">
        <f t="shared" si="29"/>
        <v>61.83475</v>
      </c>
      <c r="W99" s="440">
        <f t="shared" si="29"/>
        <v>61.83475</v>
      </c>
      <c r="X99" s="440">
        <f t="shared" si="29"/>
        <v>54.119749999999996</v>
      </c>
      <c r="Y99" s="440">
        <f t="shared" si="29"/>
        <v>54.119749999999996</v>
      </c>
      <c r="Z99" s="440">
        <f t="shared" si="29"/>
        <v>54.119749999999996</v>
      </c>
      <c r="AA99" s="440">
        <f t="shared" si="29"/>
        <v>54.119749999999996</v>
      </c>
      <c r="AB99" s="440">
        <f t="shared" si="29"/>
        <v>52.420749999999998</v>
      </c>
      <c r="AC99" s="440">
        <f t="shared" si="29"/>
        <v>52.420749999999998</v>
      </c>
      <c r="AD99" s="440">
        <f t="shared" si="29"/>
        <v>0</v>
      </c>
      <c r="AE99" s="440">
        <f t="shared" si="29"/>
        <v>0</v>
      </c>
      <c r="AF99" s="440">
        <f t="shared" si="29"/>
        <v>0</v>
      </c>
      <c r="AG99" s="440">
        <f t="shared" si="29"/>
        <v>0</v>
      </c>
    </row>
    <row r="100" spans="2:33" ht="25.75" customHeight="1" x14ac:dyDescent="0.35">
      <c r="B100" s="481" t="s">
        <v>801</v>
      </c>
      <c r="C100" s="240"/>
      <c r="D100" s="715">
        <f>D96-D97</f>
        <v>1410.9</v>
      </c>
      <c r="E100" s="441">
        <f t="shared" ref="E100:T100" si="30">E96-E97</f>
        <v>1471.1999999999998</v>
      </c>
      <c r="F100" s="441">
        <f t="shared" si="30"/>
        <v>1477.1</v>
      </c>
      <c r="G100" s="441">
        <f t="shared" si="30"/>
        <v>1484</v>
      </c>
      <c r="H100" s="441">
        <f t="shared" si="30"/>
        <v>1492</v>
      </c>
      <c r="I100" s="441">
        <f t="shared" si="30"/>
        <v>1536.65825</v>
      </c>
      <c r="J100" s="441">
        <f t="shared" si="30"/>
        <v>1512.0112500000005</v>
      </c>
      <c r="K100" s="441">
        <f t="shared" si="30"/>
        <v>1641.8622499999999</v>
      </c>
      <c r="L100" s="441">
        <f t="shared" si="30"/>
        <v>1580.70225</v>
      </c>
      <c r="M100" s="441">
        <f t="shared" si="30"/>
        <v>1605.2222499999998</v>
      </c>
      <c r="N100" s="441">
        <f t="shared" si="30"/>
        <v>1583.2874099999999</v>
      </c>
      <c r="O100" s="441">
        <f t="shared" si="30"/>
        <v>1587.791756666667</v>
      </c>
      <c r="P100" s="441">
        <f t="shared" si="30"/>
        <v>1577.9709166666669</v>
      </c>
      <c r="Q100" s="441">
        <f t="shared" si="30"/>
        <v>1685.0262499999999</v>
      </c>
      <c r="R100" s="441">
        <f t="shared" si="30"/>
        <v>1693.3002499999998</v>
      </c>
      <c r="S100" s="682">
        <f t="shared" si="30"/>
        <v>1684.3742499999998</v>
      </c>
      <c r="T100" s="682">
        <f t="shared" si="30"/>
        <v>1728.3502499999997</v>
      </c>
      <c r="U100" s="682">
        <f>U96-U97</f>
        <v>1862.8182500000003</v>
      </c>
      <c r="V100" s="682">
        <f>V96-V97</f>
        <v>1869.3366785714284</v>
      </c>
      <c r="W100" s="440"/>
      <c r="X100" s="440"/>
      <c r="Y100" s="440"/>
      <c r="Z100" s="440"/>
      <c r="AA100" s="440"/>
      <c r="AB100" s="440"/>
      <c r="AC100" s="440"/>
      <c r="AD100" s="440"/>
      <c r="AE100" s="440"/>
      <c r="AF100" s="440"/>
      <c r="AG100" s="508"/>
    </row>
    <row r="101" spans="2:33" ht="20.5" customHeight="1" x14ac:dyDescent="0.35">
      <c r="B101" s="698" t="s">
        <v>802</v>
      </c>
      <c r="C101" s="699"/>
      <c r="D101" s="705">
        <f t="shared" ref="D101:I101" si="31">D12-D14-D17-D35</f>
        <v>1410.9</v>
      </c>
      <c r="E101" s="668">
        <f t="shared" si="31"/>
        <v>1471.1999999999998</v>
      </c>
      <c r="F101" s="668">
        <f t="shared" si="31"/>
        <v>1477.1000000000001</v>
      </c>
      <c r="G101" s="668">
        <f t="shared" si="31"/>
        <v>1484</v>
      </c>
      <c r="H101" s="668">
        <f t="shared" si="31"/>
        <v>1492</v>
      </c>
      <c r="I101" s="668">
        <f t="shared" si="31"/>
        <v>1543.2999999999997</v>
      </c>
      <c r="J101" s="706">
        <f>I101+($H$101-$E$101)/3</f>
        <v>1550.2333333333331</v>
      </c>
      <c r="K101" s="706">
        <f>J101+($H$101-$E$101)/3</f>
        <v>1557.1666666666665</v>
      </c>
      <c r="L101" s="706">
        <f>K101+($H$101-$E$101)/3</f>
        <v>1564.1</v>
      </c>
      <c r="M101" s="707">
        <f>L101+($H$101-$E$101)/3 +(M105-L105)</f>
        <v>1588.5533333333333</v>
      </c>
      <c r="N101" s="706">
        <f>M101+($H$101-$E$101)/3</f>
        <v>1595.4866666666667</v>
      </c>
      <c r="O101" s="706">
        <f>N101+($H$101-$E$101)/3</f>
        <v>1602.42</v>
      </c>
      <c r="P101" s="706">
        <f>O101+($H$101-$E$101)/3</f>
        <v>1609.3533333333335</v>
      </c>
      <c r="Q101" s="707">
        <f>P101+($H$101-$E$101)/3 + 0.06*Q105</f>
        <v>1688.207466666667</v>
      </c>
      <c r="R101" s="706">
        <f>Q101+($H$101-$E$101)/3</f>
        <v>1695.1408000000004</v>
      </c>
      <c r="S101" s="706">
        <f>R101+($H$101-$E$101)/3</f>
        <v>1702.0741333333337</v>
      </c>
      <c r="T101" s="706">
        <f>S101+($H$101-$E$101)/3</f>
        <v>1709.0074666666671</v>
      </c>
      <c r="U101" s="706">
        <f>T101+U102</f>
        <v>1822.5884450000005</v>
      </c>
      <c r="V101" s="706">
        <f>U101+V102</f>
        <v>1829.5217783333339</v>
      </c>
      <c r="W101" s="700">
        <f t="shared" ref="W101:AF101" si="32">V101+W102</f>
        <v>1836.4551116666673</v>
      </c>
      <c r="X101" s="700">
        <f t="shared" si="32"/>
        <v>1843.3884450000007</v>
      </c>
      <c r="Y101" s="700">
        <f t="shared" si="32"/>
        <v>1892.9800005333341</v>
      </c>
      <c r="Z101" s="700">
        <f t="shared" si="32"/>
        <v>1899.9133338666675</v>
      </c>
      <c r="AA101" s="700">
        <f t="shared" si="32"/>
        <v>1906.8466672000009</v>
      </c>
      <c r="AB101" s="700">
        <f t="shared" si="32"/>
        <v>1913.7800005333343</v>
      </c>
      <c r="AC101" s="700">
        <f t="shared" si="32"/>
        <v>1950.3705249626676</v>
      </c>
      <c r="AD101" s="700">
        <f t="shared" si="32"/>
        <v>1957.303858296001</v>
      </c>
      <c r="AE101" s="700">
        <f t="shared" si="32"/>
        <v>1964.2371916293343</v>
      </c>
      <c r="AF101" s="700">
        <f t="shared" si="32"/>
        <v>1971.1705249626677</v>
      </c>
      <c r="AG101" s="508"/>
    </row>
    <row r="102" spans="2:33" ht="20.5" customHeight="1" x14ac:dyDescent="0.35">
      <c r="B102" s="701" t="s">
        <v>1808</v>
      </c>
      <c r="C102" s="240"/>
      <c r="D102" s="715"/>
      <c r="E102" s="441"/>
      <c r="F102" s="441"/>
      <c r="G102" s="441"/>
      <c r="H102" s="441"/>
      <c r="I102" s="441"/>
      <c r="J102" s="683"/>
      <c r="K102" s="683"/>
      <c r="L102" s="683"/>
      <c r="M102" s="708"/>
      <c r="N102" s="683"/>
      <c r="O102" s="683"/>
      <c r="P102" s="683"/>
      <c r="Q102" s="708"/>
      <c r="R102" s="683"/>
      <c r="S102" s="683"/>
      <c r="T102" s="683"/>
      <c r="U102" s="683">
        <f>U103+U104</f>
        <v>113.58097833333339</v>
      </c>
      <c r="V102" s="683">
        <f>V103+V104</f>
        <v>6.933333333333394</v>
      </c>
      <c r="W102" s="440">
        <f t="shared" ref="W102:AF102" si="33">W103+W108*W105</f>
        <v>6.933333333333394</v>
      </c>
      <c r="X102" s="440">
        <f t="shared" si="33"/>
        <v>6.933333333333394</v>
      </c>
      <c r="Y102" s="440">
        <f t="shared" si="33"/>
        <v>49.591555533333391</v>
      </c>
      <c r="Z102" s="440">
        <f t="shared" si="33"/>
        <v>6.933333333333394</v>
      </c>
      <c r="AA102" s="440">
        <f t="shared" si="33"/>
        <v>6.933333333333394</v>
      </c>
      <c r="AB102" s="440">
        <f t="shared" si="33"/>
        <v>6.933333333333394</v>
      </c>
      <c r="AC102" s="440">
        <f t="shared" si="33"/>
        <v>36.590524429333399</v>
      </c>
      <c r="AD102" s="440">
        <f t="shared" si="33"/>
        <v>6.933333333333394</v>
      </c>
      <c r="AE102" s="440">
        <f t="shared" si="33"/>
        <v>6.933333333333394</v>
      </c>
      <c r="AF102" s="440">
        <f t="shared" si="33"/>
        <v>6.933333333333394</v>
      </c>
      <c r="AG102" s="508"/>
    </row>
    <row r="103" spans="2:33" ht="28.4" customHeight="1" x14ac:dyDescent="0.35">
      <c r="B103" s="702" t="s">
        <v>1805</v>
      </c>
      <c r="C103" s="240"/>
      <c r="D103" s="715"/>
      <c r="E103" s="441"/>
      <c r="F103" s="441"/>
      <c r="G103" s="441"/>
      <c r="H103" s="441"/>
      <c r="I103" s="441"/>
      <c r="J103" s="683"/>
      <c r="K103" s="683"/>
      <c r="L103" s="683"/>
      <c r="M103" s="708"/>
      <c r="N103" s="683"/>
      <c r="O103" s="683"/>
      <c r="P103" s="683"/>
      <c r="Q103" s="708"/>
      <c r="R103" s="683"/>
      <c r="S103" s="683"/>
      <c r="T103" s="683"/>
      <c r="U103" s="683">
        <f>($H$101-$E$101)/3</f>
        <v>6.933333333333394</v>
      </c>
      <c r="V103" s="683">
        <f>($H$101-$E$101)/3</f>
        <v>6.933333333333394</v>
      </c>
      <c r="W103" s="440">
        <f t="shared" ref="W103:AF103" si="34">V103</f>
        <v>6.933333333333394</v>
      </c>
      <c r="X103" s="440">
        <f t="shared" si="34"/>
        <v>6.933333333333394</v>
      </c>
      <c r="Y103" s="440">
        <f t="shared" si="34"/>
        <v>6.933333333333394</v>
      </c>
      <c r="Z103" s="440">
        <f t="shared" si="34"/>
        <v>6.933333333333394</v>
      </c>
      <c r="AA103" s="440">
        <f t="shared" si="34"/>
        <v>6.933333333333394</v>
      </c>
      <c r="AB103" s="440">
        <f t="shared" si="34"/>
        <v>6.933333333333394</v>
      </c>
      <c r="AC103" s="440">
        <f t="shared" si="34"/>
        <v>6.933333333333394</v>
      </c>
      <c r="AD103" s="440">
        <f t="shared" si="34"/>
        <v>6.933333333333394</v>
      </c>
      <c r="AE103" s="440">
        <f t="shared" si="34"/>
        <v>6.933333333333394</v>
      </c>
      <c r="AF103" s="440">
        <f t="shared" si="34"/>
        <v>6.933333333333394</v>
      </c>
      <c r="AG103" s="508"/>
    </row>
    <row r="104" spans="2:33" ht="30.65" customHeight="1" x14ac:dyDescent="0.35">
      <c r="B104" s="703" t="s">
        <v>1806</v>
      </c>
      <c r="C104" s="704"/>
      <c r="D104" s="709"/>
      <c r="E104" s="669"/>
      <c r="F104" s="669"/>
      <c r="G104" s="669"/>
      <c r="H104" s="669"/>
      <c r="I104" s="669"/>
      <c r="J104" s="710"/>
      <c r="K104" s="710"/>
      <c r="L104" s="710"/>
      <c r="M104" s="711"/>
      <c r="N104" s="710"/>
      <c r="O104" s="710"/>
      <c r="P104" s="710"/>
      <c r="Q104" s="711"/>
      <c r="R104" s="710"/>
      <c r="S104" s="710"/>
      <c r="T104" s="710"/>
      <c r="U104" s="710">
        <f>U108*T105</f>
        <v>106.647645</v>
      </c>
      <c r="V104" s="710">
        <f>V108*U105</f>
        <v>0</v>
      </c>
      <c r="W104" s="712">
        <f t="shared" ref="W104:AF104" si="35">W108*V105</f>
        <v>0</v>
      </c>
      <c r="X104" s="712">
        <f t="shared" si="35"/>
        <v>0</v>
      </c>
      <c r="Y104" s="712">
        <f>Y108*X105</f>
        <v>41.182740000000003</v>
      </c>
      <c r="Z104" s="712">
        <f t="shared" si="35"/>
        <v>0</v>
      </c>
      <c r="AA104" s="712">
        <f t="shared" si="35"/>
        <v>0</v>
      </c>
      <c r="AB104" s="712">
        <f t="shared" si="35"/>
        <v>0</v>
      </c>
      <c r="AC104" s="712">
        <f t="shared" si="35"/>
        <v>28.9188148</v>
      </c>
      <c r="AD104" s="712">
        <f t="shared" si="35"/>
        <v>0</v>
      </c>
      <c r="AE104" s="712">
        <f t="shared" si="35"/>
        <v>0</v>
      </c>
      <c r="AF104" s="712">
        <f t="shared" si="35"/>
        <v>0</v>
      </c>
      <c r="AG104" s="508"/>
    </row>
    <row r="105" spans="2:33" ht="17.5" customHeight="1" x14ac:dyDescent="0.35">
      <c r="B105" s="551" t="s">
        <v>475</v>
      </c>
      <c r="C105" s="240" t="s">
        <v>476</v>
      </c>
      <c r="D105" s="715">
        <f>'Haver Pivoted'!GO88/1000</f>
        <v>983.86099999999999</v>
      </c>
      <c r="E105" s="441">
        <f>'Haver Pivoted'!GP88/1000</f>
        <v>1019.17</v>
      </c>
      <c r="F105" s="441">
        <f>'Haver Pivoted'!GQ88/1000</f>
        <v>1026.74</v>
      </c>
      <c r="G105" s="441">
        <f>'Haver Pivoted'!GR88/1000</f>
        <v>1034.364</v>
      </c>
      <c r="H105" s="441">
        <f>'Haver Pivoted'!GS88/1000</f>
        <v>1042.6969999999999</v>
      </c>
      <c r="I105" s="441">
        <f>'Haver Pivoted'!GT88/1000</f>
        <v>1068.172</v>
      </c>
      <c r="J105" s="441">
        <f>'Haver Pivoted'!GU88/1000</f>
        <v>1075.0809999999999</v>
      </c>
      <c r="K105" s="441">
        <f>'Haver Pivoted'!GV88/1000</f>
        <v>1080.296</v>
      </c>
      <c r="L105" s="441">
        <f>'Haver Pivoted'!GW88/1000</f>
        <v>1088.164</v>
      </c>
      <c r="M105" s="441">
        <f>'Haver Pivoted'!GX88/1000</f>
        <v>1105.684</v>
      </c>
      <c r="N105" s="441">
        <f>'Haver Pivoted'!GY88/1000</f>
        <v>1109.6220000000001</v>
      </c>
      <c r="O105" s="441">
        <f>'Haver Pivoted'!GZ88/1000</f>
        <v>1116.8399999999999</v>
      </c>
      <c r="P105" s="441">
        <f>'Haver Pivoted'!HA88/1000</f>
        <v>1126.2539999999999</v>
      </c>
      <c r="Q105" s="441">
        <f>'Haver Pivoted'!HB88/1000</f>
        <v>1198.68</v>
      </c>
      <c r="R105" s="441">
        <f>'Haver Pivoted'!HC88/1000</f>
        <v>1207.049</v>
      </c>
      <c r="S105" s="682">
        <f>'Haver Pivoted'!HD88/1000</f>
        <v>1214.451</v>
      </c>
      <c r="T105" s="682">
        <f>'Haver Pivoted'!HE88/1000</f>
        <v>1225.835</v>
      </c>
      <c r="U105" s="682">
        <f>'Haver Pivoted'!HF88/1000</f>
        <v>1339.9770000000001</v>
      </c>
      <c r="V105" s="682">
        <f>'Haver Pivoted'!HG88/1000</f>
        <v>1353.758</v>
      </c>
      <c r="W105" s="440">
        <f t="shared" ref="W105:AF105" si="36">V105+W106</f>
        <v>1364.758</v>
      </c>
      <c r="X105" s="440">
        <f t="shared" si="36"/>
        <v>1372.758</v>
      </c>
      <c r="Y105" s="440">
        <f t="shared" si="36"/>
        <v>1421.94074</v>
      </c>
      <c r="Z105" s="440">
        <f t="shared" si="36"/>
        <v>1429.94074</v>
      </c>
      <c r="AA105" s="440">
        <f t="shared" si="36"/>
        <v>1437.94074</v>
      </c>
      <c r="AB105" s="440">
        <f t="shared" si="36"/>
        <v>1445.94074</v>
      </c>
      <c r="AC105" s="440">
        <f t="shared" si="36"/>
        <v>1482.8595548000001</v>
      </c>
      <c r="AD105" s="440">
        <f t="shared" si="36"/>
        <v>1491.8595548000001</v>
      </c>
      <c r="AE105" s="440">
        <f t="shared" si="36"/>
        <v>1501.8595548000001</v>
      </c>
      <c r="AF105" s="440">
        <f t="shared" si="36"/>
        <v>1512.8595548000001</v>
      </c>
      <c r="AG105" s="508"/>
    </row>
    <row r="106" spans="2:33" ht="17.5" customHeight="1" x14ac:dyDescent="0.35">
      <c r="B106" s="425" t="s">
        <v>1807</v>
      </c>
      <c r="C106" s="240"/>
      <c r="D106" s="715"/>
      <c r="E106" s="441"/>
      <c r="F106" s="441"/>
      <c r="G106" s="441"/>
      <c r="H106" s="441"/>
      <c r="I106" s="441"/>
      <c r="J106" s="441"/>
      <c r="K106" s="441"/>
      <c r="L106" s="441"/>
      <c r="M106" s="441"/>
      <c r="N106" s="441"/>
      <c r="O106" s="441"/>
      <c r="P106" s="441"/>
      <c r="Q106" s="441"/>
      <c r="R106" s="441"/>
      <c r="S106" s="682"/>
      <c r="T106" s="682"/>
      <c r="U106" s="682">
        <f>U104+U107</f>
        <v>114.647645</v>
      </c>
      <c r="V106" s="682">
        <f>V104+V107</f>
        <v>8</v>
      </c>
      <c r="W106" s="440">
        <f t="shared" ref="W106:AF106" si="37">W104+W107</f>
        <v>11</v>
      </c>
      <c r="X106" s="440">
        <f t="shared" si="37"/>
        <v>8</v>
      </c>
      <c r="Y106" s="440">
        <f>Y104+Y107</f>
        <v>49.182740000000003</v>
      </c>
      <c r="Z106" s="440">
        <f t="shared" si="37"/>
        <v>8</v>
      </c>
      <c r="AA106" s="440">
        <f t="shared" si="37"/>
        <v>8</v>
      </c>
      <c r="AB106" s="440">
        <f t="shared" si="37"/>
        <v>8</v>
      </c>
      <c r="AC106" s="440">
        <f t="shared" si="37"/>
        <v>36.9188148</v>
      </c>
      <c r="AD106" s="440">
        <f t="shared" si="37"/>
        <v>9</v>
      </c>
      <c r="AE106" s="440">
        <f t="shared" si="37"/>
        <v>10</v>
      </c>
      <c r="AF106" s="440">
        <f t="shared" si="37"/>
        <v>11</v>
      </c>
      <c r="AG106" s="508"/>
    </row>
    <row r="107" spans="2:33" ht="17.5" customHeight="1" x14ac:dyDescent="0.35">
      <c r="B107" s="416" t="s">
        <v>1810</v>
      </c>
      <c r="C107" s="240"/>
      <c r="D107" s="715"/>
      <c r="E107" s="441"/>
      <c r="F107" s="441"/>
      <c r="G107" s="441"/>
      <c r="H107" s="441"/>
      <c r="I107" s="441"/>
      <c r="J107" s="441"/>
      <c r="K107" s="441"/>
      <c r="L107" s="441"/>
      <c r="M107" s="441"/>
      <c r="N107" s="441"/>
      <c r="O107" s="441"/>
      <c r="P107" s="441"/>
      <c r="Q107" s="441"/>
      <c r="R107" s="441"/>
      <c r="S107" s="682"/>
      <c r="T107" s="682"/>
      <c r="U107" s="682">
        <v>8</v>
      </c>
      <c r="V107" s="682">
        <v>8</v>
      </c>
      <c r="W107" s="440">
        <v>11</v>
      </c>
      <c r="X107" s="440">
        <v>8</v>
      </c>
      <c r="Y107" s="440">
        <v>8</v>
      </c>
      <c r="Z107" s="440">
        <v>8</v>
      </c>
      <c r="AA107" s="440">
        <v>8</v>
      </c>
      <c r="AB107" s="440">
        <v>8</v>
      </c>
      <c r="AC107" s="440">
        <v>8</v>
      </c>
      <c r="AD107" s="440">
        <v>9</v>
      </c>
      <c r="AE107" s="440">
        <v>10</v>
      </c>
      <c r="AF107" s="440">
        <v>11</v>
      </c>
      <c r="AG107" s="508"/>
    </row>
    <row r="108" spans="2:33" ht="39" customHeight="1" x14ac:dyDescent="0.35">
      <c r="B108" s="416" t="s">
        <v>1811</v>
      </c>
      <c r="C108" s="240"/>
      <c r="D108" s="715"/>
      <c r="E108" s="441"/>
      <c r="F108" s="441"/>
      <c r="G108" s="441"/>
      <c r="H108" s="441"/>
      <c r="I108" s="669"/>
      <c r="J108" s="669"/>
      <c r="K108" s="669"/>
      <c r="L108" s="669"/>
      <c r="M108" s="669"/>
      <c r="N108" s="669"/>
      <c r="O108" s="669"/>
      <c r="P108" s="669"/>
      <c r="Q108" s="669"/>
      <c r="R108" s="669"/>
      <c r="S108" s="713"/>
      <c r="T108" s="713"/>
      <c r="U108" s="684">
        <v>8.6999999999999994E-2</v>
      </c>
      <c r="V108" s="670">
        <v>0</v>
      </c>
      <c r="W108" s="714">
        <v>0</v>
      </c>
      <c r="X108" s="714">
        <v>0</v>
      </c>
      <c r="Y108" s="714">
        <v>0.03</v>
      </c>
      <c r="Z108" s="714">
        <v>0</v>
      </c>
      <c r="AA108" s="714">
        <v>0</v>
      </c>
      <c r="AB108" s="714">
        <v>0</v>
      </c>
      <c r="AC108" s="714">
        <v>0.02</v>
      </c>
      <c r="AD108" s="714">
        <v>0</v>
      </c>
      <c r="AE108" s="714">
        <v>0</v>
      </c>
      <c r="AF108" s="714">
        <v>0</v>
      </c>
      <c r="AG108" s="508"/>
    </row>
    <row r="109" spans="2:33" ht="49.75" customHeight="1" x14ac:dyDescent="0.35">
      <c r="B109" s="481" t="s">
        <v>1432</v>
      </c>
      <c r="C109" s="240"/>
      <c r="D109" s="715">
        <f t="shared" ref="D109:T109" si="38">D100-D101</f>
        <v>0</v>
      </c>
      <c r="E109" s="441">
        <f t="shared" si="38"/>
        <v>0</v>
      </c>
      <c r="F109" s="441">
        <f t="shared" si="38"/>
        <v>0</v>
      </c>
      <c r="G109" s="441">
        <f t="shared" si="38"/>
        <v>0</v>
      </c>
      <c r="H109" s="441">
        <f t="shared" si="38"/>
        <v>0</v>
      </c>
      <c r="I109" s="441">
        <f t="shared" si="38"/>
        <v>-6.6417499999997744</v>
      </c>
      <c r="J109" s="441">
        <f t="shared" si="38"/>
        <v>-38.222083333332648</v>
      </c>
      <c r="K109" s="441">
        <f t="shared" si="38"/>
        <v>84.695583333333389</v>
      </c>
      <c r="L109" s="441">
        <f t="shared" si="38"/>
        <v>16.60225000000014</v>
      </c>
      <c r="M109" s="441">
        <f t="shared" si="38"/>
        <v>16.668916666666519</v>
      </c>
      <c r="N109" s="441">
        <f t="shared" si="38"/>
        <v>-12.19925666666677</v>
      </c>
      <c r="O109" s="441">
        <f t="shared" si="38"/>
        <v>-14.628243333333103</v>
      </c>
      <c r="P109" s="441">
        <f t="shared" si="38"/>
        <v>-31.382416666666586</v>
      </c>
      <c r="Q109" s="441">
        <f t="shared" si="38"/>
        <v>-3.1812166666670691</v>
      </c>
      <c r="R109" s="441">
        <f t="shared" si="38"/>
        <v>-1.8405500000005759</v>
      </c>
      <c r="S109" s="682">
        <f t="shared" si="38"/>
        <v>-17.699883333333901</v>
      </c>
      <c r="T109" s="682">
        <f t="shared" si="38"/>
        <v>19.342783333332591</v>
      </c>
      <c r="U109" s="682">
        <f>U100-U101</f>
        <v>40.229804999999715</v>
      </c>
      <c r="V109" s="682">
        <f>V100-V101</f>
        <v>39.814900238094424</v>
      </c>
      <c r="W109" s="440">
        <f t="shared" ref="W109:AF109" si="39">V109</f>
        <v>39.814900238094424</v>
      </c>
      <c r="X109" s="440">
        <f t="shared" si="39"/>
        <v>39.814900238094424</v>
      </c>
      <c r="Y109" s="440">
        <f t="shared" si="39"/>
        <v>39.814900238094424</v>
      </c>
      <c r="Z109" s="440">
        <f t="shared" si="39"/>
        <v>39.814900238094424</v>
      </c>
      <c r="AA109" s="440">
        <f t="shared" si="39"/>
        <v>39.814900238094424</v>
      </c>
      <c r="AB109" s="440">
        <f t="shared" si="39"/>
        <v>39.814900238094424</v>
      </c>
      <c r="AC109" s="440">
        <f t="shared" si="39"/>
        <v>39.814900238094424</v>
      </c>
      <c r="AD109" s="440">
        <f t="shared" si="39"/>
        <v>39.814900238094424</v>
      </c>
      <c r="AE109" s="440">
        <f t="shared" si="39"/>
        <v>39.814900238094424</v>
      </c>
      <c r="AF109" s="440">
        <f t="shared" si="39"/>
        <v>39.814900238094424</v>
      </c>
      <c r="AG109" s="508"/>
    </row>
    <row r="110" spans="2:33" ht="29.5" customHeight="1" x14ac:dyDescent="0.35">
      <c r="B110" s="283"/>
      <c r="C110" s="240"/>
      <c r="D110" s="223"/>
      <c r="E110" s="223"/>
      <c r="F110" s="223"/>
      <c r="G110" s="223"/>
      <c r="H110" s="223"/>
      <c r="I110" s="223"/>
      <c r="J110" s="223"/>
      <c r="K110" s="223"/>
      <c r="L110" s="223"/>
      <c r="M110" s="223"/>
      <c r="N110" s="223"/>
      <c r="O110" s="223"/>
      <c r="P110" s="223"/>
      <c r="Q110" s="223"/>
      <c r="R110" s="223"/>
      <c r="S110" s="223"/>
      <c r="T110" s="223"/>
      <c r="U110" s="223"/>
      <c r="V110" s="223"/>
      <c r="W110" s="223"/>
      <c r="X110" s="223"/>
      <c r="Y110" s="223"/>
      <c r="Z110" s="223"/>
      <c r="AA110" s="223"/>
      <c r="AB110" s="223"/>
      <c r="AC110" s="223"/>
    </row>
    <row r="111" spans="2:33" ht="16.75" customHeight="1" x14ac:dyDescent="0.35">
      <c r="B111" s="240"/>
      <c r="C111" s="240"/>
      <c r="S111" s="555"/>
      <c r="T111" s="555"/>
      <c r="U111" s="240"/>
      <c r="V111" s="240"/>
      <c r="W111" s="240"/>
      <c r="X111" s="240"/>
      <c r="Y111" s="240"/>
      <c r="Z111" s="240"/>
      <c r="AA111" s="240"/>
      <c r="AB111" s="240"/>
      <c r="AC111" s="240"/>
    </row>
    <row r="112" spans="2:33" ht="16.75" customHeight="1" x14ac:dyDescent="0.35">
      <c r="B112" s="240"/>
      <c r="C112" s="240"/>
      <c r="S112" s="223"/>
      <c r="T112" s="223"/>
      <c r="U112" s="240"/>
      <c r="V112" s="240"/>
      <c r="W112" s="240"/>
      <c r="X112" s="240"/>
      <c r="Y112" s="240"/>
      <c r="Z112" s="240"/>
      <c r="AA112" s="240"/>
      <c r="AB112" s="240"/>
      <c r="AC112" s="240"/>
    </row>
    <row r="113" spans="2:30" ht="16.75" customHeight="1" x14ac:dyDescent="0.35">
      <c r="B113" s="240"/>
      <c r="C113" s="240"/>
      <c r="S113" s="223"/>
      <c r="T113" s="223"/>
      <c r="U113" s="240"/>
      <c r="V113" s="240"/>
      <c r="W113" s="240"/>
      <c r="X113" s="240"/>
      <c r="Y113" s="240"/>
      <c r="Z113" s="240"/>
      <c r="AA113" s="240"/>
      <c r="AB113" s="240"/>
      <c r="AC113" s="240"/>
    </row>
    <row r="114" spans="2:30" ht="16.75" customHeight="1" x14ac:dyDescent="0.35">
      <c r="B114" s="240"/>
      <c r="C114" s="240"/>
      <c r="S114" s="223"/>
      <c r="T114" s="223"/>
      <c r="U114" s="441"/>
      <c r="V114" s="441"/>
      <c r="W114" s="441"/>
      <c r="X114" s="441"/>
      <c r="Y114" s="441"/>
      <c r="Z114" s="441"/>
      <c r="AA114" s="441"/>
      <c r="AB114" s="441"/>
      <c r="AC114" s="441"/>
      <c r="AD114" s="520"/>
    </row>
    <row r="115" spans="2:30" ht="16.75" customHeight="1" x14ac:dyDescent="0.35">
      <c r="B115" s="472"/>
      <c r="C115" s="240"/>
      <c r="S115" s="223"/>
      <c r="T115" s="223"/>
      <c r="U115" s="223"/>
      <c r="V115" s="223"/>
      <c r="W115" s="223"/>
      <c r="X115" s="223"/>
      <c r="Y115" s="223"/>
      <c r="Z115" s="223"/>
      <c r="AA115" s="223"/>
      <c r="AB115" s="223"/>
      <c r="AC115" s="223"/>
      <c r="AD115" s="520"/>
    </row>
    <row r="116" spans="2:30" ht="16.75" customHeight="1" x14ac:dyDescent="0.35">
      <c r="B116" s="472"/>
      <c r="C116" s="240"/>
      <c r="S116" s="223"/>
      <c r="T116" s="223"/>
      <c r="U116" s="223"/>
      <c r="V116" s="223"/>
      <c r="W116" s="223"/>
      <c r="X116" s="223"/>
      <c r="Y116" s="223"/>
      <c r="Z116" s="223"/>
      <c r="AA116" s="223"/>
      <c r="AB116" s="223"/>
      <c r="AC116" s="223"/>
      <c r="AD116" s="520"/>
    </row>
    <row r="117" spans="2:30" ht="16.75" customHeight="1" x14ac:dyDescent="0.35">
      <c r="B117" s="472"/>
      <c r="C117" s="240"/>
      <c r="S117" s="223"/>
      <c r="T117" s="223"/>
      <c r="U117" s="223"/>
      <c r="V117" s="223"/>
      <c r="W117" s="223"/>
      <c r="X117" s="223"/>
      <c r="Y117" s="223"/>
      <c r="Z117" s="223"/>
      <c r="AA117" s="223"/>
      <c r="AB117" s="223"/>
      <c r="AC117" s="223"/>
      <c r="AD117" s="520"/>
    </row>
    <row r="118" spans="2:30" ht="16.75" customHeight="1" x14ac:dyDescent="0.35">
      <c r="B118" s="240"/>
      <c r="C118" s="240"/>
      <c r="S118" s="240"/>
      <c r="T118" s="240"/>
      <c r="U118" s="441"/>
      <c r="V118" s="441"/>
      <c r="W118" s="441"/>
      <c r="X118" s="441"/>
      <c r="Y118" s="441"/>
      <c r="Z118" s="441"/>
      <c r="AA118" s="441"/>
      <c r="AB118" s="441"/>
      <c r="AC118" s="441"/>
      <c r="AD118" s="520"/>
    </row>
    <row r="119" spans="2:30" ht="16.75" customHeight="1" x14ac:dyDescent="0.35">
      <c r="B119" s="472"/>
      <c r="C119" s="240"/>
      <c r="S119" s="240"/>
      <c r="T119" s="240"/>
      <c r="U119" s="441"/>
      <c r="V119" s="441"/>
      <c r="W119" s="441"/>
      <c r="X119" s="441"/>
      <c r="Y119" s="441"/>
      <c r="Z119" s="441"/>
      <c r="AA119" s="441"/>
      <c r="AB119" s="441"/>
      <c r="AC119" s="441"/>
      <c r="AD119" s="520"/>
    </row>
    <row r="120" spans="2:30" ht="16.75" customHeight="1" x14ac:dyDescent="0.35">
      <c r="B120" s="472"/>
      <c r="C120" s="240"/>
      <c r="S120" s="240"/>
      <c r="T120" s="240"/>
      <c r="U120" s="223"/>
      <c r="V120" s="223"/>
      <c r="W120" s="223"/>
      <c r="X120" s="223"/>
      <c r="Y120" s="223"/>
      <c r="Z120" s="223"/>
      <c r="AA120" s="223"/>
      <c r="AB120" s="223"/>
      <c r="AC120" s="223"/>
      <c r="AD120" s="520"/>
    </row>
    <row r="121" spans="2:30" ht="16.75" customHeight="1" x14ac:dyDescent="0.35">
      <c r="B121" s="472"/>
      <c r="C121" s="240"/>
      <c r="S121" s="240"/>
      <c r="T121" s="240"/>
      <c r="U121" s="685"/>
      <c r="V121" s="685"/>
      <c r="W121" s="685"/>
      <c r="X121" s="685"/>
      <c r="Y121" s="685"/>
      <c r="Z121" s="685"/>
      <c r="AA121" s="685"/>
      <c r="AB121" s="685"/>
      <c r="AC121" s="685"/>
      <c r="AD121" s="520"/>
    </row>
    <row r="122" spans="2:30" ht="16.75" customHeight="1" x14ac:dyDescent="0.35">
      <c r="B122" s="240"/>
      <c r="C122" s="240"/>
      <c r="S122" s="223"/>
      <c r="T122" s="223"/>
      <c r="U122" s="223"/>
      <c r="V122" s="223"/>
      <c r="W122" s="223"/>
      <c r="X122" s="223"/>
      <c r="Y122" s="223"/>
      <c r="Z122" s="223"/>
      <c r="AA122" s="223"/>
      <c r="AB122" s="223"/>
      <c r="AC122" s="223"/>
      <c r="AD122" s="520"/>
    </row>
    <row r="123" spans="2:30" ht="22.5" customHeight="1" x14ac:dyDescent="0.35">
      <c r="B123" s="283"/>
      <c r="C123" s="240"/>
      <c r="D123" s="223"/>
      <c r="E123" s="223"/>
      <c r="F123" s="223"/>
      <c r="G123" s="223"/>
      <c r="H123" s="223"/>
      <c r="I123" s="223"/>
      <c r="J123" s="223"/>
      <c r="K123" s="223"/>
      <c r="L123" s="223"/>
      <c r="M123" s="223"/>
      <c r="N123" s="223"/>
      <c r="O123" s="223"/>
      <c r="P123" s="223"/>
      <c r="Q123" s="223"/>
      <c r="R123" s="223"/>
      <c r="S123" s="223"/>
      <c r="T123" s="223"/>
      <c r="U123" s="223"/>
      <c r="V123" s="223"/>
      <c r="W123" s="223"/>
      <c r="X123" s="223"/>
      <c r="Y123" s="223"/>
      <c r="Z123" s="223"/>
      <c r="AA123" s="223"/>
      <c r="AB123" s="223"/>
      <c r="AC123" s="223"/>
    </row>
    <row r="124" spans="2:30" ht="22.5" customHeight="1" x14ac:dyDescent="0.35">
      <c r="B124" s="283"/>
      <c r="C124" s="240"/>
      <c r="D124" s="223"/>
      <c r="E124" s="223"/>
      <c r="F124" s="223"/>
      <c r="G124" s="223"/>
      <c r="H124" s="223"/>
      <c r="I124" s="223"/>
      <c r="J124" s="223"/>
      <c r="K124" s="223"/>
      <c r="L124" s="223"/>
      <c r="M124" s="223"/>
      <c r="N124" s="223"/>
      <c r="O124" s="223"/>
      <c r="P124" s="223"/>
      <c r="Q124" s="223"/>
      <c r="R124" s="223"/>
      <c r="S124" s="223"/>
      <c r="T124" s="223"/>
      <c r="U124" s="223"/>
      <c r="V124" s="223"/>
      <c r="W124" s="223"/>
      <c r="X124" s="223"/>
      <c r="Y124" s="223"/>
      <c r="Z124" s="223"/>
      <c r="AA124" s="223"/>
      <c r="AB124" s="223"/>
      <c r="AC124" s="223"/>
    </row>
    <row r="125" spans="2:30" ht="38.5" customHeight="1" x14ac:dyDescent="0.35">
      <c r="B125" s="490"/>
      <c r="C125" s="717">
        <v>2022</v>
      </c>
      <c r="D125" s="718">
        <v>2023</v>
      </c>
      <c r="E125" s="718">
        <v>2024</v>
      </c>
      <c r="F125" s="719">
        <v>2025</v>
      </c>
      <c r="G125" s="223">
        <v>2026</v>
      </c>
      <c r="H125" s="223"/>
      <c r="I125" s="223"/>
      <c r="J125" s="223"/>
      <c r="K125" s="223"/>
      <c r="L125" s="223"/>
      <c r="M125" s="223"/>
      <c r="N125" s="223"/>
      <c r="O125" s="223"/>
      <c r="P125" s="223"/>
      <c r="Q125" s="223"/>
      <c r="R125" s="223"/>
      <c r="S125" s="223"/>
      <c r="T125" s="223"/>
      <c r="U125" s="223"/>
      <c r="V125" s="223"/>
      <c r="W125" s="223"/>
      <c r="X125" s="223"/>
      <c r="Y125" s="223"/>
      <c r="Z125" s="223"/>
      <c r="AA125" s="223"/>
      <c r="AB125" s="223"/>
      <c r="AC125" s="223"/>
    </row>
    <row r="126" spans="2:30" ht="38.5" customHeight="1" x14ac:dyDescent="0.35">
      <c r="B126" s="529" t="s">
        <v>1804</v>
      </c>
      <c r="C126" s="266">
        <v>1212.4870000000001</v>
      </c>
      <c r="D126" s="266">
        <v>1344.7529999999999</v>
      </c>
      <c r="E126" s="266">
        <v>1456.7</v>
      </c>
      <c r="F126" s="266">
        <v>1553.5309999999999</v>
      </c>
      <c r="G126" s="266">
        <v>1643.9870000000001</v>
      </c>
      <c r="H126" s="223"/>
      <c r="I126" s="223"/>
      <c r="J126" s="223"/>
      <c r="K126" s="223"/>
      <c r="L126" s="223"/>
      <c r="M126" s="223"/>
      <c r="N126" s="223"/>
      <c r="O126" s="223"/>
      <c r="P126" s="223"/>
      <c r="Q126" s="223"/>
      <c r="R126" s="223"/>
      <c r="S126" s="223"/>
      <c r="T126" s="223"/>
      <c r="U126" s="223"/>
      <c r="V126" s="223"/>
      <c r="W126" s="223"/>
      <c r="X126" s="223"/>
      <c r="Y126" s="223"/>
      <c r="Z126" s="223"/>
      <c r="AA126" s="223"/>
      <c r="AB126" s="223"/>
      <c r="AC126" s="223"/>
    </row>
    <row r="127" spans="2:30" ht="69" customHeight="1" x14ac:dyDescent="0.35">
      <c r="B127" s="283"/>
      <c r="C127" s="240"/>
      <c r="D127" s="223"/>
      <c r="E127" s="223"/>
      <c r="F127" s="223"/>
      <c r="G127" s="223"/>
      <c r="H127" s="223"/>
      <c r="I127" s="223"/>
      <c r="J127" s="223"/>
      <c r="K127" s="223"/>
      <c r="L127" s="223"/>
      <c r="M127" s="223"/>
      <c r="N127" s="223"/>
      <c r="O127" s="223"/>
      <c r="P127" s="223"/>
      <c r="Q127" s="223"/>
      <c r="R127" s="223"/>
      <c r="S127" s="223"/>
      <c r="T127" s="223"/>
      <c r="U127" s="223"/>
      <c r="V127" s="223"/>
      <c r="W127" s="223"/>
      <c r="X127" s="223"/>
      <c r="Y127" s="223"/>
      <c r="Z127" s="223"/>
      <c r="AA127" s="223"/>
      <c r="AB127" s="223"/>
      <c r="AC127" s="223"/>
    </row>
    <row r="128" spans="2:30" x14ac:dyDescent="0.35">
      <c r="B128" s="75" t="s">
        <v>1431</v>
      </c>
      <c r="D128" s="240"/>
      <c r="E128" s="240"/>
      <c r="F128" s="240"/>
      <c r="G128" s="240"/>
      <c r="H128" s="240"/>
      <c r="I128" s="240"/>
      <c r="J128" s="240"/>
      <c r="K128" s="240"/>
      <c r="L128" s="240"/>
      <c r="M128" s="223"/>
      <c r="N128" s="223"/>
      <c r="O128" s="223"/>
      <c r="P128" s="240"/>
    </row>
    <row r="129" spans="2:18" x14ac:dyDescent="0.35">
      <c r="B129" s="565" t="s">
        <v>808</v>
      </c>
      <c r="C129" s="664"/>
      <c r="D129" s="731">
        <v>2021</v>
      </c>
      <c r="E129" s="731">
        <v>2022</v>
      </c>
      <c r="F129" s="731">
        <v>2023</v>
      </c>
      <c r="G129" s="732">
        <v>2024</v>
      </c>
      <c r="R129" s="520"/>
    </row>
    <row r="130" spans="2:18" x14ac:dyDescent="0.35">
      <c r="B130" s="633" t="s">
        <v>809</v>
      </c>
      <c r="C130" s="738"/>
      <c r="D130" s="726">
        <v>3605.8330000000001</v>
      </c>
      <c r="E130" s="726">
        <v>2900</v>
      </c>
      <c r="F130" s="726">
        <f>E130*1.02</f>
        <v>2958</v>
      </c>
      <c r="G130" s="727">
        <f>F130*1.06</f>
        <v>3135.48</v>
      </c>
    </row>
    <row r="131" spans="2:18" x14ac:dyDescent="0.35">
      <c r="B131" s="633" t="s">
        <v>812</v>
      </c>
      <c r="C131" s="728"/>
      <c r="D131" s="721">
        <f>AVERAGE(Medicare!L10:O10)</f>
        <v>858.02499999999998</v>
      </c>
      <c r="E131" s="721">
        <f>AVERAGE(Medicare!P10:S10)</f>
        <v>917.59999999999991</v>
      </c>
      <c r="F131" s="721">
        <f>AVERAGE(Medicare!T10:W10)</f>
        <v>940.125</v>
      </c>
      <c r="G131" s="736">
        <f>AVERAGE(Medicare!X10:AA10)</f>
        <v>973.33695177711047</v>
      </c>
    </row>
    <row r="132" spans="2:18" ht="13.4" customHeight="1" x14ac:dyDescent="0.35">
      <c r="B132" s="633" t="s">
        <v>810</v>
      </c>
      <c r="C132" s="728"/>
      <c r="D132" s="721">
        <f>D130-D131</f>
        <v>2747.808</v>
      </c>
      <c r="E132" s="721">
        <f t="shared" ref="E132:G132" si="40">E130-E131</f>
        <v>1982.4</v>
      </c>
      <c r="F132" s="721">
        <f t="shared" si="40"/>
        <v>2017.875</v>
      </c>
      <c r="G132" s="736">
        <f t="shared" si="40"/>
        <v>2162.1430482228898</v>
      </c>
    </row>
    <row r="133" spans="2:18" x14ac:dyDescent="0.35">
      <c r="B133" s="633" t="s">
        <v>813</v>
      </c>
      <c r="C133" s="728"/>
      <c r="D133" s="721">
        <f>AVERAGE(L12:O12)</f>
        <v>3640.3999999999996</v>
      </c>
      <c r="E133" s="721">
        <f>AVERAGE(P12:S12)</f>
        <v>2903.3749999999995</v>
      </c>
      <c r="F133" s="721">
        <f>AVERAGE(T12:W12)</f>
        <v>2965.6843958333334</v>
      </c>
      <c r="G133" s="736">
        <f>AVERAGE(X12:AA12)</f>
        <v>3159.3469636652062</v>
      </c>
    </row>
    <row r="134" spans="2:18" x14ac:dyDescent="0.35">
      <c r="B134" s="633" t="s">
        <v>812</v>
      </c>
      <c r="C134" s="728"/>
      <c r="D134" s="721">
        <f>AVERAGE(Medicare!L10:O10)</f>
        <v>858.02499999999998</v>
      </c>
      <c r="E134" s="721">
        <f>AVERAGE(Medicare!P10:S10)</f>
        <v>917.59999999999991</v>
      </c>
      <c r="F134" s="721">
        <f>AVERAGE(Medicare!T10:W10)</f>
        <v>940.125</v>
      </c>
      <c r="G134" s="736">
        <f>AVERAGE(Medicare!X10:AA10)</f>
        <v>973.33695177711047</v>
      </c>
    </row>
    <row r="135" spans="2:18" x14ac:dyDescent="0.35">
      <c r="B135" s="633" t="s">
        <v>532</v>
      </c>
      <c r="C135" s="728"/>
      <c r="D135" s="721">
        <f>AVERAGE(L39:O39)</f>
        <v>1587.6399999999999</v>
      </c>
      <c r="E135" s="721">
        <f>AVERAGE(P39:S39)</f>
        <v>1673.6939333333335</v>
      </c>
      <c r="F135" s="721">
        <f>AVERAGE(T39:W39)</f>
        <v>1799.3932004166672</v>
      </c>
      <c r="G135" s="736">
        <f>AVERAGE(X39:AA39)</f>
        <v>1885.7821116500008</v>
      </c>
    </row>
    <row r="136" spans="2:18" ht="27.65" customHeight="1" x14ac:dyDescent="0.35">
      <c r="B136" s="729" t="s">
        <v>811</v>
      </c>
      <c r="C136" s="357"/>
      <c r="D136" s="623"/>
      <c r="E136" s="733">
        <v>1.157</v>
      </c>
      <c r="F136" s="733">
        <v>1.0109999999999999</v>
      </c>
      <c r="G136" s="737">
        <v>1.0529999999999999</v>
      </c>
    </row>
    <row r="137" spans="2:18" x14ac:dyDescent="0.35">
      <c r="B137" s="240" t="s">
        <v>814</v>
      </c>
      <c r="D137" s="734">
        <f>D133-D130</f>
        <v>34.566999999999553</v>
      </c>
      <c r="E137" s="734">
        <f>E133-E130</f>
        <v>3.3749999999995453</v>
      </c>
      <c r="F137" s="734">
        <f>F133-F130</f>
        <v>7.6843958333333831</v>
      </c>
      <c r="G137" s="734">
        <f t="shared" ref="G137" si="41">G133-G130</f>
        <v>23.866963665206185</v>
      </c>
    </row>
    <row r="139" spans="2:18" x14ac:dyDescent="0.35">
      <c r="B139" t="s">
        <v>809</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1" workbookViewId="0">
      <selection activeCell="AA15" sqref="AA15"/>
    </sheetView>
  </sheetViews>
  <sheetFormatPr defaultColWidth="10.90625" defaultRowHeight="14.5" x14ac:dyDescent="0.35"/>
  <sheetData>
    <row r="1" spans="13:27" x14ac:dyDescent="0.35">
      <c r="M1" s="75" t="s">
        <v>1882</v>
      </c>
      <c r="S1" s="75" t="s">
        <v>1883</v>
      </c>
      <c r="Z1" t="s">
        <v>1917</v>
      </c>
      <c r="AA1" t="s">
        <v>1918</v>
      </c>
    </row>
    <row r="2" spans="13:27" x14ac:dyDescent="0.35">
      <c r="M2" t="s">
        <v>1884</v>
      </c>
      <c r="Q2">
        <v>2952.3</v>
      </c>
      <c r="S2" t="s">
        <v>1884</v>
      </c>
      <c r="X2">
        <v>2952.3</v>
      </c>
      <c r="Z2">
        <v>2917.6753774795288</v>
      </c>
      <c r="AA2" s="677">
        <v>2928.3</v>
      </c>
    </row>
    <row r="3" spans="13:27" x14ac:dyDescent="0.35">
      <c r="M3" t="s">
        <v>1885</v>
      </c>
      <c r="P3" t="s">
        <v>1886</v>
      </c>
      <c r="Q3">
        <v>23.1</v>
      </c>
      <c r="S3" t="s">
        <v>1885</v>
      </c>
      <c r="W3" t="s">
        <v>1886</v>
      </c>
      <c r="X3">
        <v>23.1</v>
      </c>
      <c r="Z3">
        <v>22.62857142857143</v>
      </c>
      <c r="AA3">
        <v>22.62857142857143</v>
      </c>
    </row>
    <row r="4" spans="13:27" x14ac:dyDescent="0.35">
      <c r="M4" t="s">
        <v>55</v>
      </c>
      <c r="P4" t="s">
        <v>1886</v>
      </c>
      <c r="Q4">
        <v>967.3</v>
      </c>
      <c r="S4" t="s">
        <v>55</v>
      </c>
      <c r="W4" t="s">
        <v>1886</v>
      </c>
      <c r="X4">
        <v>967.3</v>
      </c>
      <c r="Z4">
        <v>944.50347271762462</v>
      </c>
      <c r="AA4">
        <v>946.3</v>
      </c>
    </row>
    <row r="5" spans="13:27" x14ac:dyDescent="0.35">
      <c r="M5" t="s">
        <v>56</v>
      </c>
      <c r="P5" t="s">
        <v>1886</v>
      </c>
      <c r="Q5">
        <v>0</v>
      </c>
      <c r="S5" t="s">
        <v>56</v>
      </c>
      <c r="W5" t="s">
        <v>1886</v>
      </c>
      <c r="X5">
        <v>0</v>
      </c>
      <c r="Z5">
        <v>0</v>
      </c>
      <c r="AA5">
        <v>0</v>
      </c>
    </row>
    <row r="6" spans="13:27" x14ac:dyDescent="0.35">
      <c r="M6" t="s">
        <v>1887</v>
      </c>
      <c r="P6" t="s">
        <v>1886</v>
      </c>
      <c r="Q6">
        <v>0</v>
      </c>
      <c r="S6" t="s">
        <v>1887</v>
      </c>
      <c r="W6" t="s">
        <v>1886</v>
      </c>
      <c r="X6">
        <v>0</v>
      </c>
      <c r="Z6">
        <v>0</v>
      </c>
      <c r="AA6">
        <v>0</v>
      </c>
    </row>
    <row r="7" spans="13:27" x14ac:dyDescent="0.35">
      <c r="Q7">
        <f>Q2-SUM(Q3:Q6)</f>
        <v>1961.9</v>
      </c>
      <c r="X7">
        <f>X2-SUM(X3:X6)</f>
        <v>1961.9</v>
      </c>
      <c r="Z7">
        <f>Z2-SUM(Z3:Z6)</f>
        <v>1950.5433333333328</v>
      </c>
      <c r="AA7">
        <f>AA2-SUM(AA3:AA6)</f>
        <v>1959.3714285714289</v>
      </c>
    </row>
    <row r="8" spans="13:27" x14ac:dyDescent="0.35">
      <c r="S8" t="s">
        <v>1888</v>
      </c>
      <c r="W8" t="s">
        <v>1886</v>
      </c>
      <c r="X8">
        <v>34</v>
      </c>
    </row>
    <row r="9" spans="13:27" x14ac:dyDescent="0.35">
      <c r="S9" t="s">
        <v>1888</v>
      </c>
      <c r="W9" t="s">
        <v>1889</v>
      </c>
      <c r="X9">
        <v>34</v>
      </c>
    </row>
    <row r="10" spans="13:27" x14ac:dyDescent="0.35">
      <c r="S10" t="s">
        <v>1890</v>
      </c>
      <c r="W10" t="s">
        <v>1886</v>
      </c>
      <c r="X10">
        <v>37.700000000000003</v>
      </c>
    </row>
    <row r="11" spans="13:27" x14ac:dyDescent="0.35">
      <c r="S11" t="s">
        <v>1890</v>
      </c>
      <c r="W11" t="s">
        <v>1889</v>
      </c>
      <c r="X11">
        <v>37.700000000000003</v>
      </c>
    </row>
    <row r="12" spans="13:27" x14ac:dyDescent="0.35">
      <c r="S12" t="s">
        <v>470</v>
      </c>
      <c r="W12" t="s">
        <v>1886</v>
      </c>
      <c r="X12">
        <v>0</v>
      </c>
    </row>
    <row r="13" spans="13:27" x14ac:dyDescent="0.35">
      <c r="S13" t="s">
        <v>470</v>
      </c>
      <c r="W13" t="s">
        <v>1889</v>
      </c>
      <c r="X13">
        <v>0</v>
      </c>
    </row>
    <row r="14" spans="13:27" x14ac:dyDescent="0.35">
      <c r="S14" t="s">
        <v>1892</v>
      </c>
      <c r="W14" t="s">
        <v>1886</v>
      </c>
      <c r="X14">
        <v>21.9</v>
      </c>
    </row>
    <row r="15" spans="13:27" x14ac:dyDescent="0.35">
      <c r="S15" t="s">
        <v>1892</v>
      </c>
      <c r="W15" t="s">
        <v>1889</v>
      </c>
      <c r="X15">
        <f>X8-X9+X10-X11+X12-X13+X14</f>
        <v>21.9</v>
      </c>
      <c r="Z15">
        <v>21.9</v>
      </c>
      <c r="AA15">
        <v>21.89</v>
      </c>
    </row>
    <row r="16" spans="13:27" x14ac:dyDescent="0.35">
      <c r="X16">
        <f>X7-X8+X9-X10+X11-X12+X13-X14+X15</f>
        <v>1961.9</v>
      </c>
    </row>
    <row r="17" spans="13:27" x14ac:dyDescent="0.35">
      <c r="S17" t="s">
        <v>1891</v>
      </c>
      <c r="W17" t="s">
        <v>1886</v>
      </c>
      <c r="X17">
        <v>12</v>
      </c>
      <c r="Z17">
        <v>12</v>
      </c>
      <c r="AA17">
        <v>12</v>
      </c>
    </row>
    <row r="18" spans="13:27" x14ac:dyDescent="0.35">
      <c r="S18" t="s">
        <v>218</v>
      </c>
      <c r="W18" t="s">
        <v>1886</v>
      </c>
      <c r="X18">
        <v>1.4</v>
      </c>
      <c r="Z18">
        <v>1.4</v>
      </c>
      <c r="AA18">
        <v>1.4</v>
      </c>
    </row>
    <row r="19" spans="13:27" x14ac:dyDescent="0.35">
      <c r="X19">
        <f>X16-X17-X18</f>
        <v>1948.5</v>
      </c>
      <c r="Z19">
        <f>Z7-Z17-Z18+Z15</f>
        <v>1959.0433333333328</v>
      </c>
      <c r="AA19">
        <f>AA7-AA17-AA18+AA15</f>
        <v>1967.8614285714289</v>
      </c>
    </row>
    <row r="21" spans="13:27" x14ac:dyDescent="0.35">
      <c r="M21" s="75" t="s">
        <v>1893</v>
      </c>
    </row>
    <row r="22" spans="13:27" x14ac:dyDescent="0.35">
      <c r="M22" s="748" t="s">
        <v>123</v>
      </c>
      <c r="N22" s="502"/>
      <c r="O22" s="502"/>
      <c r="P22" s="502"/>
      <c r="Q22" s="502"/>
      <c r="R22" s="502"/>
      <c r="S22" s="502"/>
      <c r="T22" s="502"/>
      <c r="U22" s="502"/>
      <c r="V22" s="502"/>
      <c r="W22" s="449"/>
    </row>
    <row r="23" spans="13:27" x14ac:dyDescent="0.35">
      <c r="M23" s="749" t="s">
        <v>1902</v>
      </c>
      <c r="W23" s="224"/>
    </row>
    <row r="24" spans="13:27" x14ac:dyDescent="0.35">
      <c r="M24" s="749" t="s">
        <v>1901</v>
      </c>
      <c r="N24" s="128"/>
      <c r="O24" s="128"/>
      <c r="P24" s="128"/>
      <c r="Q24" s="128"/>
      <c r="R24" s="128"/>
      <c r="S24" s="128"/>
      <c r="T24" s="128"/>
      <c r="U24" s="128"/>
      <c r="V24" s="128"/>
      <c r="W24" s="750"/>
      <c r="X24" s="128"/>
      <c r="Y24" s="128"/>
    </row>
    <row r="25" spans="13:27" x14ac:dyDescent="0.35">
      <c r="M25" s="40" t="s">
        <v>203</v>
      </c>
      <c r="W25" s="224"/>
    </row>
    <row r="26" spans="13:27" x14ac:dyDescent="0.35">
      <c r="M26" s="40" t="s">
        <v>205</v>
      </c>
      <c r="W26" s="224"/>
    </row>
    <row r="27" spans="13:27" x14ac:dyDescent="0.35">
      <c r="M27" s="40" t="s">
        <v>56</v>
      </c>
      <c r="W27" s="224"/>
    </row>
    <row r="28" spans="13:27" x14ac:dyDescent="0.35">
      <c r="M28" s="40" t="s">
        <v>214</v>
      </c>
      <c r="W28" s="224"/>
    </row>
    <row r="29" spans="13:27" x14ac:dyDescent="0.35">
      <c r="M29" s="40" t="s">
        <v>1894</v>
      </c>
      <c r="W29" s="224"/>
    </row>
    <row r="30" spans="13:27" x14ac:dyDescent="0.35">
      <c r="M30" s="751" t="s">
        <v>1895</v>
      </c>
      <c r="N30" s="57"/>
      <c r="O30" s="57"/>
      <c r="P30" s="57"/>
      <c r="Q30" s="57"/>
      <c r="R30" s="57"/>
      <c r="S30" s="57"/>
      <c r="T30" s="57"/>
      <c r="U30" s="57"/>
      <c r="V30" s="57"/>
      <c r="W30" s="225"/>
      <c r="X30" t="s">
        <v>1896</v>
      </c>
    </row>
    <row r="31" spans="13:27" x14ac:dyDescent="0.35">
      <c r="M31" s="752" t="s">
        <v>1891</v>
      </c>
      <c r="N31" s="502"/>
      <c r="O31" s="502"/>
      <c r="P31" s="502"/>
      <c r="Q31" s="502"/>
      <c r="R31" s="502"/>
      <c r="S31" s="502"/>
      <c r="T31" s="502"/>
      <c r="U31" s="502"/>
      <c r="V31" s="502"/>
      <c r="W31" s="449"/>
    </row>
    <row r="32" spans="13:27" x14ac:dyDescent="0.35">
      <c r="M32" s="751" t="s">
        <v>218</v>
      </c>
      <c r="N32" s="57"/>
      <c r="O32" s="57"/>
      <c r="P32" s="57"/>
      <c r="Q32" s="57"/>
      <c r="R32" s="57"/>
      <c r="S32" s="57"/>
      <c r="T32" s="57"/>
      <c r="U32" s="57"/>
      <c r="V32" s="57"/>
      <c r="W32" s="225"/>
      <c r="X32" t="s">
        <v>1897</v>
      </c>
    </row>
    <row r="33" spans="13:24" x14ac:dyDescent="0.35">
      <c r="M33" s="752" t="s">
        <v>135</v>
      </c>
      <c r="N33" s="502"/>
      <c r="O33" s="502"/>
      <c r="P33" s="502"/>
      <c r="Q33" s="502"/>
      <c r="R33" s="502"/>
      <c r="S33" s="502"/>
      <c r="T33" s="502"/>
      <c r="U33" s="502"/>
      <c r="V33" s="502"/>
      <c r="W33" s="449"/>
    </row>
    <row r="34" spans="13:24" x14ac:dyDescent="0.35">
      <c r="M34" s="40" t="s">
        <v>136</v>
      </c>
      <c r="W34" s="224"/>
    </row>
    <row r="35" spans="13:24" x14ac:dyDescent="0.35">
      <c r="M35" s="40" t="s">
        <v>1898</v>
      </c>
      <c r="W35" s="224"/>
    </row>
    <row r="36" spans="13:24" x14ac:dyDescent="0.35">
      <c r="M36" s="40" t="s">
        <v>129</v>
      </c>
      <c r="W36" s="224"/>
    </row>
    <row r="37" spans="13:24" x14ac:dyDescent="0.35">
      <c r="M37" s="751" t="s">
        <v>1899</v>
      </c>
      <c r="N37" s="57"/>
      <c r="O37" s="57"/>
      <c r="P37" s="57"/>
      <c r="Q37" s="57"/>
      <c r="R37" s="57"/>
      <c r="S37" s="57"/>
      <c r="T37" s="57"/>
      <c r="U37" s="57"/>
      <c r="V37" s="57"/>
      <c r="W37" s="225"/>
      <c r="X37" t="s">
        <v>1900</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J23"/>
  <sheetViews>
    <sheetView topLeftCell="M1" workbookViewId="0">
      <selection activeCell="AB27" sqref="AB27"/>
    </sheetView>
  </sheetViews>
  <sheetFormatPr defaultColWidth="10.90625" defaultRowHeight="14.5" x14ac:dyDescent="0.35"/>
  <sheetData>
    <row r="1" spans="2:36" x14ac:dyDescent="0.35">
      <c r="B1" s="1277" t="s">
        <v>1942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6" ht="14.25" customHeight="1" x14ac:dyDescent="0.35">
      <c r="B2" s="1370" t="s">
        <v>1943</v>
      </c>
      <c r="C2" s="1370"/>
      <c r="D2" s="1370"/>
      <c r="E2" s="1370"/>
      <c r="F2" s="1370"/>
      <c r="G2" s="1370"/>
      <c r="H2" s="1370"/>
      <c r="I2" s="1370"/>
      <c r="J2" s="1370"/>
      <c r="K2" s="1370"/>
      <c r="L2" s="1370"/>
      <c r="M2" s="1370"/>
      <c r="N2" s="1370"/>
      <c r="O2" s="1370"/>
      <c r="P2" s="1370"/>
      <c r="Q2" s="1370"/>
      <c r="R2" s="1370"/>
      <c r="S2" s="599"/>
      <c r="T2" s="1371"/>
      <c r="U2" s="1371"/>
      <c r="V2" s="1371"/>
      <c r="W2" s="1371"/>
      <c r="X2" s="1371"/>
      <c r="Y2" s="1371"/>
      <c r="Z2" s="1371"/>
      <c r="AA2" s="1371"/>
      <c r="AB2" s="1371"/>
      <c r="AC2" s="1371"/>
    </row>
    <row r="3" spans="2:36" x14ac:dyDescent="0.35">
      <c r="B3" s="1370"/>
      <c r="C3" s="1370"/>
      <c r="D3" s="1370"/>
      <c r="E3" s="1370"/>
      <c r="F3" s="1370"/>
      <c r="G3" s="1370"/>
      <c r="H3" s="1370"/>
      <c r="I3" s="1370"/>
      <c r="J3" s="1370"/>
      <c r="K3" s="1370"/>
      <c r="L3" s="1370"/>
      <c r="M3" s="1370"/>
      <c r="N3" s="1370"/>
      <c r="O3" s="1370"/>
      <c r="P3" s="1370"/>
      <c r="Q3" s="1370"/>
      <c r="R3" s="1370"/>
      <c r="S3" s="599"/>
      <c r="T3" s="1371"/>
      <c r="U3" s="1371"/>
      <c r="V3" s="1371"/>
      <c r="W3" s="1371"/>
      <c r="X3" s="1371"/>
      <c r="Y3" s="1371"/>
      <c r="Z3" s="1371"/>
      <c r="AA3" s="1371"/>
      <c r="AB3" s="1371"/>
      <c r="AC3" s="1371"/>
    </row>
    <row r="4" spans="2:36" ht="21" customHeight="1" x14ac:dyDescent="0.35">
      <c r="B4" s="1370"/>
      <c r="C4" s="1370"/>
      <c r="D4" s="1370"/>
      <c r="E4" s="1370"/>
      <c r="F4" s="1370"/>
      <c r="G4" s="1370"/>
      <c r="H4" s="1370"/>
      <c r="I4" s="1370"/>
      <c r="J4" s="1370"/>
      <c r="K4" s="1370"/>
      <c r="L4" s="1370"/>
      <c r="M4" s="1370"/>
      <c r="N4" s="1370"/>
      <c r="O4" s="1370"/>
      <c r="P4" s="1370"/>
      <c r="Q4" s="1370"/>
      <c r="R4" s="1370"/>
      <c r="S4" s="599"/>
      <c r="T4" s="1371"/>
      <c r="U4" s="1371"/>
      <c r="V4" s="1371"/>
      <c r="W4" s="1371"/>
      <c r="X4" s="1371"/>
      <c r="Y4" s="1371"/>
      <c r="Z4" s="1371"/>
      <c r="AA4" s="1371"/>
      <c r="AB4" s="1371"/>
      <c r="AC4" s="1371"/>
    </row>
    <row r="6" spans="2:36" x14ac:dyDescent="0.35">
      <c r="B6" s="517" t="s">
        <v>333</v>
      </c>
    </row>
    <row r="7" spans="2:36" ht="14.9" customHeight="1" x14ac:dyDescent="0.35">
      <c r="B7" s="1282" t="s">
        <v>1904</v>
      </c>
      <c r="C7" s="1283"/>
      <c r="D7" s="1286" t="s">
        <v>280</v>
      </c>
      <c r="E7" s="1299"/>
      <c r="F7" s="1299"/>
      <c r="G7" s="1299"/>
      <c r="H7" s="1299"/>
      <c r="I7" s="1299"/>
      <c r="J7" s="1299"/>
      <c r="K7" s="1299"/>
      <c r="L7" s="1299"/>
      <c r="M7" s="1299"/>
      <c r="N7" s="1299"/>
      <c r="O7" s="1299"/>
      <c r="P7" s="1299"/>
      <c r="Q7" s="1299"/>
      <c r="R7" s="1299"/>
      <c r="S7" s="1299"/>
      <c r="T7" s="1299"/>
      <c r="U7" s="1300"/>
      <c r="V7" s="1285"/>
      <c r="W7" s="1311" t="s">
        <v>281</v>
      </c>
      <c r="X7" s="1312"/>
      <c r="Y7" s="1312"/>
      <c r="Z7" s="1312"/>
      <c r="AA7" s="1312"/>
      <c r="AB7" s="1312"/>
      <c r="AC7" s="1312"/>
      <c r="AD7" s="1312"/>
      <c r="AE7" s="1312"/>
      <c r="AF7" s="1312"/>
      <c r="AG7" s="1312"/>
    </row>
    <row r="8" spans="2:36" x14ac:dyDescent="0.35">
      <c r="B8" s="1284"/>
      <c r="C8" s="1285"/>
      <c r="D8" s="219">
        <v>2018</v>
      </c>
      <c r="E8" s="1291">
        <v>2019</v>
      </c>
      <c r="F8" s="1292"/>
      <c r="G8" s="1292"/>
      <c r="H8" s="1293"/>
      <c r="I8" s="1291">
        <v>2020</v>
      </c>
      <c r="J8" s="1292"/>
      <c r="K8" s="1292"/>
      <c r="L8" s="1292"/>
      <c r="M8" s="1291">
        <v>2021</v>
      </c>
      <c r="N8" s="1292"/>
      <c r="O8" s="1292"/>
      <c r="P8" s="1321"/>
      <c r="Q8" s="1291">
        <v>2022</v>
      </c>
      <c r="R8" s="1321"/>
      <c r="S8" s="1321"/>
      <c r="T8" s="1321"/>
      <c r="U8" s="239"/>
      <c r="V8" s="288">
        <v>2023</v>
      </c>
      <c r="W8" s="289"/>
      <c r="X8" s="260"/>
      <c r="Y8" s="1289">
        <v>2024</v>
      </c>
      <c r="Z8" s="1301"/>
      <c r="AA8" s="1301"/>
      <c r="AB8" s="1290"/>
      <c r="AC8" s="1288">
        <v>2025</v>
      </c>
      <c r="AD8" s="1301"/>
      <c r="AE8" s="1301"/>
      <c r="AF8" s="1290"/>
      <c r="AG8" s="506">
        <v>2026</v>
      </c>
    </row>
    <row r="9" spans="2:36" x14ac:dyDescent="0.35">
      <c r="B9" s="1286"/>
      <c r="C9" s="1287"/>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5" t="s">
        <v>282</v>
      </c>
      <c r="U9" s="285" t="s">
        <v>283</v>
      </c>
      <c r="V9" s="286" t="s">
        <v>284</v>
      </c>
      <c r="W9" s="270" t="s">
        <v>238</v>
      </c>
      <c r="X9" s="271" t="s">
        <v>282</v>
      </c>
      <c r="Y9" s="270" t="s">
        <v>283</v>
      </c>
      <c r="Z9" s="267" t="s">
        <v>284</v>
      </c>
      <c r="AA9" s="270" t="s">
        <v>238</v>
      </c>
      <c r="AB9" s="270" t="s">
        <v>282</v>
      </c>
      <c r="AC9" s="269" t="s">
        <v>283</v>
      </c>
      <c r="AD9" s="267" t="s">
        <v>284</v>
      </c>
      <c r="AE9" s="270" t="s">
        <v>238</v>
      </c>
      <c r="AF9" s="270" t="s">
        <v>282</v>
      </c>
      <c r="AG9" s="269" t="s">
        <v>283</v>
      </c>
    </row>
    <row r="10" spans="2:36" x14ac:dyDescent="0.35">
      <c r="S10" s="760" t="s">
        <v>184</v>
      </c>
      <c r="T10" s="760" t="s">
        <v>185</v>
      </c>
      <c r="U10" s="760" t="s">
        <v>186</v>
      </c>
      <c r="V10" s="760" t="s">
        <v>187</v>
      </c>
      <c r="W10" s="760" t="s">
        <v>188</v>
      </c>
      <c r="X10" s="760" t="s">
        <v>189</v>
      </c>
      <c r="Y10" s="760" t="s">
        <v>190</v>
      </c>
      <c r="Z10" s="760" t="s">
        <v>191</v>
      </c>
      <c r="AA10" s="760" t="s">
        <v>175</v>
      </c>
      <c r="AB10" s="760" t="s">
        <v>176</v>
      </c>
      <c r="AC10" s="760" t="s">
        <v>177</v>
      </c>
      <c r="AD10" s="760" t="s">
        <v>765</v>
      </c>
      <c r="AE10" s="760" t="s">
        <v>766</v>
      </c>
      <c r="AF10" s="760" t="s">
        <v>767</v>
      </c>
      <c r="AG10" s="760" t="s">
        <v>1157</v>
      </c>
      <c r="AH10" s="760" t="s">
        <v>1158</v>
      </c>
      <c r="AI10" s="760" t="s">
        <v>1159</v>
      </c>
      <c r="AJ10" s="760" t="s">
        <v>1160</v>
      </c>
    </row>
    <row r="11" spans="2:36" x14ac:dyDescent="0.35">
      <c r="S11" s="759"/>
      <c r="T11" s="759"/>
      <c r="U11" s="759"/>
      <c r="V11" s="759"/>
      <c r="W11" s="759"/>
      <c r="X11" s="759"/>
      <c r="Y11" s="759"/>
      <c r="Z11" s="759"/>
      <c r="AA11" s="759"/>
      <c r="AB11" s="759"/>
      <c r="AC11" s="759"/>
      <c r="AD11" s="759"/>
      <c r="AE11" s="759"/>
      <c r="AF11" s="759"/>
      <c r="AG11" s="759"/>
      <c r="AH11" s="759"/>
    </row>
    <row r="12" spans="2:36" x14ac:dyDescent="0.35">
      <c r="B12" s="759" t="s">
        <v>1863</v>
      </c>
      <c r="P12" t="s">
        <v>1863</v>
      </c>
      <c r="S12" s="754">
        <v>9.676624590017175</v>
      </c>
      <c r="T12" s="754">
        <v>9.6670597070816413</v>
      </c>
      <c r="U12" s="754">
        <v>29.968874069165178</v>
      </c>
      <c r="V12" s="754">
        <v>48.407564583050345</v>
      </c>
      <c r="W12" s="754">
        <v>68.860864510897471</v>
      </c>
      <c r="X12" s="754">
        <v>88.107434654608909</v>
      </c>
      <c r="Y12" s="754">
        <v>101.08174054588757</v>
      </c>
      <c r="Z12" s="754">
        <v>103.56513754278419</v>
      </c>
      <c r="AA12" s="754">
        <v>106.00637033635157</v>
      </c>
      <c r="AB12" s="754">
        <v>108.38917414017335</v>
      </c>
      <c r="AC12" s="754">
        <v>110.69246087615031</v>
      </c>
      <c r="AD12" s="754">
        <v>112.95035167958687</v>
      </c>
      <c r="AE12" s="754">
        <v>115.16440141682602</v>
      </c>
      <c r="AF12" s="754">
        <v>117.3462460140392</v>
      </c>
      <c r="AG12" s="754">
        <v>118.52500129333946</v>
      </c>
      <c r="AH12" s="756">
        <v>40</v>
      </c>
      <c r="AI12" s="756"/>
      <c r="AJ12" s="756"/>
    </row>
    <row r="13" spans="2:36" x14ac:dyDescent="0.35">
      <c r="B13" s="759" t="s">
        <v>1864</v>
      </c>
      <c r="P13" t="s">
        <v>1864</v>
      </c>
      <c r="S13" s="755">
        <f>Deflators!S71</f>
        <v>1.1690178087443976</v>
      </c>
      <c r="T13" s="755">
        <f>Deflators!T71</f>
        <v>1.1809720922261624</v>
      </c>
      <c r="U13" s="755">
        <f>Deflators!U71</f>
        <v>1.1930855683769892</v>
      </c>
      <c r="V13" s="755">
        <f>Deflators!V71</f>
        <v>1.2004353606715503</v>
      </c>
      <c r="W13" s="755">
        <f>Deflators!W71</f>
        <v>1.208137684815088</v>
      </c>
      <c r="X13" s="755">
        <f>Deflators!X71</f>
        <v>1.2135025374197232</v>
      </c>
      <c r="Y13" s="755">
        <f>Deflators!Y71</f>
        <v>1.2236809385660088</v>
      </c>
      <c r="Z13" s="755">
        <f>Deflators!Z71</f>
        <v>1.233275799935512</v>
      </c>
      <c r="AA13" s="755">
        <f>Deflators!AA71</f>
        <v>1.2401475124550019</v>
      </c>
      <c r="AB13" s="755">
        <f>Deflators!AB71</f>
        <v>1.246450659789168</v>
      </c>
      <c r="AC13" s="755">
        <f>Deflators!AC71</f>
        <v>1.2531877614899707</v>
      </c>
      <c r="AD13" s="755">
        <f>Deflators!AD71</f>
        <v>1.2598936725213026</v>
      </c>
      <c r="AE13" s="755">
        <f>Deflators!AE71</f>
        <v>1.2663663310581259</v>
      </c>
      <c r="AF13" s="755">
        <f>Deflators!AF71</f>
        <v>1.2726857847671909</v>
      </c>
      <c r="AG13" s="755">
        <f>Deflators!AG71</f>
        <v>1.2789269673291086</v>
      </c>
      <c r="AH13" s="757">
        <f>Deflators!AH71</f>
        <v>0</v>
      </c>
      <c r="AI13" s="756"/>
      <c r="AJ13" s="756"/>
    </row>
    <row r="14" spans="2:36" x14ac:dyDescent="0.35">
      <c r="B14" s="759" t="s">
        <v>1865</v>
      </c>
      <c r="P14" t="s">
        <v>1865</v>
      </c>
      <c r="S14">
        <f>S12*S13</f>
        <v>11.312146474264033</v>
      </c>
      <c r="T14">
        <f t="shared" ref="T14:AJ14" si="0">T12*T13</f>
        <v>11.416527727947438</v>
      </c>
      <c r="U14">
        <f t="shared" si="0"/>
        <v>35.755431152428351</v>
      </c>
      <c r="V14">
        <f t="shared" si="0"/>
        <v>58.110152249485409</v>
      </c>
      <c r="W14">
        <f t="shared" si="0"/>
        <v>83.193405424561121</v>
      </c>
      <c r="X14">
        <f t="shared" si="0"/>
        <v>106.91859551891037</v>
      </c>
      <c r="Y14">
        <f t="shared" si="0"/>
        <v>123.69179914307749</v>
      </c>
      <c r="Z14">
        <f t="shared" si="0"/>
        <v>127.72437784850848</v>
      </c>
      <c r="AA14">
        <f t="shared" si="0"/>
        <v>131.46353647701008</v>
      </c>
      <c r="AB14">
        <f t="shared" si="0"/>
        <v>135.1017576210221</v>
      </c>
      <c r="AC14">
        <f t="shared" si="0"/>
        <v>138.71843725919896</v>
      </c>
      <c r="AD14">
        <f t="shared" si="0"/>
        <v>142.30543339016739</v>
      </c>
      <c r="AE14">
        <f t="shared" si="0"/>
        <v>145.84032049073122</v>
      </c>
      <c r="AF14">
        <f t="shared" si="0"/>
        <v>149.34489919786131</v>
      </c>
      <c r="AG14">
        <f t="shared" si="0"/>
        <v>151.58482045676931</v>
      </c>
      <c r="AH14" s="753">
        <f t="shared" si="0"/>
        <v>0</v>
      </c>
      <c r="AI14" s="753">
        <f t="shared" si="0"/>
        <v>0</v>
      </c>
      <c r="AJ14" s="753">
        <f t="shared" si="0"/>
        <v>0</v>
      </c>
    </row>
    <row r="16" spans="2:36" x14ac:dyDescent="0.35">
      <c r="Z16">
        <f>Z17-Y17</f>
        <v>-3.5714285714285552</v>
      </c>
      <c r="AA16">
        <f t="shared" ref="AA16:AG16" si="1">AA17-Z17</f>
        <v>-9.7523809523809462</v>
      </c>
      <c r="AB16">
        <f t="shared" si="1"/>
        <v>-9.4476190476190567</v>
      </c>
      <c r="AC16">
        <f t="shared" si="1"/>
        <v>-13.228571428571442</v>
      </c>
      <c r="AD16">
        <f t="shared" si="1"/>
        <v>-11</v>
      </c>
      <c r="AE16">
        <f t="shared" si="1"/>
        <v>-8</v>
      </c>
      <c r="AF16">
        <f t="shared" si="1"/>
        <v>0</v>
      </c>
      <c r="AG16">
        <f t="shared" si="1"/>
        <v>0</v>
      </c>
    </row>
    <row r="17" spans="16:34" x14ac:dyDescent="0.35">
      <c r="P17" s="758" t="s">
        <v>1863</v>
      </c>
      <c r="Q17" s="758"/>
      <c r="R17" s="758"/>
      <c r="S17" s="758">
        <v>9.1428571428571441</v>
      </c>
      <c r="T17" s="758">
        <v>9.1428571428571441</v>
      </c>
      <c r="U17" s="758">
        <v>28.342857142857145</v>
      </c>
      <c r="V17" s="758">
        <v>45.714285714285722</v>
      </c>
      <c r="W17" s="758">
        <v>65</v>
      </c>
      <c r="X17" s="758">
        <v>83</v>
      </c>
      <c r="Y17" s="758">
        <v>95</v>
      </c>
      <c r="Z17" s="758">
        <v>91.428571428571445</v>
      </c>
      <c r="AA17" s="758">
        <v>81.676190476190499</v>
      </c>
      <c r="AB17" s="758">
        <v>72.228571428571442</v>
      </c>
      <c r="AC17" s="758">
        <v>59</v>
      </c>
      <c r="AD17" s="758">
        <v>48</v>
      </c>
      <c r="AE17" s="758">
        <v>40</v>
      </c>
      <c r="AF17" s="758">
        <v>40</v>
      </c>
      <c r="AG17" s="758">
        <v>40</v>
      </c>
      <c r="AH17" s="758">
        <v>40</v>
      </c>
    </row>
    <row r="18" spans="16:34" x14ac:dyDescent="0.35">
      <c r="P18" s="758" t="s">
        <v>1864</v>
      </c>
      <c r="Q18" s="758"/>
      <c r="R18" s="758"/>
      <c r="S18" s="758">
        <v>1.2372660206226285</v>
      </c>
      <c r="T18" s="758">
        <v>1.248682720244251</v>
      </c>
      <c r="U18" s="758">
        <v>1.2615323491280164</v>
      </c>
      <c r="V18" s="758">
        <v>1.2711595804574931</v>
      </c>
      <c r="W18" s="758">
        <v>1.2805988589197217</v>
      </c>
      <c r="X18" s="758">
        <v>1.2903026473835131</v>
      </c>
      <c r="Y18" s="758">
        <v>1.2992703261336995</v>
      </c>
      <c r="Z18" s="758">
        <v>1.3072384685165053</v>
      </c>
      <c r="AA18" s="758">
        <v>1.3154269306958029</v>
      </c>
      <c r="AB18" s="758">
        <v>1.3233344552591992</v>
      </c>
      <c r="AC18" s="758">
        <v>1.3308984310938612</v>
      </c>
      <c r="AD18" s="758">
        <v>1.3383543012580754</v>
      </c>
      <c r="AE18" s="758">
        <v>1.3457221150918501</v>
      </c>
      <c r="AF18" s="758">
        <v>1.3530984416878797</v>
      </c>
      <c r="AG18" s="758">
        <v>0</v>
      </c>
      <c r="AH18" s="758">
        <v>0</v>
      </c>
    </row>
    <row r="19" spans="16:34" x14ac:dyDescent="0.35">
      <c r="P19" s="758" t="s">
        <v>1865</v>
      </c>
      <c r="Q19" s="758"/>
      <c r="R19" s="758"/>
      <c r="S19" s="758">
        <v>11.312146474264033</v>
      </c>
      <c r="T19" s="758">
        <v>11.41652772794744</v>
      </c>
      <c r="U19" s="758">
        <v>35.755431152428351</v>
      </c>
      <c r="V19" s="758">
        <v>58.110152249485409</v>
      </c>
      <c r="W19" s="758">
        <v>83.238925829781905</v>
      </c>
      <c r="X19" s="758">
        <v>107.09511973283159</v>
      </c>
      <c r="Y19" s="758">
        <v>123.43068098270146</v>
      </c>
      <c r="Z19" s="758">
        <v>119.51894569293765</v>
      </c>
      <c r="AA19" s="758">
        <v>107.43906054902104</v>
      </c>
      <c r="AB19" s="758">
        <v>95.582557225578753</v>
      </c>
      <c r="AC19" s="758">
        <v>78.523007434537817</v>
      </c>
      <c r="AD19" s="758">
        <v>64.241006460387624</v>
      </c>
      <c r="AE19" s="758">
        <v>53.828884603674005</v>
      </c>
      <c r="AF19" s="758">
        <v>54.1239376675152</v>
      </c>
      <c r="AG19" s="758">
        <v>48</v>
      </c>
      <c r="AH19" s="758">
        <v>0</v>
      </c>
    </row>
    <row r="21" spans="16:34" x14ac:dyDescent="0.35">
      <c r="S21">
        <f>S19/S13</f>
        <v>9.676624590017175</v>
      </c>
      <c r="T21">
        <f t="shared" ref="T21:Y21" si="2">T19/T13</f>
        <v>9.6670597070816413</v>
      </c>
      <c r="U21">
        <f t="shared" si="2"/>
        <v>29.968874069165178</v>
      </c>
      <c r="V21">
        <f t="shared" si="2"/>
        <v>48.407564583050345</v>
      </c>
      <c r="W21">
        <f t="shared" si="2"/>
        <v>68.89854267108808</v>
      </c>
      <c r="X21">
        <f t="shared" si="2"/>
        <v>88.252901358202763</v>
      </c>
      <c r="Y21">
        <f t="shared" si="2"/>
        <v>100.86835309157124</v>
      </c>
    </row>
    <row r="22" spans="16:34" x14ac:dyDescent="0.35">
      <c r="Z22">
        <f>Z16+7</f>
        <v>3.4285714285714448</v>
      </c>
      <c r="AA22">
        <f>AA16+14</f>
        <v>4.2476190476190538</v>
      </c>
      <c r="AB22">
        <f>AB16+21</f>
        <v>11.552380952380943</v>
      </c>
      <c r="AC22">
        <f>AC16+28</f>
        <v>14.771428571428558</v>
      </c>
      <c r="AD22">
        <f>AD16+35</f>
        <v>24</v>
      </c>
      <c r="AE22">
        <f>AE16+42</f>
        <v>34</v>
      </c>
      <c r="AF22">
        <f>AF16+49</f>
        <v>49</v>
      </c>
      <c r="AG22">
        <f>AG16+56</f>
        <v>56</v>
      </c>
    </row>
    <row r="23" spans="16:34" x14ac:dyDescent="0.35">
      <c r="S23">
        <f>S17</f>
        <v>9.1428571428571441</v>
      </c>
      <c r="T23">
        <f t="shared" ref="T23:Y23" si="3">T17</f>
        <v>9.1428571428571441</v>
      </c>
      <c r="U23">
        <f t="shared" si="3"/>
        <v>28.342857142857145</v>
      </c>
      <c r="V23">
        <f t="shared" si="3"/>
        <v>45.714285714285722</v>
      </c>
      <c r="W23">
        <f t="shared" si="3"/>
        <v>65</v>
      </c>
      <c r="X23">
        <f t="shared" si="3"/>
        <v>83</v>
      </c>
      <c r="Y23">
        <f t="shared" si="3"/>
        <v>95</v>
      </c>
      <c r="Z23">
        <f>Y23+Z22</f>
        <v>98.428571428571445</v>
      </c>
      <c r="AA23">
        <f t="shared" ref="AA23:AG23" si="4">Z23+AA22</f>
        <v>102.6761904761905</v>
      </c>
      <c r="AB23">
        <f t="shared" si="4"/>
        <v>114.22857142857144</v>
      </c>
      <c r="AC23">
        <f t="shared" si="4"/>
        <v>129</v>
      </c>
      <c r="AD23">
        <f t="shared" si="4"/>
        <v>153</v>
      </c>
      <c r="AE23">
        <f t="shared" si="4"/>
        <v>187</v>
      </c>
      <c r="AF23">
        <f t="shared" si="4"/>
        <v>236</v>
      </c>
      <c r="AG23">
        <f t="shared" si="4"/>
        <v>292</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P147"/>
  <sheetViews>
    <sheetView topLeftCell="C1" zoomScale="87" zoomScaleNormal="87" workbookViewId="0">
      <selection activeCell="D135" sqref="D135:AC135"/>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77" t="s">
        <v>58</v>
      </c>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4:56" ht="14.25" customHeight="1" x14ac:dyDescent="0.35">
      <c r="D2" s="1314" t="s">
        <v>912</v>
      </c>
      <c r="E2" s="1314"/>
      <c r="F2" s="1314"/>
      <c r="G2" s="1314"/>
      <c r="H2" s="1314"/>
      <c r="I2" s="1314"/>
      <c r="J2" s="1314"/>
      <c r="K2" s="1314"/>
      <c r="L2" s="1314"/>
      <c r="M2" s="1314"/>
      <c r="N2" s="1314"/>
      <c r="O2" s="1314"/>
      <c r="P2" s="1314"/>
      <c r="Q2" s="1314"/>
      <c r="R2" s="1314"/>
      <c r="S2" s="1314"/>
      <c r="T2" s="1314"/>
      <c r="U2" s="1314"/>
      <c r="V2" s="1314"/>
      <c r="W2" s="1314"/>
      <c r="X2" s="1314"/>
      <c r="Y2" s="1314"/>
      <c r="Z2" s="1314"/>
      <c r="AA2" s="1314"/>
      <c r="AB2" s="1314"/>
      <c r="AC2" s="1314"/>
    </row>
    <row r="3" spans="4:56" ht="84.75" customHeight="1" x14ac:dyDescent="0.35">
      <c r="D3" s="1314"/>
      <c r="E3" s="1314"/>
      <c r="F3" s="1314"/>
      <c r="G3" s="1314"/>
      <c r="H3" s="1314"/>
      <c r="I3" s="1314"/>
      <c r="J3" s="1314"/>
      <c r="K3" s="1314"/>
      <c r="L3" s="1314"/>
      <c r="M3" s="1314"/>
      <c r="N3" s="1314"/>
      <c r="O3" s="1314"/>
      <c r="P3" s="1314"/>
      <c r="Q3" s="1314"/>
      <c r="R3" s="1314"/>
      <c r="S3" s="1314"/>
      <c r="T3" s="1314"/>
      <c r="U3" s="1314"/>
      <c r="V3" s="1314"/>
      <c r="W3" s="1314"/>
      <c r="X3" s="1314"/>
      <c r="Y3" s="1314"/>
      <c r="Z3" s="1314"/>
      <c r="AA3" s="1314"/>
      <c r="AB3" s="1314"/>
      <c r="AC3" s="1314"/>
    </row>
    <row r="4" spans="4:56" x14ac:dyDescent="0.35">
      <c r="D4" s="800" t="s">
        <v>333</v>
      </c>
      <c r="W4" s="56"/>
    </row>
    <row r="5" spans="4:56" x14ac:dyDescent="0.35">
      <c r="D5" s="1282" t="s">
        <v>404</v>
      </c>
      <c r="E5" s="1283"/>
      <c r="F5" s="1386" t="s">
        <v>280</v>
      </c>
      <c r="G5" s="1387"/>
      <c r="H5" s="1387"/>
      <c r="I5" s="1387"/>
      <c r="J5" s="1387"/>
      <c r="K5" s="1387"/>
      <c r="L5" s="1387"/>
      <c r="M5" s="1387"/>
      <c r="N5" s="1387"/>
      <c r="O5" s="1387"/>
      <c r="P5" s="1387"/>
      <c r="Q5" s="1387"/>
      <c r="R5" s="1387"/>
      <c r="S5" s="1387"/>
      <c r="T5" s="1387"/>
      <c r="U5" s="1387"/>
      <c r="V5" s="1388"/>
      <c r="W5" s="1311" t="s">
        <v>281</v>
      </c>
      <c r="X5" s="1312"/>
      <c r="Y5" s="1312"/>
      <c r="Z5" s="1312"/>
      <c r="AA5" s="1312"/>
      <c r="AB5" s="1312"/>
      <c r="AC5" s="1312"/>
      <c r="AD5" s="1312"/>
      <c r="AE5" s="1312"/>
      <c r="AF5" s="1312"/>
      <c r="AG5" s="1312"/>
      <c r="AH5" s="881"/>
      <c r="AI5" s="881"/>
      <c r="AJ5" s="881"/>
      <c r="AK5" s="881"/>
      <c r="AL5" s="881"/>
      <c r="AM5" s="881"/>
      <c r="AN5" s="881"/>
      <c r="AO5" s="881"/>
      <c r="AP5" s="881"/>
      <c r="AQ5" s="881"/>
      <c r="AR5" s="881"/>
      <c r="AS5" s="881"/>
      <c r="AT5" s="881"/>
      <c r="AU5" s="881"/>
      <c r="AV5" s="881"/>
      <c r="AW5" s="881"/>
      <c r="AX5" s="881"/>
      <c r="AY5" s="881"/>
      <c r="AZ5" s="881"/>
      <c r="BA5" s="881"/>
      <c r="BB5" s="881"/>
      <c r="BC5" s="881"/>
      <c r="BD5" s="881"/>
    </row>
    <row r="6" spans="4:56" x14ac:dyDescent="0.35">
      <c r="D6" s="1284"/>
      <c r="E6" s="1300"/>
      <c r="F6" s="1279">
        <v>2019</v>
      </c>
      <c r="G6" s="1280"/>
      <c r="H6" s="1281"/>
      <c r="I6" s="1280">
        <v>2020</v>
      </c>
      <c r="J6" s="1280"/>
      <c r="K6" s="1280"/>
      <c r="L6" s="1280"/>
      <c r="M6" s="1291">
        <v>2021</v>
      </c>
      <c r="N6" s="1292"/>
      <c r="O6" s="1292"/>
      <c r="P6" s="1292"/>
      <c r="Q6" s="1291">
        <v>2022</v>
      </c>
      <c r="R6" s="1321"/>
      <c r="S6" s="1321"/>
      <c r="T6" s="1293"/>
      <c r="U6" s="288"/>
      <c r="V6" s="288">
        <v>2023</v>
      </c>
      <c r="W6" s="556"/>
      <c r="X6" s="260"/>
      <c r="Y6" s="1288">
        <v>2024</v>
      </c>
      <c r="Z6" s="1301"/>
      <c r="AA6" s="1301"/>
      <c r="AB6" s="1290"/>
      <c r="AC6" s="1288">
        <v>2025</v>
      </c>
      <c r="AD6" s="1301"/>
      <c r="AE6" s="1301"/>
      <c r="AF6" s="1290"/>
      <c r="AG6" s="506">
        <v>2026</v>
      </c>
      <c r="AH6" s="882"/>
      <c r="AI6" s="882"/>
      <c r="AJ6" s="882"/>
      <c r="AK6" s="882"/>
      <c r="AL6" s="882"/>
      <c r="AM6" s="882"/>
      <c r="AN6" s="882"/>
      <c r="AO6" s="882"/>
      <c r="AP6" s="882"/>
      <c r="AQ6" s="882"/>
      <c r="AR6" s="882"/>
      <c r="AS6" s="882"/>
      <c r="AT6" s="882"/>
      <c r="AU6" s="882"/>
      <c r="AV6" s="882"/>
      <c r="AW6" s="882"/>
      <c r="AX6" s="882"/>
      <c r="AY6" s="882"/>
      <c r="AZ6" s="882"/>
      <c r="BA6" s="882"/>
      <c r="BB6" s="882"/>
      <c r="BC6" s="882"/>
    </row>
    <row r="7" spans="4:56" x14ac:dyDescent="0.35">
      <c r="D7" s="1286"/>
      <c r="E7" s="1299"/>
      <c r="F7" s="214" t="s">
        <v>284</v>
      </c>
      <c r="G7" s="215" t="s">
        <v>238</v>
      </c>
      <c r="H7" s="216" t="s">
        <v>282</v>
      </c>
      <c r="I7" s="215" t="s">
        <v>283</v>
      </c>
      <c r="J7" s="215" t="s">
        <v>284</v>
      </c>
      <c r="K7" s="215" t="s">
        <v>238</v>
      </c>
      <c r="L7" s="215" t="s">
        <v>282</v>
      </c>
      <c r="M7" s="214" t="s">
        <v>283</v>
      </c>
      <c r="N7" s="215" t="s">
        <v>284</v>
      </c>
      <c r="O7" s="215" t="s">
        <v>238</v>
      </c>
      <c r="P7" s="215" t="s">
        <v>282</v>
      </c>
      <c r="Q7" s="214" t="s">
        <v>283</v>
      </c>
      <c r="R7" s="215" t="s">
        <v>284</v>
      </c>
      <c r="S7" s="215" t="s">
        <v>238</v>
      </c>
      <c r="T7" s="216" t="s">
        <v>282</v>
      </c>
      <c r="U7" s="215" t="s">
        <v>283</v>
      </c>
      <c r="V7" s="286" t="s">
        <v>284</v>
      </c>
      <c r="W7" s="326" t="s">
        <v>238</v>
      </c>
      <c r="X7" s="432" t="s">
        <v>282</v>
      </c>
      <c r="Y7" s="433" t="s">
        <v>283</v>
      </c>
      <c r="Z7" s="333" t="s">
        <v>284</v>
      </c>
      <c r="AA7" s="326" t="s">
        <v>238</v>
      </c>
      <c r="AB7" s="326" t="s">
        <v>282</v>
      </c>
      <c r="AC7" s="269" t="s">
        <v>283</v>
      </c>
      <c r="AD7" s="267" t="s">
        <v>284</v>
      </c>
      <c r="AE7" s="270" t="s">
        <v>238</v>
      </c>
      <c r="AF7" s="270" t="s">
        <v>282</v>
      </c>
      <c r="AG7" s="269" t="s">
        <v>283</v>
      </c>
      <c r="AH7" s="862"/>
      <c r="AI7" s="862"/>
      <c r="AJ7" s="862"/>
      <c r="AK7" s="862"/>
      <c r="AL7" s="862"/>
      <c r="AM7" s="862"/>
      <c r="AN7" s="862"/>
      <c r="AO7" s="862"/>
      <c r="AP7" s="862"/>
      <c r="AQ7" s="862"/>
      <c r="AR7" s="862"/>
      <c r="AS7" s="862"/>
      <c r="AT7" s="862"/>
      <c r="AU7" s="862"/>
      <c r="AV7" s="862"/>
      <c r="AW7" s="862"/>
      <c r="AX7" s="862"/>
      <c r="AY7" s="862"/>
      <c r="AZ7" s="862"/>
      <c r="BA7" s="862"/>
      <c r="BB7" s="862"/>
      <c r="BC7" s="862"/>
    </row>
    <row r="8" spans="4:56" x14ac:dyDescent="0.35">
      <c r="D8" s="815" t="s">
        <v>466</v>
      </c>
      <c r="E8" s="55"/>
      <c r="F8" s="809"/>
      <c r="G8" s="810"/>
      <c r="H8" s="810"/>
      <c r="I8" s="810"/>
      <c r="J8" s="810"/>
      <c r="K8" s="810"/>
      <c r="L8" s="810"/>
      <c r="M8" s="810"/>
      <c r="N8" s="810"/>
      <c r="O8" s="810"/>
      <c r="P8" s="810"/>
      <c r="Q8" s="810"/>
      <c r="R8" s="810"/>
      <c r="S8" s="810"/>
      <c r="T8" s="810"/>
      <c r="U8" s="861"/>
      <c r="V8" s="861"/>
      <c r="W8" s="861"/>
      <c r="X8" s="810"/>
      <c r="Y8" s="811"/>
      <c r="Z8" s="811"/>
      <c r="AA8" s="811"/>
      <c r="AB8" s="811"/>
      <c r="AC8" s="902"/>
      <c r="AD8" s="902"/>
      <c r="AE8" s="902"/>
      <c r="AF8" s="902"/>
      <c r="AG8" s="902"/>
      <c r="AH8" s="685"/>
      <c r="AI8" s="685"/>
      <c r="AJ8" s="685"/>
      <c r="AK8" s="685"/>
      <c r="AL8" s="685"/>
      <c r="AM8" s="685"/>
      <c r="AN8" s="685"/>
      <c r="AO8" s="685"/>
      <c r="AP8" s="685"/>
      <c r="AQ8" s="685"/>
      <c r="AR8" s="685"/>
      <c r="AS8" s="685"/>
      <c r="AT8" s="685"/>
      <c r="AU8" s="685"/>
      <c r="AV8" s="685"/>
      <c r="AW8" s="685"/>
      <c r="AX8" s="685"/>
      <c r="AY8" s="685"/>
      <c r="AZ8" s="685"/>
      <c r="BA8" s="685"/>
      <c r="BB8" s="685"/>
      <c r="BC8" s="685"/>
    </row>
    <row r="9" spans="4:56" ht="14.9" customHeight="1" x14ac:dyDescent="0.35">
      <c r="D9" s="492" t="s">
        <v>481</v>
      </c>
      <c r="E9" s="814"/>
      <c r="F9" s="857">
        <f t="shared" ref="F9:S9" si="0">SUM(F10:F14)</f>
        <v>3262.7999999999997</v>
      </c>
      <c r="G9" s="857">
        <f t="shared" si="0"/>
        <v>3288.1000000000004</v>
      </c>
      <c r="H9" s="857">
        <f t="shared" si="0"/>
        <v>3338</v>
      </c>
      <c r="I9" s="857">
        <f t="shared" si="0"/>
        <v>3404.2999999999997</v>
      </c>
      <c r="J9" s="857">
        <f t="shared" si="0"/>
        <v>3145.3</v>
      </c>
      <c r="K9" s="857">
        <f t="shared" si="0"/>
        <v>3330.5</v>
      </c>
      <c r="L9" s="857">
        <f t="shared" si="0"/>
        <v>3493.7000000000003</v>
      </c>
      <c r="M9" s="857">
        <f t="shared" si="0"/>
        <v>3658.9</v>
      </c>
      <c r="N9" s="857">
        <f t="shared" si="0"/>
        <v>3818.6000000000004</v>
      </c>
      <c r="O9" s="857">
        <f t="shared" si="0"/>
        <v>3938.9</v>
      </c>
      <c r="P9" s="857">
        <f t="shared" si="0"/>
        <v>4059.7000000000003</v>
      </c>
      <c r="Q9" s="857">
        <f t="shared" si="0"/>
        <v>4353.7</v>
      </c>
      <c r="R9" s="857">
        <f t="shared" si="0"/>
        <v>4373.2</v>
      </c>
      <c r="S9" s="857">
        <f t="shared" si="0"/>
        <v>4423.7</v>
      </c>
      <c r="T9" s="857">
        <f t="shared" ref="T9:AG9" si="1">SUM(T10,T12,T14)</f>
        <v>4387.7</v>
      </c>
      <c r="U9" s="857">
        <f t="shared" si="1"/>
        <v>4116.5</v>
      </c>
      <c r="V9" s="857">
        <f t="shared" si="1"/>
        <v>4129.2</v>
      </c>
      <c r="W9" s="857">
        <f t="shared" si="1"/>
        <v>4161.7</v>
      </c>
      <c r="X9" s="857">
        <f t="shared" si="1"/>
        <v>4178.3</v>
      </c>
      <c r="Y9" s="893">
        <f t="shared" si="1"/>
        <v>4381.5</v>
      </c>
      <c r="Z9" s="893">
        <f t="shared" si="1"/>
        <v>4465.5725827905289</v>
      </c>
      <c r="AA9" s="893">
        <f t="shared" si="1"/>
        <v>4498.1927562766296</v>
      </c>
      <c r="AB9" s="893">
        <f t="shared" si="1"/>
        <v>4529.3262381783798</v>
      </c>
      <c r="AC9" s="893">
        <f t="shared" si="1"/>
        <v>4651.7948053444998</v>
      </c>
      <c r="AD9" s="893">
        <f t="shared" si="1"/>
        <v>4683.8700092139306</v>
      </c>
      <c r="AE9" s="893">
        <f t="shared" si="1"/>
        <v>4716.195578128466</v>
      </c>
      <c r="AF9" s="893">
        <f t="shared" si="1"/>
        <v>4748.7737537948406</v>
      </c>
      <c r="AG9" s="893">
        <f t="shared" si="1"/>
        <v>5012.5791407329698</v>
      </c>
      <c r="AH9" s="843"/>
      <c r="AI9" s="843"/>
      <c r="AJ9" s="843"/>
      <c r="AK9" s="843"/>
      <c r="AL9" s="843"/>
      <c r="AM9" s="843"/>
      <c r="AN9" s="843"/>
      <c r="AO9" s="843"/>
      <c r="AU9" s="885"/>
      <c r="AV9" s="885"/>
      <c r="AW9" s="885"/>
      <c r="AX9" s="885"/>
      <c r="AY9" s="885"/>
      <c r="AZ9" s="885"/>
      <c r="BA9" s="885"/>
      <c r="BB9" s="885"/>
      <c r="BC9" s="885"/>
    </row>
    <row r="10" spans="4:56" x14ac:dyDescent="0.35">
      <c r="D10" s="524" t="s">
        <v>482</v>
      </c>
      <c r="E10" s="38" t="s">
        <v>115</v>
      </c>
      <c r="F10" s="860">
        <f>'Haver Pivoted'!GQ27</f>
        <v>1689.1</v>
      </c>
      <c r="G10" s="860">
        <f>'Haver Pivoted'!GR27</f>
        <v>1700.3</v>
      </c>
      <c r="H10" s="860">
        <f>'Haver Pivoted'!GS27</f>
        <v>1732.4</v>
      </c>
      <c r="I10" s="860">
        <f>'Haver Pivoted'!GT27</f>
        <v>1767.8</v>
      </c>
      <c r="J10" s="860">
        <f>'Haver Pivoted'!GU27</f>
        <v>1631.4</v>
      </c>
      <c r="K10" s="860">
        <f>'Haver Pivoted'!GV27</f>
        <v>1747.9</v>
      </c>
      <c r="L10" s="860">
        <f>'Haver Pivoted'!GW27</f>
        <v>1866.9</v>
      </c>
      <c r="M10" s="860">
        <f>'Haver Pivoted'!GX27</f>
        <v>2013.4</v>
      </c>
      <c r="N10" s="860">
        <f>'Haver Pivoted'!GY27</f>
        <v>2118.4</v>
      </c>
      <c r="O10" s="860">
        <f>'Haver Pivoted'!GZ27</f>
        <v>2200</v>
      </c>
      <c r="P10" s="860">
        <f>'Haver Pivoted'!HA27</f>
        <v>2265.3000000000002</v>
      </c>
      <c r="Q10" s="860">
        <f>'Haver Pivoted'!HB27</f>
        <v>2506.9</v>
      </c>
      <c r="R10" s="860">
        <f>'Haver Pivoted'!HC27</f>
        <v>2502.6</v>
      </c>
      <c r="S10" s="860">
        <f>'Haver Pivoted'!HD27</f>
        <v>2521.9</v>
      </c>
      <c r="T10" s="892">
        <f>'Haver Pivoted'!HE27</f>
        <v>2490.1</v>
      </c>
      <c r="U10" s="892">
        <f>'Haver Pivoted'!HF27</f>
        <v>2181</v>
      </c>
      <c r="V10" s="892">
        <f>'Haver Pivoted'!HG27</f>
        <v>2175.1</v>
      </c>
      <c r="W10" s="892">
        <f>'Haver Pivoted'!HH27</f>
        <v>2188.6999999999998</v>
      </c>
      <c r="X10" s="892">
        <f>'Haver Pivoted'!HI27</f>
        <v>2199.8000000000002</v>
      </c>
      <c r="Y10" s="892">
        <f>'Haver Pivoted'!HJ27</f>
        <v>2364.6999999999998</v>
      </c>
      <c r="Z10" s="894">
        <f>Y10*(1.02)^0.25+Z11</f>
        <v>2423.4358442911548</v>
      </c>
      <c r="AA10" s="894">
        <f>Z10*(1.02)^0.25+AA11</f>
        <v>2435.463190558421</v>
      </c>
      <c r="AB10" s="894">
        <f>AA10*(1.02)^0.25+AB11</f>
        <v>2447.550227722219</v>
      </c>
      <c r="AC10" s="855">
        <f>AB10*(1+$L35-0.02)+AC11</f>
        <v>2550.7886090656157</v>
      </c>
      <c r="AD10" s="894">
        <f>AC10*(1.02)^0.25+AD11</f>
        <v>2563.447998390116</v>
      </c>
      <c r="AE10" s="894">
        <f>AD10*(1.02)^0.25+AE11</f>
        <v>2576.1702153975925</v>
      </c>
      <c r="AF10" s="894">
        <f>AE10*(1.02)^0.25+AF11</f>
        <v>2588.9555718975366</v>
      </c>
      <c r="AG10" s="855">
        <f>AF10*(1+$M35-0.02)+AG11</f>
        <v>2832.7767209971175</v>
      </c>
      <c r="AH10" s="843"/>
      <c r="AI10" s="843"/>
      <c r="AJ10" s="843"/>
      <c r="AK10" s="843"/>
      <c r="AL10" s="843"/>
      <c r="AM10" s="843"/>
      <c r="AN10" s="843"/>
      <c r="AO10" s="843"/>
      <c r="AU10" s="685"/>
      <c r="AV10" s="685"/>
      <c r="AW10" s="685"/>
      <c r="AX10" s="685"/>
      <c r="AY10" s="685"/>
      <c r="AZ10" s="685"/>
      <c r="BA10" s="685"/>
      <c r="BB10" s="685"/>
      <c r="BC10" s="685"/>
    </row>
    <row r="11" spans="4:56" x14ac:dyDescent="0.35">
      <c r="D11" s="524" t="s">
        <v>1753</v>
      </c>
      <c r="E11" s="38"/>
      <c r="F11" s="812"/>
      <c r="G11" s="812"/>
      <c r="H11" s="812"/>
      <c r="I11" s="812"/>
      <c r="J11" s="812"/>
      <c r="K11" s="812"/>
      <c r="L11" s="812"/>
      <c r="M11" s="812"/>
      <c r="N11" s="812"/>
      <c r="O11" s="812"/>
      <c r="P11" s="812"/>
      <c r="Q11" s="812"/>
      <c r="R11" s="812"/>
      <c r="S11" s="858"/>
      <c r="T11" s="858">
        <v>46</v>
      </c>
      <c r="U11" s="858">
        <v>-5</v>
      </c>
      <c r="V11" s="858">
        <v>12</v>
      </c>
      <c r="W11" s="858">
        <v>67</v>
      </c>
      <c r="X11" s="858">
        <v>7</v>
      </c>
      <c r="Y11" s="808">
        <v>-205</v>
      </c>
      <c r="Z11" s="808">
        <v>47</v>
      </c>
      <c r="AA11" s="808">
        <v>0</v>
      </c>
      <c r="AB11" s="808">
        <v>0</v>
      </c>
      <c r="AC11" s="808">
        <v>0</v>
      </c>
      <c r="AD11" s="808">
        <v>0</v>
      </c>
      <c r="AE11" s="808">
        <v>0</v>
      </c>
      <c r="AF11" s="808">
        <v>0</v>
      </c>
      <c r="AG11" s="808">
        <v>0</v>
      </c>
      <c r="AH11" s="843"/>
      <c r="AI11" s="843"/>
      <c r="AJ11" s="843"/>
      <c r="AK11" s="843"/>
      <c r="AL11" s="843"/>
      <c r="AM11" s="843"/>
      <c r="AN11" s="843"/>
      <c r="AO11" s="843"/>
      <c r="AU11" s="685"/>
      <c r="AV11" s="685"/>
      <c r="AW11" s="685"/>
      <c r="AX11" s="685"/>
      <c r="AY11" s="685"/>
      <c r="AZ11" s="685"/>
      <c r="BA11" s="685"/>
      <c r="BB11" s="685"/>
      <c r="BC11" s="685"/>
    </row>
    <row r="12" spans="4:56" x14ac:dyDescent="0.35">
      <c r="D12" s="524" t="s">
        <v>483</v>
      </c>
      <c r="E12" s="35" t="s">
        <v>121</v>
      </c>
      <c r="F12" s="860">
        <f>'Haver Pivoted'!GQ30</f>
        <v>1403.3</v>
      </c>
      <c r="G12" s="860">
        <f>'Haver Pivoted'!GR30</f>
        <v>1410</v>
      </c>
      <c r="H12" s="860">
        <f>'Haver Pivoted'!GS30</f>
        <v>1427.9</v>
      </c>
      <c r="I12" s="860">
        <f>'Haver Pivoted'!GT30</f>
        <v>1453.3</v>
      </c>
      <c r="J12" s="860">
        <f>'Haver Pivoted'!GU30</f>
        <v>1383.5</v>
      </c>
      <c r="K12" s="860">
        <f>'Haver Pivoted'!GV30</f>
        <v>1432.5</v>
      </c>
      <c r="L12" s="860">
        <f>'Haver Pivoted'!GW30</f>
        <v>1469</v>
      </c>
      <c r="M12" s="860">
        <f>'Haver Pivoted'!GX30</f>
        <v>1484.6</v>
      </c>
      <c r="N12" s="860">
        <f>'Haver Pivoted'!GY30</f>
        <v>1519.7</v>
      </c>
      <c r="O12" s="860">
        <f>'Haver Pivoted'!GZ30</f>
        <v>1556.8</v>
      </c>
      <c r="P12" s="860">
        <f>'Haver Pivoted'!HA30</f>
        <v>1603.4</v>
      </c>
      <c r="Q12" s="860">
        <f>'Haver Pivoted'!HB30</f>
        <v>1645.9</v>
      </c>
      <c r="R12" s="860">
        <f>'Haver Pivoted'!HC30</f>
        <v>1667.8</v>
      </c>
      <c r="S12" s="860">
        <f>'Haver Pivoted'!HD30</f>
        <v>1709.6</v>
      </c>
      <c r="T12" s="892">
        <f>'Haver Pivoted'!HE30</f>
        <v>1716.7</v>
      </c>
      <c r="U12" s="892">
        <f>'Haver Pivoted'!HF30</f>
        <v>1758.5</v>
      </c>
      <c r="V12" s="892">
        <f>'Haver Pivoted'!HG30</f>
        <v>1778.7</v>
      </c>
      <c r="W12" s="892">
        <f>'Haver Pivoted'!HH30</f>
        <v>1801.4</v>
      </c>
      <c r="X12" s="892">
        <f>'Haver Pivoted'!HI30</f>
        <v>1808.9</v>
      </c>
      <c r="Y12" s="892">
        <f>'Haver Pivoted'!HJ30</f>
        <v>1845.3</v>
      </c>
      <c r="Z12" s="894">
        <f>Y12*(1+$K37)^0.25+Z13</f>
        <v>1868.3211973126618</v>
      </c>
      <c r="AA12" s="894">
        <f>Z12*(1+$K37)^0.25+AA13</f>
        <v>1886.567219607248</v>
      </c>
      <c r="AB12" s="894">
        <f t="shared" ref="AB12:AG12" si="2">AA12*(1+$L37)^0.25+AB13</f>
        <v>1902.8607387488928</v>
      </c>
      <c r="AC12" s="894">
        <f t="shared" si="2"/>
        <v>1919.2949784348468</v>
      </c>
      <c r="AD12" s="894">
        <f t="shared" si="2"/>
        <v>1935.871154011618</v>
      </c>
      <c r="AE12" s="894">
        <f t="shared" si="2"/>
        <v>1952.5904913221714</v>
      </c>
      <c r="AF12" s="894">
        <f t="shared" si="2"/>
        <v>1969.4542267965824</v>
      </c>
      <c r="AG12" s="894">
        <f t="shared" si="2"/>
        <v>1986.4636075434735</v>
      </c>
      <c r="AH12" s="843"/>
      <c r="AI12" s="843"/>
      <c r="AJ12" s="843"/>
      <c r="AK12" s="843"/>
      <c r="AL12" s="843"/>
      <c r="AM12" s="843"/>
      <c r="AN12" s="843"/>
      <c r="AO12" s="843"/>
      <c r="AU12" s="685"/>
      <c r="AV12" s="685"/>
      <c r="AW12" s="685"/>
      <c r="AX12" s="685"/>
      <c r="AY12" s="685"/>
      <c r="AZ12" s="685"/>
      <c r="BA12" s="685"/>
      <c r="BB12" s="685"/>
      <c r="BC12" s="685"/>
    </row>
    <row r="13" spans="4:56" x14ac:dyDescent="0.35">
      <c r="D13" s="524" t="s">
        <v>1736</v>
      </c>
      <c r="E13" s="35"/>
      <c r="F13" s="812"/>
      <c r="G13" s="812"/>
      <c r="H13" s="812"/>
      <c r="I13" s="812"/>
      <c r="J13" s="812"/>
      <c r="K13" s="812"/>
      <c r="L13" s="812"/>
      <c r="M13" s="812"/>
      <c r="N13" s="812"/>
      <c r="O13" s="812"/>
      <c r="P13" s="812"/>
      <c r="Q13" s="812"/>
      <c r="R13" s="812"/>
      <c r="S13" s="812"/>
      <c r="T13" s="858"/>
      <c r="U13" s="858">
        <v>8</v>
      </c>
      <c r="V13" s="858">
        <v>-10</v>
      </c>
      <c r="W13" s="858">
        <v>-5</v>
      </c>
      <c r="X13" s="858">
        <v>-6</v>
      </c>
      <c r="Y13" s="808">
        <v>21</v>
      </c>
      <c r="Z13" s="808">
        <v>5</v>
      </c>
      <c r="AA13" s="808"/>
      <c r="AB13" s="808"/>
      <c r="AC13" s="808"/>
      <c r="AD13" s="808"/>
      <c r="AE13" s="808"/>
      <c r="AF13" s="808"/>
      <c r="AG13" s="808"/>
      <c r="AH13" s="843"/>
      <c r="AI13" s="843"/>
      <c r="AJ13" s="843"/>
      <c r="AK13" s="843"/>
      <c r="AL13" s="843"/>
      <c r="AM13" s="843"/>
      <c r="AN13" s="843"/>
      <c r="AO13" s="843"/>
      <c r="AU13" s="685"/>
      <c r="AV13" s="685"/>
      <c r="AW13" s="685"/>
      <c r="AX13" s="685"/>
      <c r="AY13" s="685"/>
      <c r="AZ13" s="685"/>
      <c r="BA13" s="685"/>
      <c r="BB13" s="685"/>
      <c r="BC13" s="685"/>
    </row>
    <row r="14" spans="4:56" x14ac:dyDescent="0.35">
      <c r="D14" s="524" t="s">
        <v>484</v>
      </c>
      <c r="E14" s="38" t="s">
        <v>117</v>
      </c>
      <c r="F14" s="860">
        <f>'Haver Pivoted'!GQ28</f>
        <v>170.4</v>
      </c>
      <c r="G14" s="860">
        <f>'Haver Pivoted'!GR28</f>
        <v>177.8</v>
      </c>
      <c r="H14" s="860">
        <f>'Haver Pivoted'!GS28</f>
        <v>177.7</v>
      </c>
      <c r="I14" s="860">
        <f>'Haver Pivoted'!GT28</f>
        <v>183.2</v>
      </c>
      <c r="J14" s="860">
        <f>'Haver Pivoted'!GU28</f>
        <v>130.4</v>
      </c>
      <c r="K14" s="860">
        <f>'Haver Pivoted'!GV28</f>
        <v>150.1</v>
      </c>
      <c r="L14" s="860">
        <f>'Haver Pivoted'!GW28</f>
        <v>157.80000000000001</v>
      </c>
      <c r="M14" s="860">
        <f>'Haver Pivoted'!GX28</f>
        <v>160.9</v>
      </c>
      <c r="N14" s="860">
        <f>'Haver Pivoted'!GY28</f>
        <v>180.5</v>
      </c>
      <c r="O14" s="860">
        <f>'Haver Pivoted'!GZ28</f>
        <v>182.1</v>
      </c>
      <c r="P14" s="860">
        <f>'Haver Pivoted'!HA28</f>
        <v>191</v>
      </c>
      <c r="Q14" s="860">
        <f>'Haver Pivoted'!HB28</f>
        <v>200.9</v>
      </c>
      <c r="R14" s="860">
        <f>'Haver Pivoted'!HC28</f>
        <v>202.8</v>
      </c>
      <c r="S14" s="860">
        <f>'Haver Pivoted'!HD28</f>
        <v>192.2</v>
      </c>
      <c r="T14" s="892">
        <f>'Haver Pivoted'!HE28</f>
        <v>180.9</v>
      </c>
      <c r="U14" s="892">
        <f>'Haver Pivoted'!HF28</f>
        <v>177</v>
      </c>
      <c r="V14" s="892">
        <f>'Haver Pivoted'!HG28</f>
        <v>175.4</v>
      </c>
      <c r="W14" s="892">
        <f>'Haver Pivoted'!HH28</f>
        <v>171.6</v>
      </c>
      <c r="X14" s="892">
        <f>'Haver Pivoted'!HI28</f>
        <v>169.6</v>
      </c>
      <c r="Y14" s="892">
        <f>'Haver Pivoted'!HJ28</f>
        <v>171.5</v>
      </c>
      <c r="Z14" s="894">
        <f>Y14*(1+$K38)^0.25</f>
        <v>173.81554118671247</v>
      </c>
      <c r="AA14" s="894">
        <f>Z14*(1+$K38)^0.25</f>
        <v>176.16234611096056</v>
      </c>
      <c r="AB14" s="894">
        <f t="shared" ref="AB14:AG14" si="3">AA14*(1+$L38)^0.25</f>
        <v>178.91527170726778</v>
      </c>
      <c r="AC14" s="894">
        <f t="shared" si="3"/>
        <v>181.71121784403732</v>
      </c>
      <c r="AD14" s="894">
        <f t="shared" si="3"/>
        <v>184.5508568121964</v>
      </c>
      <c r="AE14" s="894">
        <f t="shared" si="3"/>
        <v>187.43487140870226</v>
      </c>
      <c r="AF14" s="894">
        <f t="shared" si="3"/>
        <v>190.36395510072211</v>
      </c>
      <c r="AG14" s="894">
        <f t="shared" si="3"/>
        <v>193.33881219237873</v>
      </c>
      <c r="AH14" s="843"/>
      <c r="AI14" s="843"/>
      <c r="AJ14" s="843"/>
      <c r="AK14" s="843"/>
      <c r="AL14" s="843"/>
      <c r="AM14" s="843"/>
      <c r="AN14" s="843"/>
      <c r="AO14" s="843"/>
      <c r="AU14" s="685"/>
      <c r="AV14" s="685"/>
      <c r="AW14" s="685"/>
      <c r="AX14" s="685"/>
      <c r="AY14" s="685"/>
      <c r="AZ14" s="685"/>
      <c r="BA14" s="685"/>
      <c r="BB14" s="685"/>
      <c r="BC14" s="685"/>
    </row>
    <row r="15" spans="4:56" x14ac:dyDescent="0.35">
      <c r="D15" s="877" t="s">
        <v>1430</v>
      </c>
      <c r="E15" s="878"/>
      <c r="F15" s="813"/>
      <c r="G15" s="812"/>
      <c r="H15" s="812"/>
      <c r="I15" s="812"/>
      <c r="J15" s="812"/>
      <c r="K15" s="812"/>
      <c r="L15" s="812"/>
      <c r="M15" s="812"/>
      <c r="N15" s="812"/>
      <c r="O15" s="812"/>
      <c r="P15" s="812"/>
      <c r="Q15" s="812"/>
      <c r="R15" s="812"/>
      <c r="S15" s="858"/>
      <c r="T15" s="858"/>
      <c r="U15" s="858">
        <v>0</v>
      </c>
      <c r="V15" s="858">
        <v>0</v>
      </c>
      <c r="W15" s="858">
        <v>0</v>
      </c>
      <c r="X15" s="858">
        <v>0</v>
      </c>
      <c r="Y15" s="808">
        <v>0</v>
      </c>
      <c r="Z15" s="808">
        <v>0</v>
      </c>
      <c r="AA15" s="808">
        <v>0</v>
      </c>
      <c r="AB15" s="808">
        <v>0</v>
      </c>
      <c r="AC15" s="808">
        <v>0</v>
      </c>
      <c r="AD15" s="808">
        <v>1</v>
      </c>
      <c r="AE15" s="808">
        <v>2</v>
      </c>
      <c r="AF15" s="808">
        <v>3</v>
      </c>
      <c r="AG15" s="808">
        <v>4</v>
      </c>
      <c r="AH15" s="843"/>
      <c r="AI15" s="843"/>
      <c r="AJ15" s="843"/>
      <c r="AK15" s="843"/>
      <c r="AL15" s="843"/>
      <c r="AM15" s="843"/>
      <c r="AN15" s="843"/>
      <c r="AO15" s="843"/>
      <c r="AU15" s="685"/>
      <c r="AV15" s="685"/>
      <c r="AW15" s="685"/>
      <c r="AX15" s="685"/>
      <c r="AY15" s="685"/>
      <c r="AZ15" s="685"/>
      <c r="BA15" s="685"/>
      <c r="BB15" s="685"/>
      <c r="BC15" s="685"/>
    </row>
    <row r="16" spans="4:56" ht="14.9" customHeight="1" x14ac:dyDescent="0.35">
      <c r="D16" s="424" t="s">
        <v>1903</v>
      </c>
      <c r="E16" s="874" t="s">
        <v>119</v>
      </c>
      <c r="F16" s="801">
        <f>'Haver Pivoted'!GQ29</f>
        <v>210.4</v>
      </c>
      <c r="G16" s="859">
        <f>'Haver Pivoted'!GR29</f>
        <v>198.2</v>
      </c>
      <c r="H16" s="859">
        <f>'Haver Pivoted'!GS29</f>
        <v>233.1</v>
      </c>
      <c r="I16" s="859">
        <f>'Haver Pivoted'!GT29</f>
        <v>189.6</v>
      </c>
      <c r="J16" s="859">
        <f>'Haver Pivoted'!GU29</f>
        <v>199.8</v>
      </c>
      <c r="K16" s="859">
        <f>'Haver Pivoted'!GV29</f>
        <v>246.8</v>
      </c>
      <c r="L16" s="859">
        <f>'Haver Pivoted'!GW29</f>
        <v>250.9</v>
      </c>
      <c r="M16" s="859">
        <f>'Haver Pivoted'!GX29</f>
        <v>252.3</v>
      </c>
      <c r="N16" s="859">
        <f>'Haver Pivoted'!GY29</f>
        <v>283.60000000000002</v>
      </c>
      <c r="O16" s="859">
        <f>'Haver Pivoted'!GZ29</f>
        <v>279.8</v>
      </c>
      <c r="P16" s="859">
        <f>'Haver Pivoted'!HA29</f>
        <v>303.89999999999998</v>
      </c>
      <c r="Q16" s="859">
        <f>'Haver Pivoted'!HB29</f>
        <v>329.8</v>
      </c>
      <c r="R16" s="859">
        <f>'Haver Pivoted'!HC29</f>
        <v>388.8</v>
      </c>
      <c r="S16" s="859">
        <f>'Haver Pivoted'!HD29</f>
        <v>383.6</v>
      </c>
      <c r="T16" s="852">
        <f>'Haver Pivoted'!HE29</f>
        <v>373.6</v>
      </c>
      <c r="U16" s="852">
        <f>'Haver Pivoted'!HF29</f>
        <v>388.6</v>
      </c>
      <c r="V16" s="852">
        <f>'Haver Pivoted'!HG29</f>
        <v>403.3</v>
      </c>
      <c r="W16" s="852">
        <f>'Haver Pivoted'!HH29</f>
        <v>418</v>
      </c>
      <c r="X16" s="852">
        <f>'Haver Pivoted'!HI29</f>
        <v>429.4</v>
      </c>
      <c r="Y16" s="852">
        <f>'Haver Pivoted'!HJ29</f>
        <v>453.8</v>
      </c>
      <c r="Z16" s="894">
        <f>Y16*(1+$K39)^0.25</f>
        <v>452.91219475403256</v>
      </c>
      <c r="AA16" s="894">
        <f>Z16*(1+$K39)^0.25</f>
        <v>452.02612639249605</v>
      </c>
      <c r="AB16" s="894">
        <f t="shared" ref="AB16:AG16" si="4">AA16*(1+$L39)^0.25</f>
        <v>467.36315364789112</v>
      </c>
      <c r="AC16" s="894">
        <f t="shared" si="4"/>
        <v>483.2205588002675</v>
      </c>
      <c r="AD16" s="894">
        <f t="shared" si="4"/>
        <v>499.61599801930896</v>
      </c>
      <c r="AE16" s="894">
        <f t="shared" si="4"/>
        <v>516.56772653997427</v>
      </c>
      <c r="AF16" s="894">
        <f t="shared" si="4"/>
        <v>534.09461898849133</v>
      </c>
      <c r="AG16" s="894">
        <f t="shared" si="4"/>
        <v>552.21619039800248</v>
      </c>
      <c r="AH16" s="843"/>
      <c r="AI16" s="843"/>
      <c r="AJ16" s="843"/>
      <c r="AK16" s="843"/>
      <c r="AL16" s="843"/>
      <c r="AM16" s="843"/>
      <c r="AN16" s="843"/>
      <c r="AO16" s="843"/>
      <c r="AU16" s="885"/>
      <c r="AV16" s="885"/>
      <c r="AW16" s="885"/>
      <c r="AX16" s="885"/>
      <c r="AY16" s="885"/>
      <c r="AZ16" s="885"/>
      <c r="BA16" s="885"/>
      <c r="BB16" s="885"/>
      <c r="BC16" s="885"/>
    </row>
    <row r="17" spans="4:55" ht="14.9" customHeight="1" x14ac:dyDescent="0.35">
      <c r="D17" s="424"/>
      <c r="E17" s="874"/>
      <c r="F17" s="801"/>
      <c r="G17" s="859"/>
      <c r="H17" s="859"/>
      <c r="I17" s="859"/>
      <c r="J17" s="859"/>
      <c r="K17" s="859"/>
      <c r="L17" s="859"/>
      <c r="M17" s="859"/>
      <c r="N17" s="859"/>
      <c r="O17" s="859"/>
      <c r="P17" s="859"/>
      <c r="Q17" s="859"/>
      <c r="R17" s="859"/>
      <c r="S17" s="859"/>
      <c r="T17" s="859"/>
      <c r="U17" s="859"/>
      <c r="V17" s="859"/>
      <c r="W17" s="859"/>
      <c r="X17" s="890"/>
      <c r="Y17" s="890"/>
      <c r="Z17" s="890"/>
      <c r="AA17" s="890"/>
      <c r="AB17" s="890"/>
      <c r="AC17" s="890"/>
      <c r="AD17" s="890"/>
      <c r="AE17" s="890"/>
      <c r="AF17" s="890"/>
      <c r="AG17" s="890"/>
      <c r="AH17" s="843"/>
      <c r="AI17" s="843"/>
      <c r="AJ17" s="843"/>
      <c r="AK17" s="843"/>
      <c r="AL17" s="843"/>
      <c r="AM17" s="843"/>
      <c r="AN17" s="843"/>
      <c r="AO17" s="843"/>
      <c r="AU17" s="885"/>
      <c r="AV17" s="885"/>
      <c r="AW17" s="885"/>
      <c r="AX17" s="885"/>
      <c r="AY17" s="885"/>
      <c r="AZ17" s="885"/>
      <c r="BA17" s="885"/>
      <c r="BB17" s="885"/>
      <c r="BC17" s="885"/>
    </row>
    <row r="18" spans="4:55" x14ac:dyDescent="0.35">
      <c r="D18" s="807" t="s">
        <v>473</v>
      </c>
      <c r="E18" s="417"/>
      <c r="F18" s="911"/>
      <c r="G18" s="903"/>
      <c r="H18" s="903"/>
      <c r="I18" s="903"/>
      <c r="J18" s="903"/>
      <c r="K18" s="903"/>
      <c r="L18" s="903"/>
      <c r="M18" s="903"/>
      <c r="N18" s="903"/>
      <c r="O18" s="903"/>
      <c r="P18" s="903"/>
      <c r="Q18" s="903"/>
      <c r="R18" s="903"/>
      <c r="S18" s="903"/>
      <c r="T18" s="903"/>
      <c r="U18" s="810"/>
      <c r="V18" s="903"/>
      <c r="W18" s="903"/>
      <c r="X18" s="903"/>
      <c r="Y18" s="903"/>
      <c r="Z18" s="903"/>
      <c r="AA18" s="903"/>
      <c r="AB18" s="903"/>
      <c r="AC18" s="903"/>
      <c r="AF18" s="843"/>
      <c r="AG18" s="843"/>
      <c r="AH18" s="843"/>
      <c r="AI18" s="843"/>
      <c r="AJ18" s="843"/>
      <c r="AK18" s="843"/>
      <c r="AL18" s="843"/>
      <c r="AM18" s="843"/>
      <c r="AN18" s="843"/>
      <c r="AO18" s="843"/>
    </row>
    <row r="19" spans="4:55" ht="14.9" customHeight="1" x14ac:dyDescent="0.35">
      <c r="D19" s="884" t="s">
        <v>481</v>
      </c>
      <c r="E19" s="875"/>
      <c r="F19" s="801">
        <f t="shared" ref="F19:P19" si="5">SUM(F21:F24)</f>
        <v>1902.6999999999998</v>
      </c>
      <c r="G19" s="859">
        <f t="shared" si="5"/>
        <v>1892.4</v>
      </c>
      <c r="H19" s="859">
        <f t="shared" si="5"/>
        <v>1884.5</v>
      </c>
      <c r="I19" s="859">
        <f t="shared" si="5"/>
        <v>1887.9</v>
      </c>
      <c r="J19" s="859">
        <f t="shared" si="5"/>
        <v>1790.3</v>
      </c>
      <c r="K19" s="859">
        <f t="shared" si="5"/>
        <v>1921.1</v>
      </c>
      <c r="L19" s="859">
        <f t="shared" si="5"/>
        <v>1953.6</v>
      </c>
      <c r="M19" s="859">
        <f t="shared" si="5"/>
        <v>2006.3</v>
      </c>
      <c r="N19" s="859">
        <f t="shared" si="5"/>
        <v>2102.1999999999998</v>
      </c>
      <c r="O19" s="859">
        <f t="shared" si="5"/>
        <v>2115.6999999999998</v>
      </c>
      <c r="P19" s="859">
        <f t="shared" si="5"/>
        <v>2213.6999999999998</v>
      </c>
      <c r="Q19" s="859">
        <f>SUM(Q20:Q24)</f>
        <v>2261.8999999999996</v>
      </c>
      <c r="R19" s="859">
        <f t="shared" ref="R19:T19" si="6">SUM(R20:R24)</f>
        <v>2287.3000000000002</v>
      </c>
      <c r="S19" s="859">
        <f t="shared" si="6"/>
        <v>2269.4</v>
      </c>
      <c r="T19" s="859">
        <f t="shared" si="6"/>
        <v>2267.1999999999998</v>
      </c>
      <c r="U19" s="859">
        <f>SUM(U21:U24)</f>
        <v>2258.3000000000002</v>
      </c>
      <c r="V19" s="859">
        <f>SUM(V20:V24)</f>
        <v>2196.4</v>
      </c>
      <c r="W19" s="859">
        <f>SUM(W20,W21,W23,W24)</f>
        <v>2257.6999999999998</v>
      </c>
      <c r="X19" s="859">
        <f>SUM(X20,X21,X23,X24)</f>
        <v>2293</v>
      </c>
      <c r="Y19" s="896">
        <f>SUM(Y20,Y21,Y23,Y24)</f>
        <v>2296.6999999999998</v>
      </c>
      <c r="Z19" s="896">
        <f t="shared" ref="Z19:AF19" si="7">SUM(Z20,Z21,Z23,Z24)</f>
        <v>2339.2235824181621</v>
      </c>
      <c r="AA19" s="896">
        <f t="shared" si="7"/>
        <v>2371.0677549482875</v>
      </c>
      <c r="AB19" s="896">
        <f t="shared" si="7"/>
        <v>2394.910285239449</v>
      </c>
      <c r="AC19" s="896">
        <f t="shared" si="7"/>
        <v>2419.4883941419525</v>
      </c>
      <c r="AD19" s="896">
        <f t="shared" si="7"/>
        <v>2444.0058245704026</v>
      </c>
      <c r="AE19" s="896">
        <f t="shared" si="7"/>
        <v>2467.5642635095865</v>
      </c>
      <c r="AF19" s="896">
        <f t="shared" si="7"/>
        <v>2490.8106652938673</v>
      </c>
      <c r="AG19" s="896">
        <f>SUM(AG20,AG21,AG23,AG24)</f>
        <v>2511.6029479748304</v>
      </c>
      <c r="AH19" s="843"/>
      <c r="AI19" s="843"/>
      <c r="AJ19" s="843"/>
      <c r="AK19" s="843"/>
      <c r="AL19" s="843"/>
      <c r="AM19" s="843"/>
      <c r="AN19" s="843"/>
      <c r="AO19" s="843"/>
    </row>
    <row r="20" spans="4:55" ht="42" customHeight="1" x14ac:dyDescent="0.35">
      <c r="D20" s="880" t="s">
        <v>827</v>
      </c>
      <c r="E20" s="875"/>
      <c r="F20" s="801"/>
      <c r="G20" s="859"/>
      <c r="H20" s="859"/>
      <c r="I20" s="859"/>
      <c r="J20" s="859"/>
      <c r="K20" s="859"/>
      <c r="L20" s="859"/>
      <c r="M20" s="859"/>
      <c r="N20" s="859"/>
      <c r="O20" s="859"/>
      <c r="P20" s="859"/>
      <c r="Q20" s="401"/>
      <c r="R20" s="401"/>
      <c r="S20" s="401"/>
      <c r="T20" s="401"/>
      <c r="U20" s="401">
        <v>0</v>
      </c>
      <c r="V20" s="401"/>
      <c r="W20" s="401"/>
      <c r="X20" s="401"/>
      <c r="Y20" s="346"/>
      <c r="Z20" s="346"/>
      <c r="AA20" s="346"/>
      <c r="AB20" s="346"/>
      <c r="AC20" s="346"/>
      <c r="AD20" s="346"/>
      <c r="AE20" s="346"/>
      <c r="AF20" s="346"/>
      <c r="AG20" s="346"/>
      <c r="AH20" s="843"/>
      <c r="AI20" s="843"/>
      <c r="AJ20" s="843"/>
      <c r="AK20" s="843"/>
      <c r="AL20" s="843"/>
      <c r="AM20" s="843"/>
      <c r="AN20" s="843"/>
      <c r="AO20" s="843"/>
    </row>
    <row r="21" spans="4:55" x14ac:dyDescent="0.35">
      <c r="D21" s="524" t="s">
        <v>486</v>
      </c>
      <c r="E21" s="35" t="s">
        <v>487</v>
      </c>
      <c r="F21" s="846">
        <f>'Haver Pivoted'!GQ33</f>
        <v>533.1</v>
      </c>
      <c r="G21" s="860">
        <f>'Haver Pivoted'!GR33</f>
        <v>497.6</v>
      </c>
      <c r="H21" s="860">
        <f>'Haver Pivoted'!GS33</f>
        <v>488</v>
      </c>
      <c r="I21" s="860">
        <f>'Haver Pivoted'!GT33</f>
        <v>488.2</v>
      </c>
      <c r="J21" s="860">
        <f>'Haver Pivoted'!GU33</f>
        <v>480.5</v>
      </c>
      <c r="K21" s="860">
        <f>'Haver Pivoted'!GV33</f>
        <v>515.5</v>
      </c>
      <c r="L21" s="860">
        <f>'Haver Pivoted'!GW33</f>
        <v>527.9</v>
      </c>
      <c r="M21" s="860">
        <f>'Haver Pivoted'!GX33</f>
        <v>564.20000000000005</v>
      </c>
      <c r="N21" s="860">
        <f>'Haver Pivoted'!GY33</f>
        <v>585.6</v>
      </c>
      <c r="O21" s="860">
        <f>'Haver Pivoted'!GZ33</f>
        <v>589.79999999999995</v>
      </c>
      <c r="P21" s="860">
        <f>'Haver Pivoted'!HA33</f>
        <v>636.29999999999995</v>
      </c>
      <c r="Q21" s="860">
        <f>'Haver Pivoted'!HB33</f>
        <v>655.9</v>
      </c>
      <c r="R21" s="860">
        <f>'Haver Pivoted'!HC33</f>
        <v>655.1</v>
      </c>
      <c r="S21" s="860">
        <f>'Haver Pivoted'!HD33</f>
        <v>615.20000000000005</v>
      </c>
      <c r="T21" s="892">
        <f>'Haver Pivoted'!HE33</f>
        <v>605.6</v>
      </c>
      <c r="U21" s="892">
        <f>'Haver Pivoted'!HF33</f>
        <v>582.70000000000005</v>
      </c>
      <c r="V21" s="892">
        <f>'Haver Pivoted'!HG33</f>
        <v>528.79999999999995</v>
      </c>
      <c r="W21" s="892">
        <f>'Haver Pivoted'!HH33</f>
        <v>576.6</v>
      </c>
      <c r="X21" s="892">
        <f>'Haver Pivoted'!HI33</f>
        <v>592.6</v>
      </c>
      <c r="Y21" s="892">
        <f>'Haver Pivoted'!HJ33</f>
        <v>584.4</v>
      </c>
      <c r="Z21" s="897">
        <f t="shared" ref="Z21:AG21" si="8">$Y119*Z128*(Z101/$Y101)+Z20+Z22</f>
        <v>598.87599172896444</v>
      </c>
      <c r="AA21" s="897">
        <f t="shared" si="8"/>
        <v>609.9095975823127</v>
      </c>
      <c r="AB21" s="897">
        <f t="shared" si="8"/>
        <v>618.34049944329581</v>
      </c>
      <c r="AC21" s="897">
        <f t="shared" si="8"/>
        <v>626.22297439160172</v>
      </c>
      <c r="AD21" s="897">
        <f t="shared" si="8"/>
        <v>633.99080642595834</v>
      </c>
      <c r="AE21" s="897">
        <f t="shared" si="8"/>
        <v>641.59442023222527</v>
      </c>
      <c r="AF21" s="897">
        <f t="shared" si="8"/>
        <v>649.39633529505329</v>
      </c>
      <c r="AG21" s="897">
        <f t="shared" si="8"/>
        <v>656.74587561635121</v>
      </c>
      <c r="AH21" s="843"/>
      <c r="AI21" s="843"/>
      <c r="AJ21" s="843"/>
      <c r="AK21" s="843"/>
      <c r="AL21" s="843"/>
      <c r="AM21" s="843"/>
      <c r="AN21" s="843"/>
      <c r="AO21" s="843"/>
    </row>
    <row r="22" spans="4:55" x14ac:dyDescent="0.35">
      <c r="D22" s="524" t="s">
        <v>1914</v>
      </c>
      <c r="E22" s="35"/>
      <c r="F22" s="846"/>
      <c r="G22" s="860"/>
      <c r="H22" s="860"/>
      <c r="I22" s="860"/>
      <c r="J22" s="860"/>
      <c r="K22" s="860"/>
      <c r="L22" s="860"/>
      <c r="M22" s="860"/>
      <c r="N22" s="860"/>
      <c r="O22" s="860"/>
      <c r="P22" s="860"/>
      <c r="Q22" s="860"/>
      <c r="R22" s="860"/>
      <c r="S22" s="860"/>
      <c r="T22" s="892"/>
      <c r="U22" s="892"/>
      <c r="V22" s="892"/>
      <c r="W22" s="860">
        <v>20</v>
      </c>
      <c r="X22" s="860">
        <v>20</v>
      </c>
      <c r="Y22" s="897">
        <v>0</v>
      </c>
      <c r="Z22" s="897">
        <v>0</v>
      </c>
      <c r="AA22" s="897">
        <v>0</v>
      </c>
      <c r="AB22" s="897">
        <v>0</v>
      </c>
      <c r="AC22" s="897">
        <v>0</v>
      </c>
      <c r="AD22" s="897">
        <v>0</v>
      </c>
      <c r="AE22" s="897">
        <v>0</v>
      </c>
      <c r="AF22" s="897">
        <v>0</v>
      </c>
      <c r="AG22" s="897">
        <v>0</v>
      </c>
      <c r="AH22" s="843"/>
      <c r="AI22" s="843"/>
      <c r="AJ22" s="843"/>
      <c r="AK22" s="843"/>
      <c r="AL22" s="843"/>
      <c r="AM22" s="843"/>
      <c r="AN22" s="843"/>
      <c r="AO22" s="843"/>
    </row>
    <row r="23" spans="4:55" x14ac:dyDescent="0.35">
      <c r="D23" s="524" t="s">
        <v>483</v>
      </c>
      <c r="E23" s="35" t="s">
        <v>488</v>
      </c>
      <c r="F23" s="846">
        <f>'Haver Pivoted'!GQ36</f>
        <v>20.8</v>
      </c>
      <c r="G23" s="860">
        <f>'Haver Pivoted'!GR36</f>
        <v>20.6</v>
      </c>
      <c r="H23" s="860">
        <f>'Haver Pivoted'!GS36</f>
        <v>20.399999999999999</v>
      </c>
      <c r="I23" s="860">
        <f>'Haver Pivoted'!GT36</f>
        <v>20.3</v>
      </c>
      <c r="J23" s="860">
        <f>'Haver Pivoted'!GU36</f>
        <v>19.3</v>
      </c>
      <c r="K23" s="860">
        <f>'Haver Pivoted'!GV36</f>
        <v>19.899999999999999</v>
      </c>
      <c r="L23" s="860">
        <f>'Haver Pivoted'!GW36</f>
        <v>20.7</v>
      </c>
      <c r="M23" s="860">
        <f>'Haver Pivoted'!GX36</f>
        <v>21.3</v>
      </c>
      <c r="N23" s="860">
        <f>'Haver Pivoted'!GY36</f>
        <v>22</v>
      </c>
      <c r="O23" s="860">
        <f>'Haver Pivoted'!GZ36</f>
        <v>22.6</v>
      </c>
      <c r="P23" s="860">
        <f>'Haver Pivoted'!HA36</f>
        <v>22.9</v>
      </c>
      <c r="Q23" s="860">
        <f>'Haver Pivoted'!HB36</f>
        <v>22.9</v>
      </c>
      <c r="R23" s="860">
        <f>'Haver Pivoted'!HC36</f>
        <v>22.6</v>
      </c>
      <c r="S23" s="860">
        <f>'Haver Pivoted'!HD36</f>
        <v>22.4</v>
      </c>
      <c r="T23" s="892">
        <f>'Haver Pivoted'!HE36</f>
        <v>22</v>
      </c>
      <c r="U23" s="892">
        <f>'Haver Pivoted'!HF36</f>
        <v>21.5</v>
      </c>
      <c r="V23" s="892">
        <f>'Haver Pivoted'!HG36</f>
        <v>21.4</v>
      </c>
      <c r="W23" s="892">
        <f>'Haver Pivoted'!HH36</f>
        <v>21.9</v>
      </c>
      <c r="X23" s="892">
        <f>'Haver Pivoted'!HI36</f>
        <v>22.8</v>
      </c>
      <c r="Y23" s="892">
        <f>'Haver Pivoted'!HJ36</f>
        <v>24.3</v>
      </c>
      <c r="Z23" s="897">
        <f>$Y120*Z129*(Z102/$Y102)</f>
        <v>24.641719370495661</v>
      </c>
      <c r="AA23" s="897">
        <f t="shared" ref="AA23:AG23" si="9">$Y120*AA129*(AA102/$Y102)</f>
        <v>24.941145756728933</v>
      </c>
      <c r="AB23" s="897">
        <f t="shared" si="9"/>
        <v>25.224488895425797</v>
      </c>
      <c r="AC23" s="897">
        <f t="shared" si="9"/>
        <v>25.498896896602439</v>
      </c>
      <c r="AD23" s="897">
        <f t="shared" si="9"/>
        <v>25.774496249448447</v>
      </c>
      <c r="AE23" s="897">
        <f t="shared" si="9"/>
        <v>26.046918664509487</v>
      </c>
      <c r="AF23" s="897">
        <f t="shared" si="9"/>
        <v>26.319142520958966</v>
      </c>
      <c r="AG23" s="897">
        <f t="shared" si="9"/>
        <v>26.586203853507868</v>
      </c>
      <c r="AH23" s="843"/>
      <c r="AI23" s="843"/>
      <c r="AJ23" s="843"/>
      <c r="AK23" s="843"/>
      <c r="AL23" s="843"/>
      <c r="AM23" s="843"/>
      <c r="AN23" s="843"/>
      <c r="AO23" s="843"/>
    </row>
    <row r="24" spans="4:55" x14ac:dyDescent="0.35">
      <c r="D24" s="524" t="s">
        <v>484</v>
      </c>
      <c r="E24" s="35" t="s">
        <v>489</v>
      </c>
      <c r="F24" s="846">
        <f>'Haver Pivoted'!GQ34</f>
        <v>1348.8</v>
      </c>
      <c r="G24" s="860">
        <f>'Haver Pivoted'!GR34</f>
        <v>1374.2</v>
      </c>
      <c r="H24" s="860">
        <f>'Haver Pivoted'!GS34</f>
        <v>1376.1</v>
      </c>
      <c r="I24" s="860">
        <f>'Haver Pivoted'!GT34</f>
        <v>1379.4</v>
      </c>
      <c r="J24" s="860">
        <f>'Haver Pivoted'!GU34</f>
        <v>1290.5</v>
      </c>
      <c r="K24" s="860">
        <f>'Haver Pivoted'!GV34</f>
        <v>1385.7</v>
      </c>
      <c r="L24" s="860">
        <f>'Haver Pivoted'!GW34</f>
        <v>1405</v>
      </c>
      <c r="M24" s="860">
        <f>'Haver Pivoted'!GX34</f>
        <v>1420.8</v>
      </c>
      <c r="N24" s="860">
        <f>'Haver Pivoted'!GY34</f>
        <v>1494.6</v>
      </c>
      <c r="O24" s="860">
        <f>'Haver Pivoted'!GZ34</f>
        <v>1503.3</v>
      </c>
      <c r="P24" s="860">
        <f>'Haver Pivoted'!HA34</f>
        <v>1554.5</v>
      </c>
      <c r="Q24" s="860">
        <f>'Haver Pivoted'!HB34</f>
        <v>1583.1</v>
      </c>
      <c r="R24" s="860">
        <f>'Haver Pivoted'!HC34</f>
        <v>1609.6</v>
      </c>
      <c r="S24" s="860">
        <f>'Haver Pivoted'!HD34</f>
        <v>1631.8</v>
      </c>
      <c r="T24" s="892">
        <f>'Haver Pivoted'!HE34</f>
        <v>1639.6</v>
      </c>
      <c r="U24" s="892">
        <f>'Haver Pivoted'!HF34</f>
        <v>1654.1</v>
      </c>
      <c r="V24" s="892">
        <f>'Haver Pivoted'!HG34</f>
        <v>1646.2</v>
      </c>
      <c r="W24" s="892">
        <f>'Haver Pivoted'!HH34</f>
        <v>1659.2</v>
      </c>
      <c r="X24" s="892">
        <f>'Haver Pivoted'!HI34</f>
        <v>1677.6</v>
      </c>
      <c r="Y24" s="892">
        <f>'Haver Pivoted'!HJ34</f>
        <v>1688</v>
      </c>
      <c r="Z24" s="897">
        <f>$Y125*Z130*(Z104/$Y104)</f>
        <v>1715.7058713187018</v>
      </c>
      <c r="AA24" s="897">
        <f t="shared" ref="AA24:AG24" si="10">$Y125*AA130*(AA104/$Y104)</f>
        <v>1736.2170116092459</v>
      </c>
      <c r="AB24" s="897">
        <f t="shared" si="10"/>
        <v>1751.3452969007276</v>
      </c>
      <c r="AC24" s="897">
        <f t="shared" si="10"/>
        <v>1767.7665228537485</v>
      </c>
      <c r="AD24" s="897">
        <f t="shared" si="10"/>
        <v>1784.2405218949959</v>
      </c>
      <c r="AE24" s="897">
        <f t="shared" si="10"/>
        <v>1799.9229246128516</v>
      </c>
      <c r="AF24" s="897">
        <f t="shared" si="10"/>
        <v>1815.095187477855</v>
      </c>
      <c r="AG24" s="897">
        <f t="shared" si="10"/>
        <v>1828.2708685049713</v>
      </c>
      <c r="AH24" s="843"/>
      <c r="AI24" s="843"/>
      <c r="AJ24" s="843"/>
      <c r="AK24" s="843"/>
      <c r="AL24" s="843"/>
      <c r="AM24" s="843"/>
      <c r="AN24" s="843"/>
      <c r="AO24" s="843"/>
    </row>
    <row r="25" spans="4:55" ht="14.9" customHeight="1" x14ac:dyDescent="0.35">
      <c r="D25" s="886" t="s">
        <v>485</v>
      </c>
      <c r="E25" s="912" t="s">
        <v>490</v>
      </c>
      <c r="F25" s="802">
        <f>'Haver Pivoted'!GQ35</f>
        <v>74.7</v>
      </c>
      <c r="G25" s="816">
        <f>'Haver Pivoted'!GR35</f>
        <v>74.2</v>
      </c>
      <c r="H25" s="816">
        <f>'Haver Pivoted'!GS35</f>
        <v>71.7</v>
      </c>
      <c r="I25" s="816">
        <f>'Haver Pivoted'!GT35</f>
        <v>65.8</v>
      </c>
      <c r="J25" s="816">
        <f>'Haver Pivoted'!GU35</f>
        <v>63.7</v>
      </c>
      <c r="K25" s="816">
        <f>'Haver Pivoted'!GV35</f>
        <v>79.599999999999994</v>
      </c>
      <c r="L25" s="816">
        <f>'Haver Pivoted'!GW35</f>
        <v>82.3</v>
      </c>
      <c r="M25" s="816">
        <f>'Haver Pivoted'!GX35</f>
        <v>86.5</v>
      </c>
      <c r="N25" s="816">
        <f>'Haver Pivoted'!GY35</f>
        <v>95.3</v>
      </c>
      <c r="O25" s="816">
        <f>'Haver Pivoted'!GZ35</f>
        <v>111.7</v>
      </c>
      <c r="P25" s="816">
        <f>'Haver Pivoted'!HA35</f>
        <v>150.1</v>
      </c>
      <c r="Q25" s="816">
        <f>'Haver Pivoted'!HB35</f>
        <v>184.2</v>
      </c>
      <c r="R25" s="816">
        <f>'Haver Pivoted'!HC35</f>
        <v>143.5</v>
      </c>
      <c r="S25" s="816">
        <f>'Haver Pivoted'!HD35</f>
        <v>146.19999999999999</v>
      </c>
      <c r="T25" s="818">
        <f>'Haver Pivoted'!HE35</f>
        <v>160.5</v>
      </c>
      <c r="U25" s="895">
        <f>'Haver Pivoted'!HF35</f>
        <v>172.5</v>
      </c>
      <c r="V25" s="895">
        <f>'Haver Pivoted'!HG35</f>
        <v>150.69999999999999</v>
      </c>
      <c r="W25" s="895">
        <f>'Haver Pivoted'!HH35</f>
        <v>148.69999999999999</v>
      </c>
      <c r="X25" s="895">
        <f>'Haver Pivoted'!HI35</f>
        <v>165.7</v>
      </c>
      <c r="Y25" s="895">
        <f>'Haver Pivoted'!HJ35</f>
        <v>169.1</v>
      </c>
      <c r="Z25" s="817">
        <f t="shared" ref="Z25:AC25" si="11">$U126*Z131*(Z105/$U105)</f>
        <v>172.78949768486035</v>
      </c>
      <c r="AA25" s="817">
        <f t="shared" si="11"/>
        <v>175.48840676301387</v>
      </c>
      <c r="AB25" s="817">
        <f t="shared" si="11"/>
        <v>176.81116879472424</v>
      </c>
      <c r="AC25" s="817">
        <f t="shared" si="11"/>
        <v>178.43051424161635</v>
      </c>
      <c r="AD25" s="817">
        <f t="shared" ref="AD25:AG25" si="12">$U126*AD131*(AD105/$U105)</f>
        <v>180.04392802020482</v>
      </c>
      <c r="AE25" s="817">
        <f t="shared" si="12"/>
        <v>181.0701066367335</v>
      </c>
      <c r="AF25" s="817">
        <f t="shared" si="12"/>
        <v>181.15908166128801</v>
      </c>
      <c r="AG25" s="817">
        <f t="shared" si="12"/>
        <v>180.36423810860106</v>
      </c>
      <c r="AH25" s="843"/>
      <c r="AI25" s="843"/>
      <c r="AJ25" s="843"/>
      <c r="AK25" s="843"/>
      <c r="AL25" s="843"/>
      <c r="AM25" s="843"/>
      <c r="AN25" s="843"/>
      <c r="AO25" s="843"/>
    </row>
    <row r="26" spans="4:55" ht="14.9" customHeight="1" x14ac:dyDescent="0.35">
      <c r="D26" s="856" t="s">
        <v>1916</v>
      </c>
      <c r="E26" s="875"/>
      <c r="F26" s="555">
        <f t="shared" ref="F26:AG26" si="13">F9+F19</f>
        <v>5165.5</v>
      </c>
      <c r="G26" s="555">
        <f t="shared" si="13"/>
        <v>5180.5</v>
      </c>
      <c r="H26" s="555">
        <f t="shared" si="13"/>
        <v>5222.5</v>
      </c>
      <c r="I26" s="555">
        <f t="shared" si="13"/>
        <v>5292.2</v>
      </c>
      <c r="J26" s="555">
        <f t="shared" si="13"/>
        <v>4935.6000000000004</v>
      </c>
      <c r="K26" s="555">
        <f t="shared" si="13"/>
        <v>5251.6</v>
      </c>
      <c r="L26" s="555">
        <f t="shared" si="13"/>
        <v>5447.3</v>
      </c>
      <c r="M26" s="555">
        <f t="shared" si="13"/>
        <v>5665.2</v>
      </c>
      <c r="N26" s="555">
        <f t="shared" si="13"/>
        <v>5920.8</v>
      </c>
      <c r="O26" s="555">
        <f t="shared" si="13"/>
        <v>6054.6</v>
      </c>
      <c r="P26" s="555">
        <f t="shared" si="13"/>
        <v>6273.4</v>
      </c>
      <c r="Q26" s="555">
        <f t="shared" si="13"/>
        <v>6615.5999999999995</v>
      </c>
      <c r="R26" s="555">
        <f t="shared" si="13"/>
        <v>6660.5</v>
      </c>
      <c r="S26" s="555">
        <f t="shared" si="13"/>
        <v>6693.1</v>
      </c>
      <c r="T26" s="555">
        <f t="shared" si="13"/>
        <v>6654.9</v>
      </c>
      <c r="U26" s="555">
        <f t="shared" si="13"/>
        <v>6374.8</v>
      </c>
      <c r="V26" s="555">
        <f t="shared" si="13"/>
        <v>6325.6</v>
      </c>
      <c r="W26" s="555">
        <f t="shared" si="13"/>
        <v>6419.4</v>
      </c>
      <c r="X26" s="555">
        <f t="shared" si="13"/>
        <v>6471.3</v>
      </c>
      <c r="Y26" s="677">
        <f t="shared" si="13"/>
        <v>6678.2</v>
      </c>
      <c r="Z26" s="677">
        <f t="shared" si="13"/>
        <v>6804.7961652086906</v>
      </c>
      <c r="AA26" s="677">
        <f t="shared" si="13"/>
        <v>6869.2605112249166</v>
      </c>
      <c r="AB26" s="677">
        <f t="shared" si="13"/>
        <v>6924.2365234178287</v>
      </c>
      <c r="AC26" s="677">
        <f t="shared" si="13"/>
        <v>7071.2831994864518</v>
      </c>
      <c r="AD26" s="677">
        <f t="shared" si="13"/>
        <v>7127.8758337843337</v>
      </c>
      <c r="AE26" s="677">
        <f t="shared" si="13"/>
        <v>7183.7598416380524</v>
      </c>
      <c r="AF26" s="677">
        <f t="shared" si="13"/>
        <v>7239.5844190887074</v>
      </c>
      <c r="AG26" s="677">
        <f t="shared" si="13"/>
        <v>7524.1820887078002</v>
      </c>
    </row>
    <row r="27" spans="4:55" ht="14.9" customHeight="1" x14ac:dyDescent="0.35">
      <c r="D27" s="856" t="s">
        <v>1940</v>
      </c>
      <c r="E27" s="875"/>
      <c r="F27" s="555">
        <f t="shared" ref="F27:AG27" si="14">F10+F21</f>
        <v>2222.1999999999998</v>
      </c>
      <c r="G27" s="555">
        <f t="shared" si="14"/>
        <v>2197.9</v>
      </c>
      <c r="H27" s="555">
        <f t="shared" si="14"/>
        <v>2220.4</v>
      </c>
      <c r="I27" s="555">
        <f t="shared" si="14"/>
        <v>2256</v>
      </c>
      <c r="J27" s="555">
        <f t="shared" si="14"/>
        <v>2111.9</v>
      </c>
      <c r="K27" s="555">
        <f t="shared" si="14"/>
        <v>2263.4</v>
      </c>
      <c r="L27" s="555">
        <f t="shared" si="14"/>
        <v>2394.8000000000002</v>
      </c>
      <c r="M27" s="555">
        <f t="shared" si="14"/>
        <v>2577.6000000000004</v>
      </c>
      <c r="N27" s="555">
        <f t="shared" si="14"/>
        <v>2704</v>
      </c>
      <c r="O27" s="555">
        <f t="shared" si="14"/>
        <v>2789.8</v>
      </c>
      <c r="P27" s="555">
        <f t="shared" si="14"/>
        <v>2901.6000000000004</v>
      </c>
      <c r="Q27" s="555">
        <f t="shared" si="14"/>
        <v>3162.8</v>
      </c>
      <c r="R27" s="555">
        <f t="shared" si="14"/>
        <v>3157.7</v>
      </c>
      <c r="S27" s="555">
        <f t="shared" si="14"/>
        <v>3137.1000000000004</v>
      </c>
      <c r="T27" s="555">
        <f t="shared" si="14"/>
        <v>3095.7</v>
      </c>
      <c r="U27" s="555">
        <f t="shared" si="14"/>
        <v>2763.7</v>
      </c>
      <c r="V27" s="555">
        <f t="shared" si="14"/>
        <v>2703.8999999999996</v>
      </c>
      <c r="W27" s="555">
        <f t="shared" si="14"/>
        <v>2765.2999999999997</v>
      </c>
      <c r="X27" s="555">
        <f t="shared" si="14"/>
        <v>2792.4</v>
      </c>
      <c r="Y27" s="555">
        <f t="shared" si="14"/>
        <v>2949.1</v>
      </c>
      <c r="Z27" s="555">
        <f t="shared" si="14"/>
        <v>3022.3118360201192</v>
      </c>
      <c r="AA27" s="555">
        <f t="shared" si="14"/>
        <v>3045.372788140734</v>
      </c>
      <c r="AB27" s="555">
        <f t="shared" si="14"/>
        <v>3065.8907271655148</v>
      </c>
      <c r="AC27" s="555">
        <f t="shared" si="14"/>
        <v>3177.0115834572175</v>
      </c>
      <c r="AD27" s="555">
        <f t="shared" si="14"/>
        <v>3197.4388048160745</v>
      </c>
      <c r="AE27" s="555">
        <f t="shared" si="14"/>
        <v>3217.7646356298178</v>
      </c>
      <c r="AF27" s="555">
        <f t="shared" si="14"/>
        <v>3238.3519071925898</v>
      </c>
      <c r="AG27" s="555">
        <f t="shared" si="14"/>
        <v>3489.5225966134685</v>
      </c>
    </row>
    <row r="28" spans="4:55" ht="14.9" customHeight="1" x14ac:dyDescent="0.35">
      <c r="D28" s="856" t="s">
        <v>1941</v>
      </c>
      <c r="E28" s="875"/>
      <c r="F28" s="555">
        <f>F12+F23</f>
        <v>1424.1</v>
      </c>
      <c r="G28" s="555">
        <f t="shared" ref="G28:AG28" si="15">G12+G23</f>
        <v>1430.6</v>
      </c>
      <c r="H28" s="555">
        <f t="shared" si="15"/>
        <v>1448.3000000000002</v>
      </c>
      <c r="I28" s="555">
        <f t="shared" si="15"/>
        <v>1473.6</v>
      </c>
      <c r="J28" s="555">
        <f t="shared" si="15"/>
        <v>1402.8</v>
      </c>
      <c r="K28" s="555">
        <f t="shared" si="15"/>
        <v>1452.4</v>
      </c>
      <c r="L28" s="555">
        <f t="shared" si="15"/>
        <v>1489.7</v>
      </c>
      <c r="M28" s="555">
        <f t="shared" si="15"/>
        <v>1505.8999999999999</v>
      </c>
      <c r="N28" s="555">
        <f t="shared" si="15"/>
        <v>1541.7</v>
      </c>
      <c r="O28" s="555">
        <f t="shared" si="15"/>
        <v>1579.3999999999999</v>
      </c>
      <c r="P28" s="555">
        <f t="shared" si="15"/>
        <v>1626.3000000000002</v>
      </c>
      <c r="Q28" s="555">
        <f t="shared" si="15"/>
        <v>1668.8000000000002</v>
      </c>
      <c r="R28" s="555">
        <f t="shared" si="15"/>
        <v>1690.3999999999999</v>
      </c>
      <c r="S28" s="555">
        <f t="shared" si="15"/>
        <v>1732</v>
      </c>
      <c r="T28" s="555">
        <f t="shared" si="15"/>
        <v>1738.7</v>
      </c>
      <c r="U28" s="555">
        <f t="shared" si="15"/>
        <v>1780</v>
      </c>
      <c r="V28" s="555">
        <f t="shared" si="15"/>
        <v>1800.1000000000001</v>
      </c>
      <c r="W28" s="555">
        <f t="shared" si="15"/>
        <v>1823.3000000000002</v>
      </c>
      <c r="X28" s="555">
        <f t="shared" si="15"/>
        <v>1831.7</v>
      </c>
      <c r="Y28" s="555">
        <f t="shared" si="15"/>
        <v>1869.6</v>
      </c>
      <c r="Z28" s="555">
        <f t="shared" si="15"/>
        <v>1892.9629166831573</v>
      </c>
      <c r="AA28" s="555">
        <f t="shared" si="15"/>
        <v>1911.508365363977</v>
      </c>
      <c r="AB28" s="555">
        <f t="shared" si="15"/>
        <v>1928.0852276443186</v>
      </c>
      <c r="AC28" s="555">
        <f t="shared" si="15"/>
        <v>1944.7938753314493</v>
      </c>
      <c r="AD28" s="555">
        <f t="shared" si="15"/>
        <v>1961.6456502610665</v>
      </c>
      <c r="AE28" s="555">
        <f t="shared" si="15"/>
        <v>1978.637409986681</v>
      </c>
      <c r="AF28" s="555">
        <f t="shared" si="15"/>
        <v>1995.7733693175414</v>
      </c>
      <c r="AG28" s="555">
        <f t="shared" si="15"/>
        <v>2013.0498113969813</v>
      </c>
    </row>
    <row r="29" spans="4:55" ht="14.9" customHeight="1" x14ac:dyDescent="0.35">
      <c r="D29" s="517"/>
      <c r="E29" s="200"/>
      <c r="F29" s="200"/>
      <c r="G29" s="200"/>
      <c r="H29" s="200"/>
      <c r="I29" s="200"/>
      <c r="J29" s="200"/>
      <c r="K29" s="200"/>
      <c r="L29" s="200"/>
      <c r="AH29" s="263"/>
      <c r="AI29" s="263"/>
      <c r="AJ29" s="263"/>
      <c r="AK29" s="263"/>
      <c r="AL29" s="263"/>
      <c r="AM29" s="263"/>
      <c r="AN29" s="263"/>
    </row>
    <row r="30" spans="4:55" ht="14.9" customHeight="1" x14ac:dyDescent="0.35">
      <c r="D30" s="1383" t="s">
        <v>918</v>
      </c>
      <c r="E30" s="1384"/>
      <c r="F30" s="1385"/>
      <c r="G30" s="497">
        <v>2020</v>
      </c>
      <c r="H30" s="498">
        <v>2021</v>
      </c>
      <c r="I30" s="497">
        <v>2022</v>
      </c>
      <c r="J30" s="914">
        <v>2023</v>
      </c>
      <c r="K30" s="914">
        <v>2024</v>
      </c>
      <c r="L30" s="915">
        <v>2025</v>
      </c>
      <c r="M30" s="915">
        <v>2026</v>
      </c>
      <c r="AH30" s="263"/>
      <c r="AI30" s="263"/>
      <c r="AJ30" s="263"/>
      <c r="AK30" s="263"/>
      <c r="AL30" s="263"/>
      <c r="AM30" s="263"/>
      <c r="AN30" s="263"/>
    </row>
    <row r="31" spans="4:55" ht="14.9" customHeight="1" x14ac:dyDescent="0.35">
      <c r="D31" s="879" t="s">
        <v>491</v>
      </c>
      <c r="E31" s="287"/>
      <c r="F31" s="308"/>
      <c r="G31" s="783">
        <f>AVERAGE(H10:K10)</f>
        <v>1719.875</v>
      </c>
      <c r="H31" s="463">
        <f>AVERAGE(L10:O10)</f>
        <v>2049.6750000000002</v>
      </c>
      <c r="I31" s="463">
        <f>AVERAGE(P10:S10)</f>
        <v>2449.1750000000002</v>
      </c>
      <c r="J31" s="463">
        <f t="shared" ref="J31:M33" si="16">I31*J55/I55</f>
        <v>2025.1858667265676</v>
      </c>
      <c r="K31" s="463">
        <f t="shared" si="16"/>
        <v>2276.5874608731669</v>
      </c>
      <c r="L31" s="463">
        <f t="shared" si="16"/>
        <v>2372.614582925713</v>
      </c>
      <c r="M31" s="463">
        <f t="shared" si="16"/>
        <v>2643.5135881002002</v>
      </c>
      <c r="N31" t="s">
        <v>1947</v>
      </c>
    </row>
    <row r="32" spans="4:55" ht="14.9" customHeight="1" x14ac:dyDescent="0.35">
      <c r="D32" s="904" t="s">
        <v>496</v>
      </c>
      <c r="E32" s="234"/>
      <c r="F32" s="234"/>
      <c r="G32" s="784">
        <f>AVERAGE(H12:K12)</f>
        <v>1424.3</v>
      </c>
      <c r="H32" s="231">
        <f>AVERAGE(L12:O12)</f>
        <v>1507.5250000000001</v>
      </c>
      <c r="I32" s="231">
        <f>AVERAGE(P12:S12)</f>
        <v>1656.6750000000002</v>
      </c>
      <c r="J32" s="231">
        <f t="shared" si="16"/>
        <v>1802.8864298974202</v>
      </c>
      <c r="K32" s="231">
        <f t="shared" si="16"/>
        <v>1874.3528079555063</v>
      </c>
      <c r="L32" s="231">
        <f t="shared" si="16"/>
        <v>1939.9486178705331</v>
      </c>
      <c r="M32" s="231">
        <f t="shared" si="16"/>
        <v>2025.9948204817445</v>
      </c>
    </row>
    <row r="33" spans="3:33" ht="14.9" customHeight="1" x14ac:dyDescent="0.35">
      <c r="D33" s="904" t="s">
        <v>105</v>
      </c>
      <c r="E33" s="234"/>
      <c r="F33" s="234"/>
      <c r="G33" s="784">
        <f>AVERAGE(H14:K14)</f>
        <v>160.35</v>
      </c>
      <c r="H33" s="231">
        <f>AVERAGE(L14:O14)</f>
        <v>170.32500000000002</v>
      </c>
      <c r="I33" s="231">
        <f>AVERAGE(P14:S14)</f>
        <v>196.72500000000002</v>
      </c>
      <c r="J33" s="231">
        <f t="shared" si="16"/>
        <v>163.38743736702131</v>
      </c>
      <c r="K33" s="231">
        <f t="shared" si="16"/>
        <v>172.39179175531913</v>
      </c>
      <c r="L33" s="231">
        <f t="shared" si="16"/>
        <v>183.42304148936171</v>
      </c>
      <c r="M33" s="231">
        <f t="shared" si="16"/>
        <v>192.53936170212765</v>
      </c>
    </row>
    <row r="34" spans="3:33" ht="14.9" customHeight="1" x14ac:dyDescent="0.35">
      <c r="D34" s="904" t="s">
        <v>258</v>
      </c>
      <c r="E34" s="234"/>
      <c r="F34" s="234"/>
      <c r="G34" s="784">
        <f>AVERAGE(H16:K16)</f>
        <v>217.32499999999999</v>
      </c>
      <c r="H34" s="231">
        <f>AVERAGE(L16:O16)</f>
        <v>266.65000000000003</v>
      </c>
      <c r="I34" s="231">
        <f>AVERAGE(P16:S16)</f>
        <v>351.52499999999998</v>
      </c>
      <c r="J34" s="231">
        <f>I34*J60/I60</f>
        <v>347.15396959519092</v>
      </c>
      <c r="K34" s="231">
        <f>J34*K60/J60</f>
        <v>434.7053031889979</v>
      </c>
      <c r="L34" s="231">
        <f>K34*L60/K60</f>
        <v>405.48567233981447</v>
      </c>
      <c r="M34" s="231">
        <f>L34*M60/L60</f>
        <v>389.24096081832658</v>
      </c>
    </row>
    <row r="35" spans="3:33" ht="14.9" customHeight="1" x14ac:dyDescent="0.35">
      <c r="C35" s="56"/>
      <c r="D35" s="904" t="s">
        <v>914</v>
      </c>
      <c r="E35" s="56"/>
      <c r="F35" s="240"/>
      <c r="G35" s="551"/>
      <c r="H35" s="782">
        <f>H31/G31-1+0.021</f>
        <v>0.21275812195653762</v>
      </c>
      <c r="I35" s="782">
        <f>I31/H31-1.05</f>
        <v>0.14490894897971618</v>
      </c>
      <c r="J35" s="782">
        <f>J31/I31-1</f>
        <v>-0.17311508294565825</v>
      </c>
      <c r="K35" s="782">
        <f>K31/J31-1+K36</f>
        <v>0.17913754128797815</v>
      </c>
      <c r="L35" s="782">
        <f>L31/K31-1+L36</f>
        <v>6.2180291204676927E-2</v>
      </c>
      <c r="M35" s="782">
        <f>M31/L31-1+M36</f>
        <v>0.11417741723581454</v>
      </c>
      <c r="N35" t="s">
        <v>901</v>
      </c>
    </row>
    <row r="36" spans="3:33" ht="14.9" customHeight="1" x14ac:dyDescent="0.35">
      <c r="C36" s="56"/>
      <c r="D36" s="904" t="s">
        <v>1915</v>
      </c>
      <c r="E36" s="56"/>
      <c r="F36" s="240"/>
      <c r="G36" s="551"/>
      <c r="H36" s="782"/>
      <c r="I36" s="782"/>
      <c r="J36" s="782"/>
      <c r="K36" s="782">
        <v>5.5E-2</v>
      </c>
      <c r="L36" s="782">
        <v>0.02</v>
      </c>
      <c r="M36" s="782"/>
    </row>
    <row r="37" spans="3:33" ht="14.9" customHeight="1" x14ac:dyDescent="0.35">
      <c r="C37" s="56"/>
      <c r="D37" s="904" t="s">
        <v>915</v>
      </c>
      <c r="E37" s="56"/>
      <c r="F37" s="240"/>
      <c r="G37" s="551"/>
      <c r="H37" s="782">
        <f>H32/G32-1.03</f>
        <v>2.8432212314821292E-2</v>
      </c>
      <c r="I37" s="782">
        <f>I32/H32-1.013</f>
        <v>8.5936999386411639E-2</v>
      </c>
      <c r="J37" s="862">
        <f>J32/I32-1</f>
        <v>8.8255952372927604E-2</v>
      </c>
      <c r="K37" s="782">
        <f>K32/J32-1</f>
        <v>3.9639977800571824E-2</v>
      </c>
      <c r="L37" s="782">
        <f>L32/K32-1</f>
        <v>3.4996511668780705E-2</v>
      </c>
      <c r="M37" s="782">
        <f>M32/L32-1</f>
        <v>4.4354887453495362E-2</v>
      </c>
      <c r="N37" t="s">
        <v>902</v>
      </c>
    </row>
    <row r="38" spans="3:33" ht="14.9" customHeight="1" x14ac:dyDescent="0.35">
      <c r="C38" s="56"/>
      <c r="D38" s="904" t="s">
        <v>916</v>
      </c>
      <c r="E38" s="56"/>
      <c r="F38" s="240"/>
      <c r="G38" s="551"/>
      <c r="H38" s="782">
        <f>H33/G33-1</f>
        <v>6.2207670720299424E-2</v>
      </c>
      <c r="I38" s="782">
        <f>I33/H33-1.01</f>
        <v>0.14499779832672832</v>
      </c>
      <c r="J38" s="782">
        <f>J33/I33-1</f>
        <v>-0.1694627659574468</v>
      </c>
      <c r="K38" s="782">
        <f t="shared" ref="K38" si="17">K33/J33-1</f>
        <v>5.5110445046464118E-2</v>
      </c>
      <c r="L38" s="782">
        <f>L33/K33-1</f>
        <v>6.3989414007016965E-2</v>
      </c>
      <c r="M38" s="782">
        <f>M33/L33-1</f>
        <v>4.9701063392816325E-2</v>
      </c>
    </row>
    <row r="39" spans="3:33" ht="14.9" customHeight="1" x14ac:dyDescent="0.35">
      <c r="C39" s="56"/>
      <c r="D39" s="863" t="s">
        <v>917</v>
      </c>
      <c r="E39" s="57"/>
      <c r="F39" s="358"/>
      <c r="G39" s="357"/>
      <c r="H39" s="864">
        <f>H34/G34-1</f>
        <v>0.22696422408834716</v>
      </c>
      <c r="I39" s="864">
        <f>I34/H34-1.103</f>
        <v>0.21530114382148868</v>
      </c>
      <c r="J39" s="864">
        <f>J34/I34-1</f>
        <v>-1.2434479495936457E-2</v>
      </c>
      <c r="K39" s="864">
        <f>K34/J34-1-0.26</f>
        <v>-7.8025854179377685E-3</v>
      </c>
      <c r="L39" s="864">
        <f>L34/K34-1+0.21</f>
        <v>0.14278289766692923</v>
      </c>
      <c r="M39" s="864">
        <f>M34/L34-1+0.03</f>
        <v>-1.0062356402753797E-2</v>
      </c>
    </row>
    <row r="40" spans="3:33" ht="14.9" customHeight="1" x14ac:dyDescent="0.35">
      <c r="D40" s="876"/>
      <c r="E40" s="875"/>
      <c r="F40" s="888"/>
      <c r="G40" s="888"/>
      <c r="H40" s="859"/>
      <c r="I40" s="859"/>
      <c r="J40" s="859"/>
      <c r="K40" s="859"/>
      <c r="L40" s="859"/>
    </row>
    <row r="41" spans="3:33" ht="14.9" customHeight="1" x14ac:dyDescent="0.35">
      <c r="D41" s="876"/>
      <c r="E41" s="875"/>
      <c r="F41" s="888"/>
      <c r="G41" s="888"/>
      <c r="H41" s="859"/>
      <c r="I41" s="859"/>
      <c r="J41" s="859"/>
      <c r="K41" s="859"/>
      <c r="L41" s="859"/>
    </row>
    <row r="42" spans="3:33" ht="14.9" customHeight="1" x14ac:dyDescent="0.35">
      <c r="D42" s="876"/>
      <c r="E42" s="875"/>
      <c r="F42" s="1386" t="s">
        <v>280</v>
      </c>
      <c r="G42" s="1387"/>
      <c r="H42" s="1387"/>
      <c r="I42" s="1387"/>
      <c r="J42" s="1387"/>
      <c r="K42" s="1387"/>
      <c r="L42" s="1387"/>
      <c r="M42" s="1387"/>
      <c r="N42" s="1387"/>
      <c r="O42" s="1387"/>
      <c r="P42" s="1387"/>
      <c r="Q42" s="1387"/>
      <c r="R42" s="1387"/>
      <c r="S42" s="1387"/>
      <c r="T42" s="1387"/>
      <c r="U42" s="1387"/>
      <c r="V42" s="1388"/>
      <c r="W42" s="1311" t="s">
        <v>281</v>
      </c>
      <c r="X42" s="1312"/>
      <c r="Y42" s="1312"/>
      <c r="Z42" s="1312"/>
      <c r="AA42" s="1312"/>
      <c r="AB42" s="1312"/>
      <c r="AC42" s="1312"/>
      <c r="AD42" s="1312"/>
      <c r="AE42" s="1312"/>
      <c r="AF42" s="1312"/>
      <c r="AG42" s="1312"/>
    </row>
    <row r="43" spans="3:33" ht="14.9" customHeight="1" x14ac:dyDescent="0.35">
      <c r="D43" s="876"/>
      <c r="E43" s="875"/>
      <c r="F43" s="1279">
        <v>2019</v>
      </c>
      <c r="G43" s="1280"/>
      <c r="H43" s="1281"/>
      <c r="I43" s="1280">
        <v>2020</v>
      </c>
      <c r="J43" s="1280"/>
      <c r="K43" s="1280"/>
      <c r="L43" s="1280"/>
      <c r="M43" s="1291">
        <v>2021</v>
      </c>
      <c r="N43" s="1292"/>
      <c r="O43" s="1292"/>
      <c r="P43" s="1292"/>
      <c r="Q43" s="1291">
        <v>2022</v>
      </c>
      <c r="R43" s="1321"/>
      <c r="S43" s="1321"/>
      <c r="T43" s="1293"/>
      <c r="U43" s="288"/>
      <c r="V43" s="288">
        <v>2023</v>
      </c>
      <c r="W43" s="556"/>
      <c r="X43" s="260"/>
      <c r="Y43" s="1288">
        <v>2024</v>
      </c>
      <c r="Z43" s="1301"/>
      <c r="AA43" s="1301"/>
      <c r="AB43" s="1290"/>
      <c r="AC43" s="1288">
        <v>2025</v>
      </c>
      <c r="AD43" s="1301"/>
      <c r="AE43" s="1301"/>
      <c r="AF43" s="1290"/>
      <c r="AG43" s="506">
        <v>2026</v>
      </c>
    </row>
    <row r="44" spans="3:33" ht="14.9" customHeight="1" x14ac:dyDescent="0.35">
      <c r="D44" s="876"/>
      <c r="E44" s="875"/>
      <c r="F44" s="214" t="s">
        <v>284</v>
      </c>
      <c r="G44" s="215" t="s">
        <v>238</v>
      </c>
      <c r="H44" s="216" t="s">
        <v>282</v>
      </c>
      <c r="I44" s="215" t="s">
        <v>283</v>
      </c>
      <c r="J44" s="215" t="s">
        <v>284</v>
      </c>
      <c r="K44" s="215" t="s">
        <v>238</v>
      </c>
      <c r="L44" s="215" t="s">
        <v>282</v>
      </c>
      <c r="M44" s="214" t="s">
        <v>283</v>
      </c>
      <c r="N44" s="215" t="s">
        <v>284</v>
      </c>
      <c r="O44" s="215" t="s">
        <v>238</v>
      </c>
      <c r="P44" s="215" t="s">
        <v>282</v>
      </c>
      <c r="Q44" s="214" t="s">
        <v>283</v>
      </c>
      <c r="R44" s="215" t="s">
        <v>284</v>
      </c>
      <c r="S44" s="215" t="s">
        <v>238</v>
      </c>
      <c r="T44" s="216" t="s">
        <v>282</v>
      </c>
      <c r="U44" s="215" t="s">
        <v>283</v>
      </c>
      <c r="V44" s="286" t="s">
        <v>284</v>
      </c>
      <c r="W44" s="326" t="s">
        <v>238</v>
      </c>
      <c r="X44" s="432" t="s">
        <v>282</v>
      </c>
      <c r="Y44" s="433" t="s">
        <v>283</v>
      </c>
      <c r="Z44" s="333" t="s">
        <v>284</v>
      </c>
      <c r="AA44" s="326" t="s">
        <v>238</v>
      </c>
      <c r="AB44" s="326" t="s">
        <v>282</v>
      </c>
      <c r="AC44" s="269" t="s">
        <v>283</v>
      </c>
      <c r="AD44" s="267" t="s">
        <v>284</v>
      </c>
      <c r="AE44" s="270" t="s">
        <v>238</v>
      </c>
      <c r="AF44" s="270" t="s">
        <v>282</v>
      </c>
      <c r="AG44" s="269" t="s">
        <v>283</v>
      </c>
    </row>
    <row r="45" spans="3:33" ht="14.9" customHeight="1" x14ac:dyDescent="0.35">
      <c r="D45" s="904" t="s">
        <v>914</v>
      </c>
      <c r="E45" s="875"/>
      <c r="F45" s="888"/>
      <c r="G45" s="888"/>
      <c r="H45" s="859"/>
      <c r="I45" s="859"/>
      <c r="J45" s="859"/>
      <c r="K45" s="859"/>
      <c r="L45" s="859"/>
    </row>
    <row r="46" spans="3:33" ht="14.9" customHeight="1" x14ac:dyDescent="0.35">
      <c r="D46" s="904" t="s">
        <v>1915</v>
      </c>
      <c r="E46" s="875"/>
      <c r="F46" s="888"/>
      <c r="G46" s="888"/>
      <c r="H46" s="859"/>
      <c r="I46" s="859"/>
      <c r="J46" s="859"/>
      <c r="K46" s="859"/>
      <c r="L46" s="859"/>
      <c r="M46" s="854">
        <f>H35</f>
        <v>0.21275812195653762</v>
      </c>
      <c r="N46" s="854">
        <f>H35</f>
        <v>0.21275812195653762</v>
      </c>
      <c r="O46" s="854">
        <f>H35</f>
        <v>0.21275812195653762</v>
      </c>
      <c r="P46" s="854">
        <f>H35</f>
        <v>0.21275812195653762</v>
      </c>
      <c r="Q46" s="854">
        <f>I35</f>
        <v>0.14490894897971618</v>
      </c>
      <c r="R46" s="854">
        <f>I35</f>
        <v>0.14490894897971618</v>
      </c>
      <c r="S46" s="854">
        <f>I35</f>
        <v>0.14490894897971618</v>
      </c>
      <c r="T46" s="854">
        <f>I35</f>
        <v>0.14490894897971618</v>
      </c>
      <c r="U46" s="854">
        <f>J35</f>
        <v>-0.17311508294565825</v>
      </c>
      <c r="V46" s="854">
        <f>J35</f>
        <v>-0.17311508294565825</v>
      </c>
      <c r="W46" s="854">
        <f>J35</f>
        <v>-0.17311508294565825</v>
      </c>
      <c r="X46" s="854">
        <f>J35</f>
        <v>-0.17311508294565825</v>
      </c>
      <c r="Y46" s="854">
        <f>K35</f>
        <v>0.17913754128797815</v>
      </c>
      <c r="Z46" s="854">
        <f>K35</f>
        <v>0.17913754128797815</v>
      </c>
      <c r="AA46" s="854">
        <f>K35</f>
        <v>0.17913754128797815</v>
      </c>
      <c r="AB46" s="854">
        <f t="shared" ref="AB46:AC50" si="18">K35</f>
        <v>0.17913754128797815</v>
      </c>
      <c r="AC46" s="854">
        <f t="shared" si="18"/>
        <v>6.2180291204676927E-2</v>
      </c>
      <c r="AD46" s="854">
        <f>L35</f>
        <v>6.2180291204676927E-2</v>
      </c>
      <c r="AE46" s="854">
        <f>L35</f>
        <v>6.2180291204676927E-2</v>
      </c>
      <c r="AF46" s="854">
        <f>L35</f>
        <v>6.2180291204676927E-2</v>
      </c>
      <c r="AG46" s="854">
        <f>L35</f>
        <v>6.2180291204676927E-2</v>
      </c>
    </row>
    <row r="47" spans="3:33" ht="14.9" customHeight="1" x14ac:dyDescent="0.35">
      <c r="D47" s="904" t="s">
        <v>915</v>
      </c>
      <c r="E47" s="875"/>
      <c r="F47" s="888"/>
      <c r="G47" s="888"/>
      <c r="H47" s="859"/>
      <c r="I47" s="859"/>
      <c r="J47" s="859"/>
      <c r="K47" s="859"/>
      <c r="L47" s="859"/>
      <c r="Y47" s="854">
        <f>K36</f>
        <v>5.5E-2</v>
      </c>
      <c r="Z47" s="854">
        <f>K36</f>
        <v>5.5E-2</v>
      </c>
      <c r="AA47" s="854">
        <f>K36</f>
        <v>5.5E-2</v>
      </c>
      <c r="AB47" s="854">
        <f t="shared" si="18"/>
        <v>5.5E-2</v>
      </c>
      <c r="AC47" s="854">
        <f t="shared" si="18"/>
        <v>0.02</v>
      </c>
      <c r="AD47" s="854">
        <f>L36</f>
        <v>0.02</v>
      </c>
      <c r="AE47" s="854">
        <f>L36</f>
        <v>0.02</v>
      </c>
      <c r="AF47" s="854">
        <f>L36</f>
        <v>0.02</v>
      </c>
      <c r="AG47" s="854">
        <f>L36</f>
        <v>0.02</v>
      </c>
    </row>
    <row r="48" spans="3:33" ht="14.9" customHeight="1" x14ac:dyDescent="0.35">
      <c r="D48" s="904" t="s">
        <v>916</v>
      </c>
      <c r="E48" s="875"/>
      <c r="F48" s="888"/>
      <c r="G48" s="888"/>
      <c r="H48" s="859"/>
      <c r="I48" s="859"/>
      <c r="J48" s="859"/>
      <c r="K48" s="859"/>
      <c r="L48" s="859"/>
      <c r="M48" s="854">
        <f>H37</f>
        <v>2.8432212314821292E-2</v>
      </c>
      <c r="N48" s="854">
        <f>H37</f>
        <v>2.8432212314821292E-2</v>
      </c>
      <c r="O48" s="494">
        <f>H37</f>
        <v>2.8432212314821292E-2</v>
      </c>
      <c r="P48" s="854">
        <f t="shared" ref="P48:Q50" si="19">H37</f>
        <v>2.8432212314821292E-2</v>
      </c>
      <c r="Q48" s="854">
        <f t="shared" si="19"/>
        <v>8.5936999386411639E-2</v>
      </c>
      <c r="R48" s="854">
        <f>I37</f>
        <v>8.5936999386411639E-2</v>
      </c>
      <c r="S48" s="854">
        <f>I37</f>
        <v>8.5936999386411639E-2</v>
      </c>
      <c r="T48" s="854">
        <f t="shared" ref="T48:U50" si="20">I37</f>
        <v>8.5936999386411639E-2</v>
      </c>
      <c r="U48" s="494">
        <f t="shared" si="20"/>
        <v>8.8255952372927604E-2</v>
      </c>
      <c r="V48" s="494">
        <f>J37</f>
        <v>8.8255952372927604E-2</v>
      </c>
      <c r="W48" s="494">
        <f>J37</f>
        <v>8.8255952372927604E-2</v>
      </c>
      <c r="X48" s="494">
        <f>J37</f>
        <v>8.8255952372927604E-2</v>
      </c>
      <c r="Y48" s="854">
        <f>K37</f>
        <v>3.9639977800571824E-2</v>
      </c>
      <c r="Z48" s="854">
        <f>K37</f>
        <v>3.9639977800571824E-2</v>
      </c>
      <c r="AA48" s="854">
        <f>K37</f>
        <v>3.9639977800571824E-2</v>
      </c>
      <c r="AB48" s="854">
        <f t="shared" si="18"/>
        <v>3.9639977800571824E-2</v>
      </c>
      <c r="AC48" s="854">
        <f t="shared" si="18"/>
        <v>3.4996511668780705E-2</v>
      </c>
      <c r="AD48" s="854">
        <f>L37</f>
        <v>3.4996511668780705E-2</v>
      </c>
      <c r="AE48" s="854">
        <f>L37</f>
        <v>3.4996511668780705E-2</v>
      </c>
      <c r="AF48" s="854">
        <f>L37</f>
        <v>3.4996511668780705E-2</v>
      </c>
      <c r="AG48" s="854">
        <f>L37</f>
        <v>3.4996511668780705E-2</v>
      </c>
    </row>
    <row r="49" spans="4:40" ht="14.9" customHeight="1" x14ac:dyDescent="0.35">
      <c r="D49" s="863" t="s">
        <v>917</v>
      </c>
      <c r="E49" s="875"/>
      <c r="F49" s="888"/>
      <c r="G49" s="888"/>
      <c r="H49" s="859"/>
      <c r="I49" s="859"/>
      <c r="J49" s="859"/>
      <c r="K49" s="859"/>
      <c r="L49" s="859"/>
      <c r="M49" s="854">
        <f>H38</f>
        <v>6.2207670720299424E-2</v>
      </c>
      <c r="N49" s="854">
        <f>H38</f>
        <v>6.2207670720299424E-2</v>
      </c>
      <c r="O49" s="854">
        <f>H38</f>
        <v>6.2207670720299424E-2</v>
      </c>
      <c r="P49" s="854">
        <f t="shared" si="19"/>
        <v>6.2207670720299424E-2</v>
      </c>
      <c r="Q49" s="854">
        <f t="shared" si="19"/>
        <v>0.14499779832672832</v>
      </c>
      <c r="R49" s="854">
        <f>I38</f>
        <v>0.14499779832672832</v>
      </c>
      <c r="S49" s="854">
        <f>I38</f>
        <v>0.14499779832672832</v>
      </c>
      <c r="T49" s="854">
        <f t="shared" si="20"/>
        <v>0.14499779832672832</v>
      </c>
      <c r="U49" s="854">
        <f t="shared" si="20"/>
        <v>-0.1694627659574468</v>
      </c>
      <c r="V49" s="854">
        <f>J38</f>
        <v>-0.1694627659574468</v>
      </c>
      <c r="W49" s="854">
        <f>J38</f>
        <v>-0.1694627659574468</v>
      </c>
      <c r="X49" s="854">
        <f>J38</f>
        <v>-0.1694627659574468</v>
      </c>
      <c r="Y49" s="854">
        <f>K38</f>
        <v>5.5110445046464118E-2</v>
      </c>
      <c r="Z49" s="854">
        <f>K38</f>
        <v>5.5110445046464118E-2</v>
      </c>
      <c r="AA49" s="854">
        <f>K38</f>
        <v>5.5110445046464118E-2</v>
      </c>
      <c r="AB49" s="854">
        <f t="shared" si="18"/>
        <v>5.5110445046464118E-2</v>
      </c>
      <c r="AC49" s="854">
        <f t="shared" si="18"/>
        <v>6.3989414007016965E-2</v>
      </c>
      <c r="AD49" s="854">
        <f>L38</f>
        <v>6.3989414007016965E-2</v>
      </c>
      <c r="AE49" s="854">
        <f>L38</f>
        <v>6.3989414007016965E-2</v>
      </c>
      <c r="AF49" s="854">
        <f>L38</f>
        <v>6.3989414007016965E-2</v>
      </c>
      <c r="AG49" s="854">
        <f>L38</f>
        <v>6.3989414007016965E-2</v>
      </c>
    </row>
    <row r="50" spans="4:40" ht="14.9" customHeight="1" x14ac:dyDescent="0.35">
      <c r="D50" s="876"/>
      <c r="E50" s="875"/>
      <c r="F50" s="888"/>
      <c r="G50" s="888"/>
      <c r="H50" s="859"/>
      <c r="I50" s="859"/>
      <c r="J50" s="859"/>
      <c r="K50" s="859"/>
      <c r="L50" s="859"/>
      <c r="M50" s="854">
        <f>H39</f>
        <v>0.22696422408834716</v>
      </c>
      <c r="N50" s="854">
        <f>H39</f>
        <v>0.22696422408834716</v>
      </c>
      <c r="O50" s="854">
        <f>H39</f>
        <v>0.22696422408834716</v>
      </c>
      <c r="P50" s="854">
        <f t="shared" si="19"/>
        <v>0.22696422408834716</v>
      </c>
      <c r="Q50" s="854">
        <f t="shared" si="19"/>
        <v>0.21530114382148868</v>
      </c>
      <c r="R50" s="854">
        <f>I39</f>
        <v>0.21530114382148868</v>
      </c>
      <c r="S50" s="854">
        <f>I39</f>
        <v>0.21530114382148868</v>
      </c>
      <c r="T50" s="854">
        <f t="shared" si="20"/>
        <v>0.21530114382148868</v>
      </c>
      <c r="U50" s="854">
        <f t="shared" si="20"/>
        <v>-1.2434479495936457E-2</v>
      </c>
      <c r="V50" s="854">
        <f>J39</f>
        <v>-1.2434479495936457E-2</v>
      </c>
      <c r="W50" s="854">
        <f>J39</f>
        <v>-1.2434479495936457E-2</v>
      </c>
      <c r="X50" s="854">
        <f>J39</f>
        <v>-1.2434479495936457E-2</v>
      </c>
      <c r="Y50" s="854">
        <f>K39</f>
        <v>-7.8025854179377685E-3</v>
      </c>
      <c r="Z50" s="854">
        <f>K39</f>
        <v>-7.8025854179377685E-3</v>
      </c>
      <c r="AA50" s="854">
        <f>K39</f>
        <v>-7.8025854179377685E-3</v>
      </c>
      <c r="AB50" s="854">
        <f t="shared" si="18"/>
        <v>-7.8025854179377685E-3</v>
      </c>
      <c r="AC50" s="854">
        <f t="shared" si="18"/>
        <v>0.14278289766692923</v>
      </c>
      <c r="AD50" s="854">
        <f>L39</f>
        <v>0.14278289766692923</v>
      </c>
      <c r="AE50" s="854">
        <f>L39</f>
        <v>0.14278289766692923</v>
      </c>
      <c r="AF50" s="854">
        <f>L39</f>
        <v>0.14278289766692923</v>
      </c>
      <c r="AG50" s="854">
        <f>L39</f>
        <v>0.14278289766692923</v>
      </c>
    </row>
    <row r="51" spans="4:40" ht="14.9" customHeight="1" x14ac:dyDescent="0.35">
      <c r="D51" s="876"/>
      <c r="E51" s="875"/>
      <c r="F51" s="888"/>
      <c r="G51" s="888"/>
      <c r="H51" s="859"/>
      <c r="I51" s="859"/>
      <c r="J51" s="806"/>
      <c r="K51" s="859"/>
      <c r="L51" s="859"/>
    </row>
    <row r="52" spans="4:40" ht="14.9" customHeight="1" x14ac:dyDescent="0.35">
      <c r="D52" s="876"/>
      <c r="E52" s="875"/>
      <c r="F52" s="888"/>
      <c r="G52" s="888"/>
      <c r="H52" s="859"/>
      <c r="I52" s="859"/>
      <c r="J52" s="859"/>
      <c r="K52" s="859"/>
      <c r="L52" s="859"/>
    </row>
    <row r="53" spans="4:40" ht="41.9" customHeight="1" x14ac:dyDescent="0.35">
      <c r="F53" s="240"/>
      <c r="G53" s="240"/>
      <c r="H53" s="721"/>
      <c r="I53" s="721"/>
      <c r="J53" s="721"/>
      <c r="K53" s="721"/>
      <c r="L53" s="721"/>
      <c r="M53" s="240" t="s">
        <v>1967</v>
      </c>
      <c r="N53" s="283"/>
      <c r="AF53" s="721"/>
      <c r="AG53" s="721"/>
      <c r="AH53" s="721"/>
      <c r="AI53" s="721"/>
      <c r="AJ53" s="721"/>
      <c r="AK53" s="721"/>
      <c r="AM53" s="721"/>
      <c r="AN53" s="721"/>
    </row>
    <row r="54" spans="4:40" ht="30.75" customHeight="1" x14ac:dyDescent="0.35">
      <c r="D54" s="832" t="s">
        <v>1968</v>
      </c>
      <c r="E54" s="662">
        <v>2018</v>
      </c>
      <c r="F54" s="834">
        <v>2019</v>
      </c>
      <c r="G54" s="834">
        <v>2020</v>
      </c>
      <c r="H54" s="834">
        <v>2021</v>
      </c>
      <c r="I54" s="835">
        <v>2022</v>
      </c>
      <c r="J54" s="763">
        <v>2023</v>
      </c>
      <c r="K54" s="764">
        <v>2024</v>
      </c>
      <c r="L54" s="765">
        <v>2025</v>
      </c>
      <c r="M54" s="765">
        <v>2026</v>
      </c>
      <c r="N54" s="913"/>
      <c r="O54" s="223"/>
    </row>
    <row r="55" spans="4:40" ht="30.75" customHeight="1" x14ac:dyDescent="0.35">
      <c r="D55" s="836" t="s">
        <v>491</v>
      </c>
      <c r="E55" s="837">
        <v>1683.5</v>
      </c>
      <c r="F55" s="837">
        <v>1717.9</v>
      </c>
      <c r="G55" s="837">
        <v>1609</v>
      </c>
      <c r="H55" s="367">
        <v>2044.377</v>
      </c>
      <c r="I55" s="463">
        <v>2632.145</v>
      </c>
      <c r="J55" s="463">
        <v>2176.4810000000002</v>
      </c>
      <c r="K55" s="463">
        <v>2446.6640000000002</v>
      </c>
      <c r="L55" s="463">
        <v>2549.8649999999998</v>
      </c>
      <c r="M55" s="905">
        <v>2841.002</v>
      </c>
      <c r="N55" s="794">
        <v>3121.953</v>
      </c>
      <c r="O55" s="223">
        <v>3224.15</v>
      </c>
      <c r="P55">
        <v>3326.8539999999998</v>
      </c>
      <c r="Q55">
        <v>3455.0859999999998</v>
      </c>
      <c r="R55">
        <v>3583.2</v>
      </c>
      <c r="S55">
        <v>3710.4380000000001</v>
      </c>
      <c r="T55">
        <v>3858.924</v>
      </c>
      <c r="U55">
        <v>4020.6480000000001</v>
      </c>
    </row>
    <row r="56" spans="4:40" ht="16.5" customHeight="1" x14ac:dyDescent="0.35">
      <c r="D56" s="917" t="s">
        <v>492</v>
      </c>
      <c r="E56" s="766">
        <v>1170.7</v>
      </c>
      <c r="F56" s="766">
        <v>1243.4000000000001</v>
      </c>
      <c r="G56" s="766">
        <v>1310</v>
      </c>
      <c r="H56" s="436">
        <v>1314.088</v>
      </c>
      <c r="I56" s="231">
        <v>1483.5260000000001</v>
      </c>
      <c r="J56" s="231">
        <v>1614.4559999999999</v>
      </c>
      <c r="K56" s="231">
        <v>1678.453</v>
      </c>
      <c r="L56" s="231">
        <v>1737.193</v>
      </c>
      <c r="M56" s="785">
        <v>1814.2460000000001</v>
      </c>
      <c r="N56" s="909">
        <v>1885.5429999999999</v>
      </c>
      <c r="O56" s="883">
        <v>1960.0719999999999</v>
      </c>
      <c r="P56" s="906">
        <v>2038.2460000000001</v>
      </c>
      <c r="Q56">
        <v>2118.127</v>
      </c>
      <c r="R56">
        <v>2199.9830000000002</v>
      </c>
      <c r="S56">
        <v>2283.1770000000001</v>
      </c>
      <c r="T56">
        <v>2367.9110000000001</v>
      </c>
      <c r="U56">
        <v>2455.0839999999998</v>
      </c>
    </row>
    <row r="57" spans="4:40" x14ac:dyDescent="0.35">
      <c r="D57" s="786" t="s">
        <v>493</v>
      </c>
      <c r="E57" s="787">
        <f t="shared" ref="E57:L57" si="21">E58+E59</f>
        <v>136.30000000000001</v>
      </c>
      <c r="F57" s="787">
        <f t="shared" si="21"/>
        <v>170.6</v>
      </c>
      <c r="G57" s="787">
        <f t="shared" si="21"/>
        <v>156</v>
      </c>
      <c r="H57" s="787">
        <f t="shared" si="21"/>
        <v>155.25900000000001</v>
      </c>
      <c r="I57" s="787">
        <f t="shared" si="21"/>
        <v>188</v>
      </c>
      <c r="J57" s="787">
        <f t="shared" si="21"/>
        <v>156.14100000000002</v>
      </c>
      <c r="K57" s="787">
        <f t="shared" si="21"/>
        <v>164.74599999999998</v>
      </c>
      <c r="L57" s="787">
        <f t="shared" si="21"/>
        <v>175.28800000000001</v>
      </c>
      <c r="M57" s="787">
        <f>M58+M59</f>
        <v>184</v>
      </c>
      <c r="N57" s="200"/>
      <c r="P57" s="910"/>
      <c r="Q57" s="910"/>
      <c r="R57" s="910"/>
      <c r="S57" s="910"/>
      <c r="T57" s="910"/>
      <c r="U57" s="910"/>
      <c r="V57" s="910"/>
      <c r="W57" s="910"/>
    </row>
    <row r="58" spans="4:40" x14ac:dyDescent="0.35">
      <c r="D58" s="788" t="s">
        <v>1949</v>
      </c>
      <c r="E58" s="789">
        <v>95</v>
      </c>
      <c r="F58" s="789">
        <v>99.8</v>
      </c>
      <c r="G58" s="789">
        <v>87</v>
      </c>
      <c r="H58" s="787">
        <v>75.274000000000001</v>
      </c>
      <c r="I58" s="790">
        <v>88</v>
      </c>
      <c r="J58" s="790">
        <v>75.804000000000002</v>
      </c>
      <c r="K58" s="790">
        <v>85.135999999999996</v>
      </c>
      <c r="L58" s="790">
        <v>92.344999999999999</v>
      </c>
      <c r="M58" s="791">
        <v>97</v>
      </c>
      <c r="N58" s="200"/>
      <c r="P58" s="910"/>
      <c r="Q58" s="910"/>
      <c r="R58" s="910"/>
      <c r="S58" s="910"/>
      <c r="T58" s="910"/>
      <c r="U58" s="910"/>
      <c r="V58" s="910"/>
      <c r="W58" s="910"/>
    </row>
    <row r="59" spans="4:40" ht="16.5" customHeight="1" x14ac:dyDescent="0.35">
      <c r="D59" s="761" t="s">
        <v>1948</v>
      </c>
      <c r="E59" s="789">
        <v>41.3</v>
      </c>
      <c r="F59" s="789">
        <v>70.8</v>
      </c>
      <c r="G59" s="789">
        <v>69</v>
      </c>
      <c r="H59" s="787">
        <v>79.984999999999999</v>
      </c>
      <c r="I59" s="790">
        <v>100</v>
      </c>
      <c r="J59" s="790">
        <v>80.337000000000003</v>
      </c>
      <c r="K59" s="790">
        <v>79.61</v>
      </c>
      <c r="L59" s="790">
        <v>82.942999999999998</v>
      </c>
      <c r="M59" s="792">
        <v>87</v>
      </c>
      <c r="N59" s="889"/>
      <c r="O59" s="908"/>
      <c r="P59" s="906"/>
      <c r="Q59" s="906"/>
      <c r="R59" s="906"/>
      <c r="S59" s="906"/>
      <c r="T59" s="906"/>
      <c r="U59" s="906"/>
      <c r="V59" s="906"/>
      <c r="W59" s="906"/>
      <c r="X59" s="889"/>
      <c r="Y59" s="889"/>
      <c r="Z59" s="907"/>
    </row>
    <row r="60" spans="4:40" ht="16.5" customHeight="1" x14ac:dyDescent="0.35">
      <c r="D60" s="838" t="s">
        <v>106</v>
      </c>
      <c r="E60" s="839">
        <v>204.7</v>
      </c>
      <c r="F60" s="839">
        <v>230.2</v>
      </c>
      <c r="G60" s="839">
        <v>212</v>
      </c>
      <c r="H60" s="872">
        <v>371.83100000000002</v>
      </c>
      <c r="I60" s="488">
        <v>424.86700000000002</v>
      </c>
      <c r="J60" s="488">
        <v>419.584</v>
      </c>
      <c r="K60" s="488">
        <v>525.40200000000004</v>
      </c>
      <c r="L60" s="488">
        <v>490.08600000000001</v>
      </c>
      <c r="M60" s="805">
        <v>470.452</v>
      </c>
      <c r="N60" s="889">
        <v>459.399</v>
      </c>
      <c r="O60" s="908">
        <v>461.55399999999997</v>
      </c>
      <c r="P60" s="906">
        <v>460.858</v>
      </c>
      <c r="Q60" s="906">
        <v>462.81099999999998</v>
      </c>
      <c r="R60" s="906">
        <v>465.98700000000002</v>
      </c>
      <c r="S60" s="906">
        <v>471.01</v>
      </c>
      <c r="T60" s="906">
        <v>495.30399999999997</v>
      </c>
      <c r="U60" s="906">
        <v>506.70400000000001</v>
      </c>
      <c r="V60" s="906"/>
      <c r="W60" s="906"/>
      <c r="X60" s="889"/>
      <c r="Y60" s="889"/>
      <c r="Z60" s="907"/>
    </row>
    <row r="61" spans="4:40" ht="16.5" customHeight="1" x14ac:dyDescent="0.35"/>
    <row r="62" spans="4:40" x14ac:dyDescent="0.35">
      <c r="D62" s="614" t="s">
        <v>494</v>
      </c>
      <c r="E62" s="662">
        <v>2018</v>
      </c>
      <c r="F62" s="723">
        <v>2019</v>
      </c>
      <c r="G62" s="762">
        <v>2020</v>
      </c>
      <c r="H62" s="723">
        <v>2021</v>
      </c>
      <c r="I62" s="723">
        <v>2022</v>
      </c>
      <c r="J62" s="769">
        <v>2023</v>
      </c>
      <c r="K62" s="769">
        <v>2024</v>
      </c>
      <c r="L62" s="916">
        <v>2025</v>
      </c>
      <c r="M62" s="765">
        <v>2026</v>
      </c>
      <c r="O62" s="517" t="s">
        <v>495</v>
      </c>
    </row>
    <row r="63" spans="4:40" ht="14.9" customHeight="1" x14ac:dyDescent="0.35">
      <c r="D63" s="879" t="s">
        <v>491</v>
      </c>
      <c r="E63" s="308">
        <v>1622</v>
      </c>
      <c r="F63" s="308">
        <v>1687</v>
      </c>
      <c r="G63" s="771">
        <f t="shared" ref="G63:L66" si="22">G31</f>
        <v>1719.875</v>
      </c>
      <c r="H63" s="771">
        <f t="shared" si="22"/>
        <v>2049.6750000000002</v>
      </c>
      <c r="I63" s="771">
        <f t="shared" si="22"/>
        <v>2449.1750000000002</v>
      </c>
      <c r="J63" s="771">
        <f t="shared" si="22"/>
        <v>2025.1858667265676</v>
      </c>
      <c r="K63" s="771">
        <f t="shared" si="22"/>
        <v>2276.5874608731669</v>
      </c>
      <c r="L63" s="771">
        <f t="shared" si="22"/>
        <v>2372.614582925713</v>
      </c>
      <c r="M63" s="767"/>
    </row>
    <row r="64" spans="4:40" x14ac:dyDescent="0.35">
      <c r="D64" s="904" t="s">
        <v>496</v>
      </c>
      <c r="E64" s="234">
        <v>1332</v>
      </c>
      <c r="F64" s="234">
        <v>1388</v>
      </c>
      <c r="G64" s="770">
        <f t="shared" si="22"/>
        <v>1424.3</v>
      </c>
      <c r="H64" s="770">
        <f t="shared" si="22"/>
        <v>1507.5250000000001</v>
      </c>
      <c r="I64" s="770">
        <f t="shared" si="22"/>
        <v>1656.6750000000002</v>
      </c>
      <c r="J64" s="770">
        <f t="shared" si="22"/>
        <v>1802.8864298974202</v>
      </c>
      <c r="K64" s="770">
        <f t="shared" si="22"/>
        <v>1874.3528079555063</v>
      </c>
      <c r="L64" s="770">
        <f t="shared" si="22"/>
        <v>1939.9486178705331</v>
      </c>
      <c r="M64" s="768"/>
      <c r="N64" s="887"/>
    </row>
    <row r="65" spans="4:22" x14ac:dyDescent="0.35">
      <c r="D65" s="904" t="s">
        <v>105</v>
      </c>
      <c r="E65" s="234">
        <v>150</v>
      </c>
      <c r="F65" s="234">
        <v>175</v>
      </c>
      <c r="G65" s="770">
        <f t="shared" si="22"/>
        <v>160.35</v>
      </c>
      <c r="H65" s="770">
        <f t="shared" si="22"/>
        <v>170.32500000000002</v>
      </c>
      <c r="I65" s="770">
        <f t="shared" si="22"/>
        <v>196.72500000000002</v>
      </c>
      <c r="J65" s="770">
        <f t="shared" si="22"/>
        <v>163.38743736702131</v>
      </c>
      <c r="K65" s="770">
        <f t="shared" si="22"/>
        <v>172.39179175531913</v>
      </c>
      <c r="L65" s="770">
        <f t="shared" si="22"/>
        <v>183.42304148936171</v>
      </c>
      <c r="M65" s="768"/>
      <c r="N65" s="887"/>
    </row>
    <row r="66" spans="4:22" x14ac:dyDescent="0.35">
      <c r="D66" s="863" t="s">
        <v>258</v>
      </c>
      <c r="E66" s="566">
        <v>208</v>
      </c>
      <c r="F66" s="566">
        <v>219</v>
      </c>
      <c r="G66" s="772">
        <f t="shared" si="22"/>
        <v>217.32499999999999</v>
      </c>
      <c r="H66" s="772">
        <f t="shared" si="22"/>
        <v>266.65000000000003</v>
      </c>
      <c r="I66" s="772">
        <f t="shared" si="22"/>
        <v>351.52499999999998</v>
      </c>
      <c r="J66" s="772">
        <f t="shared" si="22"/>
        <v>347.15396959519092</v>
      </c>
      <c r="K66" s="772">
        <f t="shared" si="22"/>
        <v>434.7053031889979</v>
      </c>
      <c r="L66" s="772">
        <f t="shared" si="22"/>
        <v>405.48567233981447</v>
      </c>
      <c r="M66" s="773"/>
      <c r="O66" s="1270" t="s">
        <v>896</v>
      </c>
      <c r="P66" s="1270" t="s">
        <v>896</v>
      </c>
      <c r="Q66" s="1270" t="s">
        <v>896</v>
      </c>
      <c r="R66" s="1270" t="s">
        <v>896</v>
      </c>
      <c r="S66" s="1270" t="s">
        <v>896</v>
      </c>
      <c r="T66" s="1270" t="s">
        <v>896</v>
      </c>
      <c r="U66" s="1270" t="s">
        <v>896</v>
      </c>
      <c r="V66" s="1271" t="s">
        <v>896</v>
      </c>
    </row>
    <row r="67" spans="4:22" ht="14.9" customHeight="1" x14ac:dyDescent="0.35">
      <c r="D67" s="265"/>
      <c r="E67" s="234"/>
      <c r="F67" s="234"/>
      <c r="G67" s="234"/>
      <c r="P67" s="1272">
        <v>2022</v>
      </c>
      <c r="Q67" s="1273">
        <v>2022</v>
      </c>
      <c r="R67" s="1273">
        <v>2022</v>
      </c>
      <c r="S67" s="1274">
        <v>2022</v>
      </c>
    </row>
    <row r="68" spans="4:22" ht="17.25" customHeight="1" x14ac:dyDescent="0.35">
      <c r="D68" s="472" t="s">
        <v>498</v>
      </c>
      <c r="E68" s="234"/>
      <c r="F68" s="234"/>
      <c r="G68" s="234"/>
      <c r="P68" s="186" t="s">
        <v>897</v>
      </c>
      <c r="Q68" s="186" t="s">
        <v>898</v>
      </c>
      <c r="R68" s="186" t="s">
        <v>899</v>
      </c>
      <c r="S68" s="186" t="s">
        <v>900</v>
      </c>
      <c r="T68" s="125" t="s">
        <v>913</v>
      </c>
    </row>
    <row r="69" spans="4:22" ht="30" customHeight="1" x14ac:dyDescent="0.35">
      <c r="D69" s="780" t="s">
        <v>499</v>
      </c>
      <c r="E69" s="723">
        <v>2018</v>
      </c>
      <c r="F69" s="723">
        <v>2019</v>
      </c>
      <c r="G69" s="762">
        <v>2020</v>
      </c>
      <c r="H69" s="662">
        <v>2021</v>
      </c>
      <c r="I69" s="723">
        <v>2022</v>
      </c>
      <c r="J69" s="769">
        <v>2023</v>
      </c>
      <c r="K69" s="769">
        <v>2024</v>
      </c>
      <c r="L69" s="916">
        <v>2025</v>
      </c>
      <c r="M69" s="765">
        <v>2026</v>
      </c>
      <c r="O69" s="30" t="s">
        <v>497</v>
      </c>
      <c r="P69" s="190">
        <v>2973</v>
      </c>
      <c r="Q69" s="190">
        <v>3062.8</v>
      </c>
      <c r="R69" s="190">
        <v>3085.2</v>
      </c>
      <c r="S69" s="833">
        <v>2106.1999999999998</v>
      </c>
      <c r="T69" s="190">
        <v>3123.2</v>
      </c>
    </row>
    <row r="70" spans="4:22" x14ac:dyDescent="0.35">
      <c r="D70" s="879" t="s">
        <v>491</v>
      </c>
      <c r="E70" s="781">
        <f t="shared" ref="E70:K72" si="23">E63/E55</f>
        <v>0.96346896346896349</v>
      </c>
      <c r="F70" s="781">
        <f t="shared" si="23"/>
        <v>0.98201292275452579</v>
      </c>
      <c r="G70" s="781">
        <f t="shared" si="23"/>
        <v>1.0689092604101926</v>
      </c>
      <c r="H70" s="781">
        <f t="shared" si="23"/>
        <v>1.0025914985347615</v>
      </c>
      <c r="I70" s="781">
        <f t="shared" si="23"/>
        <v>0.93048635238560196</v>
      </c>
      <c r="J70" s="781">
        <f t="shared" si="23"/>
        <v>0.93048635238560196</v>
      </c>
      <c r="K70" s="781">
        <f t="shared" si="23"/>
        <v>0.93048635238560207</v>
      </c>
      <c r="L70" s="781"/>
      <c r="M70" s="767"/>
      <c r="T70" s="223"/>
    </row>
    <row r="71" spans="4:22" x14ac:dyDescent="0.35">
      <c r="D71" s="904" t="s">
        <v>496</v>
      </c>
      <c r="E71" s="853">
        <f t="shared" si="23"/>
        <v>1.1377808148970701</v>
      </c>
      <c r="F71" s="853">
        <f t="shared" si="23"/>
        <v>1.1162940324915553</v>
      </c>
      <c r="G71" s="853">
        <f t="shared" si="23"/>
        <v>1.0872519083969465</v>
      </c>
      <c r="H71" s="853">
        <f t="shared" si="23"/>
        <v>1.1472024704585995</v>
      </c>
      <c r="I71" s="853">
        <f t="shared" si="23"/>
        <v>1.1167145031499279</v>
      </c>
      <c r="J71" s="853">
        <f t="shared" si="23"/>
        <v>1.1167145031499282</v>
      </c>
      <c r="K71" s="853">
        <f t="shared" si="23"/>
        <v>1.1167145031499282</v>
      </c>
      <c r="L71" s="240"/>
      <c r="M71" s="768"/>
    </row>
    <row r="72" spans="4:22" x14ac:dyDescent="0.35">
      <c r="D72" s="904" t="s">
        <v>105</v>
      </c>
      <c r="E72" s="853">
        <f t="shared" si="23"/>
        <v>1.1005135730007336</v>
      </c>
      <c r="F72" s="853">
        <f t="shared" si="23"/>
        <v>1.0257913247362251</v>
      </c>
      <c r="G72" s="853">
        <f t="shared" si="23"/>
        <v>1.0278846153846153</v>
      </c>
      <c r="H72" s="853">
        <f t="shared" si="23"/>
        <v>1.097037852878094</v>
      </c>
      <c r="I72" s="853">
        <f t="shared" si="23"/>
        <v>1.0464095744680852</v>
      </c>
      <c r="J72" s="853">
        <f t="shared" si="23"/>
        <v>1.0464095744680852</v>
      </c>
      <c r="K72" s="853">
        <f t="shared" si="23"/>
        <v>1.046409574468085</v>
      </c>
      <c r="L72" s="240"/>
      <c r="M72" s="768"/>
    </row>
    <row r="73" spans="4:22" x14ac:dyDescent="0.35">
      <c r="D73" s="863" t="s">
        <v>258</v>
      </c>
      <c r="E73" s="865">
        <f t="shared" ref="E73:K73" si="24">E66/E60</f>
        <v>1.0161211529066927</v>
      </c>
      <c r="F73" s="865">
        <f t="shared" si="24"/>
        <v>0.95134665508253702</v>
      </c>
      <c r="G73" s="865">
        <f t="shared" si="24"/>
        <v>1.0251179245283017</v>
      </c>
      <c r="H73" s="865">
        <f t="shared" si="24"/>
        <v>0.71712686677549753</v>
      </c>
      <c r="I73" s="865">
        <f t="shared" si="24"/>
        <v>0.82737656725516451</v>
      </c>
      <c r="J73" s="865">
        <f t="shared" si="24"/>
        <v>0.8273765672551644</v>
      </c>
      <c r="K73" s="865">
        <f t="shared" si="24"/>
        <v>0.8273765672551644</v>
      </c>
      <c r="L73" s="358"/>
      <c r="M73" s="773"/>
    </row>
    <row r="75" spans="4:22" x14ac:dyDescent="0.35">
      <c r="D75" s="265"/>
      <c r="E75" s="234"/>
      <c r="F75" s="234"/>
      <c r="G75" s="234"/>
    </row>
    <row r="76" spans="4:22" x14ac:dyDescent="0.35">
      <c r="D76" s="240"/>
    </row>
    <row r="77" spans="4:22" ht="30" customHeight="1" x14ac:dyDescent="0.35">
      <c r="D77" s="399" t="s">
        <v>1969</v>
      </c>
      <c r="E77" s="662">
        <v>2018</v>
      </c>
      <c r="F77" s="834">
        <v>2019</v>
      </c>
      <c r="G77" s="834">
        <v>2020</v>
      </c>
      <c r="H77" s="847">
        <v>2021</v>
      </c>
      <c r="I77" s="834">
        <v>2022</v>
      </c>
      <c r="J77" s="840">
        <v>2023</v>
      </c>
      <c r="K77" s="840">
        <v>2024</v>
      </c>
      <c r="L77" s="793">
        <v>2025</v>
      </c>
      <c r="M77" s="765">
        <v>2026</v>
      </c>
    </row>
    <row r="78" spans="4:22" x14ac:dyDescent="0.35">
      <c r="D78" s="565" t="s">
        <v>1951</v>
      </c>
      <c r="E78" s="367">
        <v>14016.099999999999</v>
      </c>
      <c r="F78" s="367">
        <v>14604.2</v>
      </c>
      <c r="G78" s="367">
        <v>14711.300000000001</v>
      </c>
      <c r="H78" s="891">
        <v>21015.3</v>
      </c>
      <c r="I78" s="718">
        <v>21593.3</v>
      </c>
      <c r="J78" s="718">
        <v>22717.9</v>
      </c>
      <c r="K78" s="718">
        <v>24019.200000000001</v>
      </c>
      <c r="L78" s="718">
        <v>25601.3</v>
      </c>
      <c r="M78" s="767">
        <v>26829.599999999999</v>
      </c>
      <c r="N78">
        <v>27946.1</v>
      </c>
      <c r="O78">
        <v>29114.3</v>
      </c>
      <c r="P78">
        <v>30350.5</v>
      </c>
      <c r="Q78">
        <v>31638.799999999999</v>
      </c>
      <c r="R78">
        <v>32975.4</v>
      </c>
      <c r="S78">
        <v>34369.5</v>
      </c>
      <c r="T78">
        <v>35806.400000000001</v>
      </c>
      <c r="U78">
        <v>37320.199999999997</v>
      </c>
    </row>
    <row r="79" spans="4:22" x14ac:dyDescent="0.35">
      <c r="D79" s="904" t="s">
        <v>501</v>
      </c>
      <c r="E79" s="234">
        <v>8804</v>
      </c>
      <c r="F79" s="234">
        <v>9209</v>
      </c>
      <c r="G79" s="436">
        <v>9300</v>
      </c>
      <c r="H79" s="779">
        <v>10074.1</v>
      </c>
      <c r="I79" s="441">
        <v>10975.3</v>
      </c>
      <c r="J79" s="441">
        <v>11633.3</v>
      </c>
      <c r="K79" s="441">
        <v>12314.7</v>
      </c>
      <c r="L79" s="441">
        <v>12911.1</v>
      </c>
      <c r="M79" s="768">
        <v>13456.5</v>
      </c>
      <c r="N79">
        <v>13986.1</v>
      </c>
      <c r="O79">
        <v>14525.5</v>
      </c>
      <c r="P79">
        <v>15089.5</v>
      </c>
      <c r="Q79">
        <v>15670.2</v>
      </c>
      <c r="R79">
        <v>16264.2</v>
      </c>
      <c r="S79">
        <v>16872.900000000001</v>
      </c>
      <c r="T79">
        <v>17495.7</v>
      </c>
      <c r="U79">
        <v>18140.7</v>
      </c>
    </row>
    <row r="80" spans="4:22" x14ac:dyDescent="0.35">
      <c r="D80" s="904" t="s">
        <v>502</v>
      </c>
      <c r="E80" s="234">
        <v>13844</v>
      </c>
      <c r="F80" s="234">
        <v>14403</v>
      </c>
      <c r="G80" s="436">
        <v>14201</v>
      </c>
      <c r="H80" s="779">
        <v>15545.1</v>
      </c>
      <c r="I80" s="441">
        <v>17212</v>
      </c>
      <c r="J80" s="441">
        <v>18321.3</v>
      </c>
      <c r="K80" s="441">
        <v>19338.099999999999</v>
      </c>
      <c r="L80" s="441">
        <v>20190.099999999999</v>
      </c>
      <c r="M80" s="768">
        <v>20873.900000000001</v>
      </c>
      <c r="N80">
        <v>21571.5</v>
      </c>
      <c r="O80">
        <v>22340.1</v>
      </c>
      <c r="P80">
        <v>23227.9</v>
      </c>
      <c r="Q80">
        <v>24187.599999999999</v>
      </c>
      <c r="R80">
        <v>25198.1</v>
      </c>
      <c r="S80">
        <v>26280.5</v>
      </c>
      <c r="T80">
        <v>27389</v>
      </c>
      <c r="U80">
        <v>28538.6</v>
      </c>
    </row>
    <row r="81" spans="4:25" x14ac:dyDescent="0.35">
      <c r="D81" s="863" t="s">
        <v>1950</v>
      </c>
      <c r="E81" s="872">
        <v>2335</v>
      </c>
      <c r="F81" s="872">
        <v>2442</v>
      </c>
      <c r="G81" s="872">
        <v>2392</v>
      </c>
      <c r="H81" s="841">
        <v>2796</v>
      </c>
      <c r="I81" s="848">
        <v>3144.3</v>
      </c>
      <c r="J81" s="848">
        <v>3216.6</v>
      </c>
      <c r="K81" s="848">
        <v>3412.7</v>
      </c>
      <c r="L81" s="848">
        <v>3518.9</v>
      </c>
      <c r="M81" s="773">
        <v>3584.9</v>
      </c>
      <c r="N81">
        <v>3652.1</v>
      </c>
      <c r="O81">
        <v>3702.7</v>
      </c>
      <c r="P81">
        <v>3767.6</v>
      </c>
      <c r="Q81">
        <v>3875.9</v>
      </c>
      <c r="R81">
        <v>4003.6</v>
      </c>
      <c r="S81">
        <v>4146.8999999999996</v>
      </c>
      <c r="T81">
        <v>4293.6000000000004</v>
      </c>
      <c r="U81">
        <v>4443.3999999999996</v>
      </c>
    </row>
    <row r="83" spans="4:25" x14ac:dyDescent="0.35">
      <c r="D83" s="240" t="s">
        <v>503</v>
      </c>
    </row>
    <row r="84" spans="4:25" x14ac:dyDescent="0.35">
      <c r="D84" s="614" t="s">
        <v>504</v>
      </c>
      <c r="E84" s="723">
        <v>2018</v>
      </c>
      <c r="F84" s="834">
        <v>2019</v>
      </c>
      <c r="G84" s="834">
        <v>2020</v>
      </c>
      <c r="H84" s="847">
        <v>2021</v>
      </c>
      <c r="I84" s="834">
        <v>2022</v>
      </c>
      <c r="J84" s="840">
        <v>2023</v>
      </c>
      <c r="K84" s="840">
        <v>2024</v>
      </c>
      <c r="L84" s="793">
        <v>2025</v>
      </c>
      <c r="M84" s="765">
        <v>2026</v>
      </c>
    </row>
    <row r="85" spans="4:25" x14ac:dyDescent="0.35">
      <c r="D85" s="774" t="s">
        <v>491</v>
      </c>
      <c r="E85" s="775">
        <f t="shared" ref="E85:L87" si="25">E55/E78</f>
        <v>0.12011187134794987</v>
      </c>
      <c r="F85" s="775">
        <f t="shared" si="25"/>
        <v>0.11763054463784391</v>
      </c>
      <c r="G85" s="775">
        <f t="shared" si="25"/>
        <v>0.10937170746297063</v>
      </c>
      <c r="H85" s="775">
        <f t="shared" si="25"/>
        <v>9.7280409987009472E-2</v>
      </c>
      <c r="I85" s="775">
        <f t="shared" si="25"/>
        <v>0.12189637526454966</v>
      </c>
      <c r="J85" s="775">
        <f t="shared" si="25"/>
        <v>9.5804673847494706E-2</v>
      </c>
      <c r="K85" s="775">
        <f t="shared" si="25"/>
        <v>0.10186284305888622</v>
      </c>
      <c r="L85" s="775">
        <f t="shared" si="25"/>
        <v>9.9599043798557094E-2</v>
      </c>
      <c r="M85" s="775">
        <f>M55/M78</f>
        <v>0.10589058353460358</v>
      </c>
    </row>
    <row r="86" spans="4:25" x14ac:dyDescent="0.35">
      <c r="D86" s="795" t="s">
        <v>492</v>
      </c>
      <c r="E86" s="900">
        <f t="shared" si="25"/>
        <v>0.13297364834166289</v>
      </c>
      <c r="F86" s="900">
        <f>F56/F79</f>
        <v>0.13502008904332718</v>
      </c>
      <c r="G86" s="900">
        <f>G56/G79</f>
        <v>0.14086021505376345</v>
      </c>
      <c r="H86" s="900">
        <f t="shared" si="25"/>
        <v>0.13044222312663165</v>
      </c>
      <c r="I86" s="900">
        <f t="shared" si="25"/>
        <v>0.13516951700636887</v>
      </c>
      <c r="J86" s="900">
        <f t="shared" si="25"/>
        <v>0.13877885036919876</v>
      </c>
      <c r="K86" s="900">
        <f t="shared" si="25"/>
        <v>0.13629670231511931</v>
      </c>
      <c r="L86" s="900">
        <f t="shared" si="25"/>
        <v>0.13455034815004144</v>
      </c>
      <c r="M86" s="900">
        <f t="shared" ref="M86" si="26">M56/M79</f>
        <v>0.1348230223312154</v>
      </c>
    </row>
    <row r="87" spans="4:25" x14ac:dyDescent="0.35">
      <c r="D87" s="904" t="s">
        <v>505</v>
      </c>
      <c r="E87" s="900">
        <f t="shared" si="25"/>
        <v>9.8454203987286912E-3</v>
      </c>
      <c r="F87" s="900">
        <f t="shared" si="25"/>
        <v>1.1844754565021176E-2</v>
      </c>
      <c r="G87" s="900">
        <f t="shared" si="25"/>
        <v>1.0985141891416098E-2</v>
      </c>
      <c r="H87" s="900">
        <f t="shared" si="25"/>
        <v>9.9876488411139216E-3</v>
      </c>
      <c r="I87" s="900">
        <f t="shared" si="25"/>
        <v>1.0922612131071346E-2</v>
      </c>
      <c r="J87" s="900">
        <f t="shared" si="25"/>
        <v>8.5223755956182166E-3</v>
      </c>
      <c r="K87" s="900">
        <f t="shared" si="25"/>
        <v>8.5192443931927132E-3</v>
      </c>
      <c r="L87" s="900">
        <f t="shared" si="25"/>
        <v>8.6818787425520447E-3</v>
      </c>
      <c r="M87" s="900">
        <f t="shared" ref="M87" si="27">M57/M80</f>
        <v>8.8148357518240475E-3</v>
      </c>
    </row>
    <row r="88" spans="4:25" x14ac:dyDescent="0.35">
      <c r="D88" s="796" t="s">
        <v>106</v>
      </c>
      <c r="E88" s="867">
        <f t="shared" ref="E88:L88" si="28">E60/E81</f>
        <v>8.7665952890792292E-2</v>
      </c>
      <c r="F88" s="867">
        <f t="shared" si="28"/>
        <v>9.4266994266994267E-2</v>
      </c>
      <c r="G88" s="867">
        <f t="shared" si="28"/>
        <v>8.8628762541806017E-2</v>
      </c>
      <c r="H88" s="867">
        <f t="shared" si="28"/>
        <v>0.13298676680972818</v>
      </c>
      <c r="I88" s="867">
        <f t="shared" si="28"/>
        <v>0.13512292084088667</v>
      </c>
      <c r="J88" s="867">
        <f t="shared" si="28"/>
        <v>0.13044332525026425</v>
      </c>
      <c r="K88" s="867">
        <f t="shared" si="28"/>
        <v>0.1539549330442172</v>
      </c>
      <c r="L88" s="867">
        <f t="shared" si="28"/>
        <v>0.13927249992895507</v>
      </c>
      <c r="M88" s="867">
        <f t="shared" ref="M88" si="29">M60/M81</f>
        <v>0.1312315545761388</v>
      </c>
    </row>
    <row r="90" spans="4:25" x14ac:dyDescent="0.35">
      <c r="D90" s="240" t="s">
        <v>506</v>
      </c>
    </row>
    <row r="91" spans="4:25" x14ac:dyDescent="0.35">
      <c r="D91" s="800" t="s">
        <v>352</v>
      </c>
    </row>
    <row r="92" spans="4:25" x14ac:dyDescent="0.35">
      <c r="D92" s="614" t="s">
        <v>507</v>
      </c>
      <c r="E92" s="723">
        <v>2018</v>
      </c>
      <c r="F92" s="834">
        <v>2019</v>
      </c>
      <c r="G92" s="834">
        <v>2020</v>
      </c>
      <c r="H92" s="847">
        <v>2021</v>
      </c>
      <c r="I92" s="834">
        <v>2022</v>
      </c>
      <c r="J92" s="840">
        <v>2023</v>
      </c>
      <c r="K92" s="840">
        <v>2024</v>
      </c>
      <c r="L92" s="793">
        <v>2025</v>
      </c>
      <c r="M92" s="765">
        <v>2026</v>
      </c>
    </row>
    <row r="93" spans="4:25" ht="20.25" customHeight="1" x14ac:dyDescent="0.35">
      <c r="D93" s="774" t="s">
        <v>491</v>
      </c>
      <c r="E93" s="775">
        <f t="shared" ref="E93:G96" si="30">E85*E70</f>
        <v>0.11572406018792676</v>
      </c>
      <c r="F93" s="775">
        <f t="shared" si="30"/>
        <v>0.11551471494501581</v>
      </c>
      <c r="G93" s="775">
        <f t="shared" si="30"/>
        <v>0.11690843093404389</v>
      </c>
      <c r="H93" s="775">
        <f>N112</f>
        <v>0.13265203887386032</v>
      </c>
      <c r="I93" s="775">
        <f>H93</f>
        <v>0.13265203887386032</v>
      </c>
      <c r="J93" s="775">
        <f t="shared" ref="J93" si="31">I93</f>
        <v>0.13265203887386032</v>
      </c>
      <c r="K93" s="775">
        <f>J93</f>
        <v>0.13265203887386032</v>
      </c>
      <c r="L93" s="775">
        <f>K93</f>
        <v>0.13265203887386032</v>
      </c>
      <c r="M93" s="776"/>
      <c r="N93" s="797"/>
      <c r="O93" s="900"/>
      <c r="P93" s="900"/>
      <c r="Q93" s="900"/>
      <c r="R93" s="900"/>
      <c r="S93" s="900"/>
      <c r="T93" s="900"/>
      <c r="U93" s="900"/>
      <c r="V93" s="900"/>
      <c r="W93" s="900"/>
      <c r="X93" s="900"/>
      <c r="Y93" s="900"/>
    </row>
    <row r="94" spans="4:25" ht="18.75" customHeight="1" x14ac:dyDescent="0.35">
      <c r="D94" s="795" t="s">
        <v>492</v>
      </c>
      <c r="E94" s="900">
        <f t="shared" si="30"/>
        <v>0.15129486597001363</v>
      </c>
      <c r="F94" s="900">
        <f t="shared" si="30"/>
        <v>0.15072211966554458</v>
      </c>
      <c r="G94" s="900">
        <f t="shared" si="30"/>
        <v>0.15315053763440861</v>
      </c>
      <c r="H94" s="900">
        <f>N114</f>
        <v>0.14928290766208252</v>
      </c>
      <c r="I94" s="900">
        <f>H94</f>
        <v>0.14928290766208252</v>
      </c>
      <c r="J94" s="900">
        <f>I94</f>
        <v>0.14928290766208252</v>
      </c>
      <c r="K94" s="900">
        <f t="shared" ref="K94:L94" si="32">J94</f>
        <v>0.14928290766208252</v>
      </c>
      <c r="L94" s="900">
        <f t="shared" si="32"/>
        <v>0.14928290766208252</v>
      </c>
      <c r="M94" s="777"/>
      <c r="N94" s="797"/>
      <c r="O94" s="900"/>
      <c r="P94" s="900"/>
      <c r="Q94" s="900"/>
      <c r="R94" s="900"/>
      <c r="S94" s="900"/>
      <c r="T94" s="900"/>
      <c r="U94" s="900"/>
      <c r="V94" s="900"/>
      <c r="W94" s="900"/>
      <c r="X94" s="900"/>
      <c r="Y94" s="900"/>
    </row>
    <row r="95" spans="4:25" ht="19.399999999999999" customHeight="1" x14ac:dyDescent="0.35">
      <c r="D95" s="904" t="s">
        <v>105</v>
      </c>
      <c r="E95" s="900">
        <f t="shared" si="30"/>
        <v>1.0835018780699219E-2</v>
      </c>
      <c r="F95" s="900">
        <f t="shared" si="30"/>
        <v>1.2150246476428523E-2</v>
      </c>
      <c r="G95" s="900">
        <f t="shared" si="30"/>
        <v>1.1291458348003661E-2</v>
      </c>
      <c r="H95" s="900">
        <f>N115</f>
        <v>1.1315975901046335E-2</v>
      </c>
      <c r="I95" s="900">
        <f>AVERAGE($F72:$G72)*I87</f>
        <v>1.1215752868426621E-2</v>
      </c>
      <c r="J95" s="900">
        <f>AVERAGE($F72:$G72)*J87</f>
        <v>8.7510988566970749E-3</v>
      </c>
      <c r="K95" s="900">
        <f>J95</f>
        <v>8.7510988566970749E-3</v>
      </c>
      <c r="L95" s="900">
        <f>K95</f>
        <v>8.7510988566970749E-3</v>
      </c>
      <c r="M95" s="777"/>
      <c r="N95" s="797"/>
      <c r="O95" s="900"/>
      <c r="P95" s="900"/>
      <c r="Q95" s="900"/>
      <c r="R95" s="900"/>
      <c r="S95" s="900"/>
      <c r="T95" s="900"/>
      <c r="U95" s="900"/>
      <c r="V95" s="900"/>
      <c r="W95" s="900"/>
      <c r="X95" s="900"/>
      <c r="Y95" s="900"/>
    </row>
    <row r="96" spans="4:25" ht="19.399999999999999" customHeight="1" x14ac:dyDescent="0.35">
      <c r="D96" s="796" t="s">
        <v>106</v>
      </c>
      <c r="E96" s="867">
        <f t="shared" si="30"/>
        <v>8.9079229122055667E-2</v>
      </c>
      <c r="F96" s="867">
        <f t="shared" si="30"/>
        <v>8.9680589680589687E-2</v>
      </c>
      <c r="G96" s="867">
        <f t="shared" si="30"/>
        <v>9.085493311036788E-2</v>
      </c>
      <c r="H96" s="867">
        <f>M116</f>
        <v>0.11063848447640764</v>
      </c>
      <c r="I96" s="867">
        <f>N116</f>
        <v>0.10992248062015504</v>
      </c>
      <c r="J96" s="867">
        <f>I96</f>
        <v>0.10992248062015504</v>
      </c>
      <c r="K96" s="867">
        <f>J96</f>
        <v>0.10992248062015504</v>
      </c>
      <c r="L96" s="867">
        <f>K96</f>
        <v>0.10992248062015504</v>
      </c>
      <c r="M96" s="778"/>
      <c r="N96" s="797"/>
      <c r="O96" s="900"/>
      <c r="P96" s="900"/>
      <c r="Q96" s="900"/>
      <c r="R96" s="900"/>
      <c r="S96" s="900"/>
      <c r="T96" s="900"/>
      <c r="U96" s="900"/>
      <c r="V96" s="900"/>
      <c r="W96" s="900"/>
      <c r="X96" s="900"/>
      <c r="Y96" s="900"/>
    </row>
    <row r="97" spans="4:68" x14ac:dyDescent="0.35">
      <c r="E97" s="685"/>
      <c r="F97" s="685"/>
      <c r="G97" s="685"/>
      <c r="H97" s="685"/>
      <c r="I97" s="685"/>
      <c r="J97" s="685"/>
      <c r="K97" s="685"/>
      <c r="L97" s="685"/>
    </row>
    <row r="98" spans="4:68" x14ac:dyDescent="0.35">
      <c r="D98" s="799" t="s">
        <v>365</v>
      </c>
      <c r="E98" s="900"/>
      <c r="F98" s="900"/>
      <c r="G98" s="900"/>
      <c r="H98" s="900"/>
      <c r="I98" s="900"/>
      <c r="J98" s="900"/>
      <c r="K98" s="900"/>
      <c r="L98" s="900"/>
      <c r="M98" s="900"/>
      <c r="N98" s="900"/>
      <c r="O98" s="900"/>
      <c r="P98" s="900"/>
      <c r="Q98" s="900"/>
      <c r="R98" s="900"/>
      <c r="S98" s="900"/>
      <c r="T98" s="900"/>
      <c r="U98" s="900"/>
      <c r="V98" s="900"/>
      <c r="W98" s="900"/>
      <c r="X98" s="900"/>
      <c r="Y98" s="900"/>
    </row>
    <row r="99" spans="4:68" x14ac:dyDescent="0.35">
      <c r="D99" s="1373" t="s">
        <v>1970</v>
      </c>
      <c r="E99" s="1389"/>
      <c r="F99" s="1291">
        <v>2019</v>
      </c>
      <c r="G99" s="1292"/>
      <c r="H99" s="1293"/>
      <c r="I99" s="1291">
        <v>2020</v>
      </c>
      <c r="J99" s="1292"/>
      <c r="K99" s="1292"/>
      <c r="L99" s="1293"/>
      <c r="M99" s="1291">
        <v>2021</v>
      </c>
      <c r="N99" s="1292"/>
      <c r="O99" s="1292"/>
      <c r="P99" s="1292"/>
      <c r="Q99" s="1291">
        <v>2022</v>
      </c>
      <c r="R99" s="1321"/>
      <c r="S99" s="1321"/>
      <c r="T99" s="1293"/>
      <c r="U99" s="288"/>
      <c r="V99" s="288">
        <v>2023</v>
      </c>
      <c r="W99" s="556"/>
      <c r="X99" s="260"/>
      <c r="Y99" s="1288">
        <v>2024</v>
      </c>
      <c r="Z99" s="1301"/>
      <c r="AA99" s="1301"/>
      <c r="AB99" s="1290"/>
      <c r="AC99" s="1288">
        <v>2025</v>
      </c>
      <c r="AD99" s="1301"/>
      <c r="AE99" s="1301"/>
      <c r="AF99" s="1290"/>
      <c r="AG99" s="340">
        <v>2026</v>
      </c>
    </row>
    <row r="100" spans="4:68" x14ac:dyDescent="0.35">
      <c r="D100" s="1390"/>
      <c r="E100" s="1391"/>
      <c r="F100" s="214" t="s">
        <v>284</v>
      </c>
      <c r="G100" s="215" t="s">
        <v>238</v>
      </c>
      <c r="H100" s="216" t="s">
        <v>282</v>
      </c>
      <c r="I100" s="214" t="s">
        <v>283</v>
      </c>
      <c r="J100" s="215" t="s">
        <v>284</v>
      </c>
      <c r="K100" s="215" t="s">
        <v>238</v>
      </c>
      <c r="L100" s="216" t="s">
        <v>282</v>
      </c>
      <c r="M100" s="214" t="s">
        <v>283</v>
      </c>
      <c r="N100" s="215" t="s">
        <v>284</v>
      </c>
      <c r="O100" s="215" t="s">
        <v>238</v>
      </c>
      <c r="P100" s="215" t="s">
        <v>282</v>
      </c>
      <c r="Q100" s="214" t="s">
        <v>283</v>
      </c>
      <c r="R100" s="215" t="s">
        <v>284</v>
      </c>
      <c r="S100" s="215" t="s">
        <v>238</v>
      </c>
      <c r="T100" s="216" t="s">
        <v>282</v>
      </c>
      <c r="U100" s="215" t="s">
        <v>283</v>
      </c>
      <c r="V100" s="286" t="s">
        <v>284</v>
      </c>
      <c r="W100" s="270" t="s">
        <v>238</v>
      </c>
      <c r="X100" s="271" t="s">
        <v>282</v>
      </c>
      <c r="Y100" s="269" t="s">
        <v>283</v>
      </c>
      <c r="Z100" s="267" t="s">
        <v>284</v>
      </c>
      <c r="AA100" s="270" t="s">
        <v>238</v>
      </c>
      <c r="AB100" s="270" t="s">
        <v>282</v>
      </c>
      <c r="AC100" s="269" t="s">
        <v>283</v>
      </c>
      <c r="AD100" s="267" t="s">
        <v>284</v>
      </c>
      <c r="AE100" s="270" t="s">
        <v>238</v>
      </c>
      <c r="AF100" s="270" t="s">
        <v>282</v>
      </c>
      <c r="AG100" s="272" t="s">
        <v>283</v>
      </c>
    </row>
    <row r="101" spans="4:68" x14ac:dyDescent="0.35">
      <c r="D101" s="803" t="s">
        <v>500</v>
      </c>
      <c r="E101" s="842"/>
      <c r="F101" s="367">
        <f t="shared" ref="F101:AC101" si="33">F102+F103</f>
        <v>0</v>
      </c>
      <c r="G101" s="367">
        <f t="shared" si="33"/>
        <v>0</v>
      </c>
      <c r="H101" s="367">
        <f t="shared" si="33"/>
        <v>0</v>
      </c>
      <c r="I101" s="367">
        <f t="shared" si="33"/>
        <v>15134.800000000001</v>
      </c>
      <c r="J101" s="367">
        <f t="shared" si="33"/>
        <v>14265.5</v>
      </c>
      <c r="K101" s="367">
        <f t="shared" si="33"/>
        <v>14943.5</v>
      </c>
      <c r="L101" s="367">
        <f t="shared" si="33"/>
        <v>15319.300000000001</v>
      </c>
      <c r="M101" s="367">
        <f t="shared" si="33"/>
        <v>15399.800000000001</v>
      </c>
      <c r="N101" s="367">
        <f t="shared" si="33"/>
        <v>15959.6</v>
      </c>
      <c r="O101" s="367">
        <f t="shared" si="33"/>
        <v>16325.6</v>
      </c>
      <c r="P101" s="367">
        <f t="shared" si="33"/>
        <v>16677.3</v>
      </c>
      <c r="Q101" s="367">
        <f t="shared" si="33"/>
        <v>16822.5</v>
      </c>
      <c r="R101" s="367">
        <f t="shared" si="33"/>
        <v>17045.7</v>
      </c>
      <c r="S101" s="367">
        <f t="shared" si="33"/>
        <v>17425.3</v>
      </c>
      <c r="T101" s="819">
        <f t="shared" si="33"/>
        <v>17575.3</v>
      </c>
      <c r="U101" s="367">
        <f t="shared" si="33"/>
        <v>17915.599999999999</v>
      </c>
      <c r="V101" s="367">
        <f t="shared" si="33"/>
        <v>18121.099999999999</v>
      </c>
      <c r="W101" s="367">
        <f>W102+W103</f>
        <v>18358</v>
      </c>
      <c r="X101" s="367">
        <f t="shared" si="33"/>
        <v>18587</v>
      </c>
      <c r="Y101" s="845">
        <f t="shared" si="33"/>
        <v>18861</v>
      </c>
      <c r="Z101" s="845">
        <f t="shared" si="33"/>
        <v>19328.199999999997</v>
      </c>
      <c r="AA101" s="845">
        <f t="shared" si="33"/>
        <v>19684.3</v>
      </c>
      <c r="AB101" s="845">
        <f t="shared" si="33"/>
        <v>19956.400000000001</v>
      </c>
      <c r="AC101" s="845">
        <f t="shared" si="33"/>
        <v>20210.8</v>
      </c>
      <c r="AD101" s="845">
        <f t="shared" ref="AD101:AG101" si="34">AD102+AD103</f>
        <v>20461.5</v>
      </c>
      <c r="AE101" s="845">
        <f t="shared" si="34"/>
        <v>20706.900000000001</v>
      </c>
      <c r="AF101" s="845">
        <f t="shared" si="34"/>
        <v>20958.7</v>
      </c>
      <c r="AG101" s="844">
        <f t="shared" si="34"/>
        <v>21195.9</v>
      </c>
    </row>
    <row r="102" spans="4:68" x14ac:dyDescent="0.35">
      <c r="D102" s="673" t="s">
        <v>501</v>
      </c>
      <c r="E102" s="607"/>
      <c r="F102" s="436"/>
      <c r="G102" s="436"/>
      <c r="H102" s="436"/>
      <c r="I102" s="223">
        <v>9624.7000000000007</v>
      </c>
      <c r="J102" s="441">
        <v>8995.7000000000007</v>
      </c>
      <c r="K102" s="441">
        <v>9425.4</v>
      </c>
      <c r="L102" s="441">
        <v>9783.7000000000007</v>
      </c>
      <c r="M102" s="441">
        <v>9878.7000000000007</v>
      </c>
      <c r="N102" s="441">
        <v>10170</v>
      </c>
      <c r="O102" s="441">
        <v>10447.700000000001</v>
      </c>
      <c r="P102" s="441">
        <v>10754.1</v>
      </c>
      <c r="Q102" s="441">
        <v>10886.7</v>
      </c>
      <c r="R102" s="441">
        <v>10988.9</v>
      </c>
      <c r="S102" s="441">
        <v>11271.4</v>
      </c>
      <c r="T102" s="441">
        <v>11317</v>
      </c>
      <c r="U102" s="441">
        <v>11565.4</v>
      </c>
      <c r="V102" s="441">
        <v>11733.3</v>
      </c>
      <c r="W102" s="441">
        <v>11917.5</v>
      </c>
      <c r="X102" s="441">
        <v>12049</v>
      </c>
      <c r="Y102" s="440">
        <v>12238.2</v>
      </c>
      <c r="Z102" s="440">
        <v>12410.3</v>
      </c>
      <c r="AA102" s="440">
        <v>12561.1</v>
      </c>
      <c r="AB102" s="440">
        <v>12703.8</v>
      </c>
      <c r="AC102" s="440">
        <v>12842</v>
      </c>
      <c r="AD102" s="440">
        <v>12980.8</v>
      </c>
      <c r="AE102" s="440">
        <v>13118</v>
      </c>
      <c r="AF102" s="440">
        <v>13255.1</v>
      </c>
      <c r="AG102" s="850">
        <v>13389.6</v>
      </c>
      <c r="AH102">
        <v>13523.9</v>
      </c>
      <c r="AI102">
        <v>13657.4</v>
      </c>
      <c r="AJ102">
        <v>13786.3</v>
      </c>
      <c r="AK102">
        <v>13919.5</v>
      </c>
      <c r="AL102">
        <v>14052.5</v>
      </c>
      <c r="AM102">
        <v>14186.3</v>
      </c>
      <c r="AN102">
        <v>14318</v>
      </c>
      <c r="AO102">
        <v>14454.9</v>
      </c>
      <c r="AP102">
        <v>14594.1</v>
      </c>
      <c r="AQ102">
        <v>14734.9</v>
      </c>
      <c r="AR102">
        <v>14873.8</v>
      </c>
      <c r="AS102">
        <v>15016.8</v>
      </c>
      <c r="AT102">
        <v>15161.1</v>
      </c>
      <c r="AU102">
        <v>15306.5</v>
      </c>
      <c r="AV102">
        <v>15449.3</v>
      </c>
      <c r="AW102">
        <v>15596</v>
      </c>
      <c r="AX102">
        <v>15743.5</v>
      </c>
      <c r="AY102">
        <v>15892</v>
      </c>
      <c r="AZ102">
        <v>16036.9</v>
      </c>
      <c r="BA102">
        <v>16187.6</v>
      </c>
      <c r="BB102">
        <v>16339.5</v>
      </c>
      <c r="BC102">
        <v>16492.599999999999</v>
      </c>
      <c r="BD102">
        <v>16640.900000000001</v>
      </c>
      <c r="BE102">
        <v>16794.7</v>
      </c>
      <c r="BF102">
        <v>16949.900000000001</v>
      </c>
      <c r="BG102">
        <v>17106</v>
      </c>
      <c r="BH102">
        <v>17257.8</v>
      </c>
      <c r="BI102">
        <v>17415.7</v>
      </c>
      <c r="BJ102">
        <v>17574.7</v>
      </c>
      <c r="BK102">
        <v>17734.5</v>
      </c>
      <c r="BL102">
        <v>17895.5</v>
      </c>
      <c r="BM102">
        <v>18057.8</v>
      </c>
      <c r="BN102">
        <v>18221.7</v>
      </c>
      <c r="BO102">
        <v>18387.8</v>
      </c>
      <c r="BP102">
        <v>18556.3</v>
      </c>
    </row>
    <row r="103" spans="4:68" x14ac:dyDescent="0.35">
      <c r="D103" s="274" t="s">
        <v>895</v>
      </c>
      <c r="E103" s="559"/>
      <c r="F103" s="436"/>
      <c r="G103" s="436"/>
      <c r="H103" s="436"/>
      <c r="I103" s="441">
        <v>5510.1</v>
      </c>
      <c r="J103" s="441">
        <v>5269.8</v>
      </c>
      <c r="K103" s="441">
        <v>5518.1</v>
      </c>
      <c r="L103" s="441">
        <v>5535.6</v>
      </c>
      <c r="M103" s="441">
        <v>5521.1</v>
      </c>
      <c r="N103" s="441">
        <v>5789.6</v>
      </c>
      <c r="O103" s="441">
        <v>5877.9</v>
      </c>
      <c r="P103" s="441">
        <v>5923.2</v>
      </c>
      <c r="Q103" s="441">
        <v>5935.8</v>
      </c>
      <c r="R103" s="441">
        <v>6056.8</v>
      </c>
      <c r="S103" s="441">
        <v>6153.9</v>
      </c>
      <c r="T103" s="441">
        <v>6258.3</v>
      </c>
      <c r="U103" s="441">
        <v>6350.2</v>
      </c>
      <c r="V103" s="441">
        <v>6387.8</v>
      </c>
      <c r="W103" s="441">
        <v>6440.5</v>
      </c>
      <c r="X103" s="441">
        <v>6538</v>
      </c>
      <c r="Y103" s="440">
        <v>6622.8</v>
      </c>
      <c r="Z103" s="440">
        <v>6917.9</v>
      </c>
      <c r="AA103" s="440">
        <v>7123.2</v>
      </c>
      <c r="AB103" s="440">
        <v>7252.6</v>
      </c>
      <c r="AC103" s="440">
        <v>7368.8</v>
      </c>
      <c r="AD103" s="440">
        <v>7480.7</v>
      </c>
      <c r="AE103" s="440">
        <v>7588.9</v>
      </c>
      <c r="AF103" s="440">
        <v>7703.6</v>
      </c>
      <c r="AG103" s="850">
        <v>7806.3</v>
      </c>
      <c r="AH103">
        <v>7898.1</v>
      </c>
      <c r="AI103">
        <v>7980.1</v>
      </c>
      <c r="AJ103">
        <v>8046.4</v>
      </c>
      <c r="AK103">
        <v>8109.6</v>
      </c>
      <c r="AL103">
        <v>8174.2</v>
      </c>
      <c r="AM103">
        <v>8244.5</v>
      </c>
      <c r="AN103">
        <v>8320.6</v>
      </c>
      <c r="AO103">
        <v>8405.2000000000007</v>
      </c>
      <c r="AP103">
        <v>8493.1</v>
      </c>
      <c r="AQ103">
        <v>8577.5</v>
      </c>
      <c r="AR103">
        <v>8661.2000000000007</v>
      </c>
      <c r="AS103">
        <v>8744.5</v>
      </c>
      <c r="AT103">
        <v>8829.2999999999993</v>
      </c>
      <c r="AU103">
        <v>8916.2999999999993</v>
      </c>
      <c r="AV103">
        <v>9007.5</v>
      </c>
      <c r="AW103">
        <v>9103.1</v>
      </c>
      <c r="AX103">
        <v>9198.1</v>
      </c>
      <c r="AY103">
        <v>9293.2000000000007</v>
      </c>
      <c r="AZ103">
        <v>9389.7999999999993</v>
      </c>
      <c r="BA103">
        <v>9488</v>
      </c>
      <c r="BB103">
        <v>9588.2000000000007</v>
      </c>
      <c r="BC103">
        <v>9688.9</v>
      </c>
      <c r="BD103">
        <v>9791.6</v>
      </c>
      <c r="BE103">
        <v>9896.2999999999993</v>
      </c>
      <c r="BF103">
        <v>10000.6</v>
      </c>
      <c r="BG103">
        <v>10103.6</v>
      </c>
      <c r="BH103">
        <v>10206.200000000001</v>
      </c>
      <c r="BI103">
        <v>10307.5</v>
      </c>
      <c r="BJ103">
        <v>10409.1</v>
      </c>
      <c r="BK103">
        <v>10513.6</v>
      </c>
      <c r="BL103">
        <v>10627.5</v>
      </c>
      <c r="BM103">
        <v>10741.4</v>
      </c>
      <c r="BN103">
        <v>10856.5</v>
      </c>
      <c r="BO103">
        <v>10971.8</v>
      </c>
      <c r="BP103">
        <v>11088.6</v>
      </c>
    </row>
    <row r="104" spans="4:68" x14ac:dyDescent="0.35">
      <c r="D104" s="274" t="s">
        <v>502</v>
      </c>
      <c r="E104" s="559"/>
      <c r="F104" s="436"/>
      <c r="G104" s="436"/>
      <c r="H104" s="436"/>
      <c r="I104" s="441">
        <v>14440.2</v>
      </c>
      <c r="J104" s="441">
        <v>13049.8</v>
      </c>
      <c r="K104" s="441">
        <v>14388.7</v>
      </c>
      <c r="L104" s="441">
        <v>14586</v>
      </c>
      <c r="M104" s="441">
        <v>15217.7</v>
      </c>
      <c r="N104" s="441">
        <v>15950.9</v>
      </c>
      <c r="O104" s="441">
        <v>16285.1</v>
      </c>
      <c r="P104" s="441">
        <v>16718.2</v>
      </c>
      <c r="Q104" s="441">
        <v>17030.599999999999</v>
      </c>
      <c r="R104" s="441">
        <v>17415.099999999999</v>
      </c>
      <c r="S104" s="441">
        <v>17684.2</v>
      </c>
      <c r="T104" s="441">
        <v>17917</v>
      </c>
      <c r="U104" s="441">
        <v>18269.599999999999</v>
      </c>
      <c r="V104" s="441">
        <v>18419</v>
      </c>
      <c r="W104" s="441">
        <v>18679.5</v>
      </c>
      <c r="X104" s="441">
        <v>18914.5</v>
      </c>
      <c r="Y104" s="440">
        <v>19191.599999999999</v>
      </c>
      <c r="Z104" s="440">
        <v>19506.599999999999</v>
      </c>
      <c r="AA104" s="440">
        <v>19739.8</v>
      </c>
      <c r="AB104" s="440">
        <v>19911.8</v>
      </c>
      <c r="AC104" s="440">
        <v>20098.5</v>
      </c>
      <c r="AD104" s="440">
        <v>20285.8</v>
      </c>
      <c r="AE104" s="440">
        <v>20464.099999999999</v>
      </c>
      <c r="AF104" s="440">
        <v>20636.599999999999</v>
      </c>
      <c r="AG104" s="850">
        <v>20786.400000000001</v>
      </c>
      <c r="AH104">
        <v>20949.8</v>
      </c>
      <c r="AI104">
        <v>21122.799999999999</v>
      </c>
      <c r="AJ104">
        <v>21304.1</v>
      </c>
      <c r="AK104">
        <v>21479.7</v>
      </c>
      <c r="AL104">
        <v>21659.5</v>
      </c>
      <c r="AM104">
        <v>21842.799999999999</v>
      </c>
      <c r="AN104">
        <v>22030.5</v>
      </c>
      <c r="AO104">
        <v>22229.7</v>
      </c>
      <c r="AP104">
        <v>22441.1</v>
      </c>
      <c r="AQ104">
        <v>22659.200000000001</v>
      </c>
      <c r="AR104">
        <v>22881.599999999999</v>
      </c>
      <c r="AS104">
        <v>23107.1</v>
      </c>
      <c r="AT104">
        <v>23342.5</v>
      </c>
      <c r="AU104">
        <v>23580.400000000001</v>
      </c>
      <c r="AV104">
        <v>23821.599999999999</v>
      </c>
      <c r="AW104">
        <v>24060.6</v>
      </c>
      <c r="AX104">
        <v>24308.3</v>
      </c>
      <c r="AY104">
        <v>24560.1</v>
      </c>
      <c r="AZ104">
        <v>24811.200000000001</v>
      </c>
      <c r="BA104">
        <v>25066.3</v>
      </c>
      <c r="BB104">
        <v>25325.5</v>
      </c>
      <c r="BC104">
        <v>25589.4</v>
      </c>
      <c r="BD104">
        <v>25868.400000000001</v>
      </c>
      <c r="BE104">
        <v>26142.400000000001</v>
      </c>
      <c r="BF104">
        <v>26418</v>
      </c>
      <c r="BG104">
        <v>26693</v>
      </c>
      <c r="BH104">
        <v>26968</v>
      </c>
      <c r="BI104">
        <v>27246.7</v>
      </c>
      <c r="BJ104">
        <v>27528.2</v>
      </c>
      <c r="BK104">
        <v>27813.200000000001</v>
      </c>
      <c r="BL104">
        <v>28100.799999999999</v>
      </c>
      <c r="BM104">
        <v>28391.5</v>
      </c>
      <c r="BN104">
        <v>28683.8</v>
      </c>
      <c r="BO104">
        <v>28978.400000000001</v>
      </c>
      <c r="BP104">
        <v>29274.3</v>
      </c>
    </row>
    <row r="105" spans="4:68" x14ac:dyDescent="0.35">
      <c r="D105" s="720" t="s">
        <v>1971</v>
      </c>
      <c r="E105" s="582"/>
      <c r="F105" s="582"/>
      <c r="G105" s="582"/>
      <c r="H105" s="872"/>
      <c r="I105" s="848">
        <v>1736.3</v>
      </c>
      <c r="J105" s="848">
        <v>1597.1</v>
      </c>
      <c r="K105" s="848">
        <v>2041.1</v>
      </c>
      <c r="L105" s="848">
        <v>1947.4</v>
      </c>
      <c r="M105" s="848">
        <v>2280.4</v>
      </c>
      <c r="N105" s="848">
        <v>2580</v>
      </c>
      <c r="O105" s="848">
        <v>2541.1</v>
      </c>
      <c r="P105" s="848">
        <v>2555</v>
      </c>
      <c r="Q105" s="848">
        <v>2604.4</v>
      </c>
      <c r="R105" s="848">
        <v>2781.5</v>
      </c>
      <c r="S105" s="848">
        <v>2809</v>
      </c>
      <c r="T105" s="848">
        <v>2748.4</v>
      </c>
      <c r="U105" s="848">
        <v>2673.1</v>
      </c>
      <c r="V105" s="848">
        <v>2658</v>
      </c>
      <c r="W105" s="848">
        <v>2757.8</v>
      </c>
      <c r="X105" s="848">
        <v>2900.3</v>
      </c>
      <c r="Y105" s="849">
        <v>2860.5</v>
      </c>
      <c r="Z105" s="849">
        <v>2913</v>
      </c>
      <c r="AA105" s="849">
        <v>2958.5</v>
      </c>
      <c r="AB105" s="849">
        <v>2980.8</v>
      </c>
      <c r="AC105" s="849">
        <v>3008.1</v>
      </c>
      <c r="AD105" s="849">
        <v>3035.3</v>
      </c>
      <c r="AE105" s="849">
        <v>3052.6</v>
      </c>
      <c r="AF105" s="849">
        <v>3054.1</v>
      </c>
      <c r="AG105" s="851">
        <v>3040.7</v>
      </c>
      <c r="AH105">
        <v>3038.5</v>
      </c>
      <c r="AI105">
        <v>3046.6</v>
      </c>
      <c r="AJ105">
        <v>3065.6</v>
      </c>
      <c r="AK105">
        <v>3073.9</v>
      </c>
      <c r="AL105">
        <v>3078.4</v>
      </c>
      <c r="AM105">
        <v>3078.6</v>
      </c>
      <c r="AN105">
        <v>3087.1</v>
      </c>
      <c r="AO105">
        <v>3087.3</v>
      </c>
      <c r="AP105">
        <v>3092.4</v>
      </c>
      <c r="AQ105">
        <v>3097</v>
      </c>
      <c r="AR105">
        <v>3111</v>
      </c>
      <c r="AS105">
        <v>3123.3</v>
      </c>
      <c r="AT105">
        <v>3140.7</v>
      </c>
      <c r="AU105">
        <v>3157.2</v>
      </c>
      <c r="AV105">
        <v>3188.9</v>
      </c>
      <c r="AW105">
        <v>3210.6</v>
      </c>
      <c r="AX105">
        <v>3237</v>
      </c>
      <c r="AY105">
        <v>3261.4</v>
      </c>
      <c r="AZ105">
        <v>3297</v>
      </c>
      <c r="BA105">
        <v>3322.8</v>
      </c>
      <c r="BB105">
        <v>3352.1</v>
      </c>
      <c r="BC105">
        <v>3378.8</v>
      </c>
      <c r="BD105">
        <v>3422.6</v>
      </c>
      <c r="BE105">
        <v>3449.9</v>
      </c>
      <c r="BF105">
        <v>3480.4</v>
      </c>
      <c r="BG105">
        <v>3508.6</v>
      </c>
      <c r="BH105">
        <v>3548.1</v>
      </c>
      <c r="BI105">
        <v>3576.2</v>
      </c>
      <c r="BJ105">
        <v>3607.8</v>
      </c>
      <c r="BK105">
        <v>3635.6</v>
      </c>
      <c r="BL105">
        <v>3674.3</v>
      </c>
      <c r="BM105">
        <v>3704.5</v>
      </c>
      <c r="BN105">
        <v>3737.4</v>
      </c>
      <c r="BO105">
        <v>3768.1</v>
      </c>
      <c r="BP105">
        <v>3807.3</v>
      </c>
    </row>
    <row r="106" spans="4:68" ht="18.75" customHeight="1" x14ac:dyDescent="0.35"/>
    <row r="107" spans="4:68" x14ac:dyDescent="0.35">
      <c r="D107" s="804"/>
      <c r="E107" s="607"/>
      <c r="F107" s="607"/>
      <c r="G107" s="607"/>
      <c r="H107" s="436"/>
      <c r="I107" s="436"/>
      <c r="J107" s="436"/>
      <c r="K107" s="436"/>
      <c r="L107" s="436"/>
      <c r="M107" s="436"/>
      <c r="N107" s="436"/>
      <c r="O107" s="436"/>
      <c r="P107" s="436"/>
      <c r="Q107" s="436"/>
      <c r="R107" s="436"/>
      <c r="S107" s="436"/>
      <c r="T107" s="436"/>
      <c r="U107" s="436"/>
      <c r="V107" s="436"/>
      <c r="W107" s="436"/>
      <c r="X107" s="436"/>
      <c r="Y107" s="436"/>
      <c r="Z107" s="436"/>
      <c r="AA107" s="436"/>
      <c r="AB107" s="436"/>
      <c r="AC107" s="436"/>
    </row>
    <row r="108" spans="4:68" x14ac:dyDescent="0.35">
      <c r="D108" s="517"/>
      <c r="AC108" s="56"/>
    </row>
    <row r="109" spans="4:68" x14ac:dyDescent="0.35">
      <c r="D109" s="1373" t="s">
        <v>508</v>
      </c>
      <c r="E109" s="1389"/>
      <c r="F109" s="1291">
        <v>2019</v>
      </c>
      <c r="G109" s="1292"/>
      <c r="H109" s="1293"/>
      <c r="I109" s="1292">
        <v>2020</v>
      </c>
      <c r="J109" s="1292"/>
      <c r="K109" s="1292"/>
      <c r="L109" s="1293"/>
      <c r="M109" s="1291">
        <v>2021</v>
      </c>
      <c r="N109" s="1292"/>
      <c r="O109" s="1292"/>
      <c r="P109" s="1292"/>
      <c r="Q109" s="1291">
        <v>2022</v>
      </c>
      <c r="R109" s="1321"/>
      <c r="S109" s="1321"/>
      <c r="T109" s="1293"/>
      <c r="U109" s="288"/>
      <c r="V109" s="288">
        <v>2023</v>
      </c>
      <c r="W109" s="556"/>
      <c r="X109" s="260"/>
      <c r="Y109" s="1288">
        <v>2024</v>
      </c>
      <c r="Z109" s="1301"/>
      <c r="AA109" s="1301"/>
      <c r="AB109" s="1290"/>
      <c r="AC109" s="1288">
        <v>2025</v>
      </c>
      <c r="AD109" s="1301"/>
      <c r="AE109" s="1301"/>
      <c r="AF109" s="1290"/>
      <c r="AG109" s="506">
        <v>2026</v>
      </c>
    </row>
    <row r="110" spans="4:68" x14ac:dyDescent="0.35">
      <c r="D110" s="1390"/>
      <c r="E110" s="1391"/>
      <c r="F110" s="214" t="s">
        <v>284</v>
      </c>
      <c r="G110" s="215" t="s">
        <v>238</v>
      </c>
      <c r="H110" s="216" t="s">
        <v>282</v>
      </c>
      <c r="I110" s="215" t="s">
        <v>283</v>
      </c>
      <c r="J110" s="215" t="s">
        <v>284</v>
      </c>
      <c r="K110" s="215" t="s">
        <v>238</v>
      </c>
      <c r="L110" s="216" t="s">
        <v>282</v>
      </c>
      <c r="M110" s="214" t="s">
        <v>283</v>
      </c>
      <c r="N110" s="215" t="s">
        <v>284</v>
      </c>
      <c r="O110" s="215" t="s">
        <v>238</v>
      </c>
      <c r="P110" s="215" t="s">
        <v>282</v>
      </c>
      <c r="Q110" s="214" t="s">
        <v>283</v>
      </c>
      <c r="R110" s="215" t="s">
        <v>284</v>
      </c>
      <c r="S110" s="215" t="s">
        <v>238</v>
      </c>
      <c r="T110" s="216" t="s">
        <v>282</v>
      </c>
      <c r="U110" s="214" t="s">
        <v>283</v>
      </c>
      <c r="V110" s="286" t="s">
        <v>284</v>
      </c>
      <c r="W110" s="270" t="s">
        <v>238</v>
      </c>
      <c r="X110" s="271" t="s">
        <v>282</v>
      </c>
      <c r="Y110" s="269" t="s">
        <v>283</v>
      </c>
      <c r="Z110" s="267" t="s">
        <v>284</v>
      </c>
      <c r="AA110" s="270" t="s">
        <v>238</v>
      </c>
      <c r="AB110" s="270" t="s">
        <v>282</v>
      </c>
      <c r="AC110" s="269" t="s">
        <v>283</v>
      </c>
      <c r="AD110" s="267" t="s">
        <v>284</v>
      </c>
      <c r="AE110" s="270" t="s">
        <v>238</v>
      </c>
      <c r="AF110" s="270" t="s">
        <v>282</v>
      </c>
      <c r="AG110" s="269" t="s">
        <v>283</v>
      </c>
    </row>
    <row r="111" spans="4:68" x14ac:dyDescent="0.35">
      <c r="D111" s="1393" t="s">
        <v>509</v>
      </c>
      <c r="E111" s="1394"/>
      <c r="F111" s="253"/>
      <c r="G111" s="308"/>
      <c r="H111" s="308"/>
      <c r="I111" s="308"/>
      <c r="J111" s="308"/>
      <c r="K111" s="308"/>
      <c r="L111" s="308"/>
      <c r="M111" s="308"/>
      <c r="N111" s="308"/>
      <c r="O111" s="308"/>
      <c r="P111" s="308"/>
      <c r="Q111" s="308"/>
      <c r="R111" s="308"/>
      <c r="S111" s="308"/>
      <c r="T111" s="287"/>
      <c r="U111" s="308"/>
      <c r="V111" s="308"/>
      <c r="W111" s="287"/>
      <c r="X111" s="287"/>
      <c r="Y111" s="287"/>
      <c r="Z111" s="287"/>
      <c r="AA111" s="287"/>
      <c r="AB111" s="287"/>
      <c r="AC111" s="308"/>
    </row>
    <row r="112" spans="4:68" x14ac:dyDescent="0.35">
      <c r="D112" s="524" t="s">
        <v>482</v>
      </c>
      <c r="F112" s="873"/>
      <c r="G112" s="900"/>
      <c r="H112" s="900">
        <f t="shared" ref="H112:Y112" si="35">H10/H119</f>
        <v>0.11759515065945329</v>
      </c>
      <c r="I112" s="900">
        <f t="shared" si="35"/>
        <v>0.11879897315968442</v>
      </c>
      <c r="J112" s="900">
        <f t="shared" si="35"/>
        <v>0.11632832053393799</v>
      </c>
      <c r="K112" s="900">
        <f t="shared" si="35"/>
        <v>0.11840135478408127</v>
      </c>
      <c r="L112" s="900">
        <f t="shared" si="35"/>
        <v>0.12252813966462116</v>
      </c>
      <c r="M112" s="900">
        <f t="shared" si="35"/>
        <v>0.1306605059249549</v>
      </c>
      <c r="N112" s="900">
        <f t="shared" si="35"/>
        <v>0.13265203887386032</v>
      </c>
      <c r="O112" s="900">
        <f t="shared" si="35"/>
        <v>0.1346644712277115</v>
      </c>
      <c r="P112" s="900">
        <f t="shared" si="35"/>
        <v>0.13573367367115458</v>
      </c>
      <c r="Q112" s="900">
        <f t="shared" si="35"/>
        <v>0.1488843620641529</v>
      </c>
      <c r="R112" s="900">
        <f t="shared" si="35"/>
        <v>0.14668284362856288</v>
      </c>
      <c r="S112" s="898">
        <f t="shared" si="35"/>
        <v>0.14459192156637904</v>
      </c>
      <c r="T112" s="898">
        <f t="shared" si="35"/>
        <v>0.14154488043064295</v>
      </c>
      <c r="U112" s="898">
        <f t="shared" si="35"/>
        <v>0.12162546494833289</v>
      </c>
      <c r="V112" s="898">
        <f t="shared" si="35"/>
        <v>0.1199155392367658</v>
      </c>
      <c r="W112" s="898">
        <f t="shared" si="35"/>
        <v>0.11910968409022883</v>
      </c>
      <c r="X112" s="898">
        <f t="shared" si="35"/>
        <v>0.11870086281789094</v>
      </c>
      <c r="Y112" s="898">
        <f t="shared" si="35"/>
        <v>0.12597758220214375</v>
      </c>
      <c r="Z112" s="899">
        <f t="shared" ref="Z112:AC112" si="36">Y112+Z113</f>
        <v>0.12597758220214375</v>
      </c>
      <c r="AA112" s="899">
        <f t="shared" si="36"/>
        <v>0.12597758220214375</v>
      </c>
      <c r="AB112" s="899">
        <f t="shared" si="36"/>
        <v>0.12597758220214375</v>
      </c>
      <c r="AC112" s="899">
        <f t="shared" si="36"/>
        <v>0.12597758220214375</v>
      </c>
      <c r="AD112" s="899">
        <f t="shared" ref="AD112" si="37">AC112+AD113</f>
        <v>0.12597758220214375</v>
      </c>
      <c r="AE112" s="899">
        <f t="shared" ref="AE112" si="38">AD112+AE113</f>
        <v>0.12597758220214375</v>
      </c>
      <c r="AF112" s="899">
        <f t="shared" ref="AF112" si="39">AE112+AF113</f>
        <v>0.12597758220214375</v>
      </c>
      <c r="AG112" s="899">
        <f t="shared" ref="AG112" si="40">AF112+AG113</f>
        <v>0.12597758220214375</v>
      </c>
    </row>
    <row r="113" spans="4:33" x14ac:dyDescent="0.35">
      <c r="D113" s="524" t="s">
        <v>892</v>
      </c>
      <c r="F113" s="873"/>
      <c r="G113" s="900"/>
      <c r="H113" s="900"/>
      <c r="I113" s="900"/>
      <c r="J113" s="900"/>
      <c r="K113" s="900"/>
      <c r="L113" s="900"/>
      <c r="M113" s="900"/>
      <c r="N113" s="900"/>
      <c r="O113" s="900"/>
      <c r="P113" s="900"/>
      <c r="Q113" s="900"/>
      <c r="R113" s="900"/>
      <c r="S113" s="898"/>
      <c r="T113" s="898"/>
      <c r="U113" s="898"/>
      <c r="V113" s="898"/>
      <c r="W113" s="900"/>
      <c r="X113" s="900"/>
      <c r="Y113" s="899"/>
      <c r="Z113" s="899"/>
      <c r="AA113" s="899"/>
      <c r="AB113" s="899"/>
      <c r="AC113" s="899"/>
      <c r="AD113" s="899"/>
      <c r="AE113" s="899"/>
      <c r="AF113" s="899"/>
      <c r="AG113" s="899"/>
    </row>
    <row r="114" spans="4:33" x14ac:dyDescent="0.35">
      <c r="D114" s="524" t="s">
        <v>483</v>
      </c>
      <c r="F114" s="873"/>
      <c r="G114" s="900"/>
      <c r="H114" s="900">
        <f t="shared" ref="H114:Y114" si="41">H12/H124</f>
        <v>0.15049219029952995</v>
      </c>
      <c r="I114" s="900">
        <f t="shared" si="41"/>
        <v>0.15082140744507519</v>
      </c>
      <c r="J114" s="900">
        <f t="shared" si="41"/>
        <v>0.15364369322346355</v>
      </c>
      <c r="K114" s="900">
        <f t="shared" si="41"/>
        <v>0.15173662969906893</v>
      </c>
      <c r="L114" s="900">
        <f t="shared" si="41"/>
        <v>0.14977874752747813</v>
      </c>
      <c r="M114" s="900">
        <f t="shared" si="41"/>
        <v>0.15013551231746289</v>
      </c>
      <c r="N114" s="900">
        <f t="shared" si="41"/>
        <v>0.14928290766208252</v>
      </c>
      <c r="O114" s="900">
        <f t="shared" si="41"/>
        <v>0.14884645906435542</v>
      </c>
      <c r="P114" s="900">
        <f t="shared" si="41"/>
        <v>0.14893182240386402</v>
      </c>
      <c r="Q114" s="900">
        <f t="shared" si="41"/>
        <v>0.15097091386063236</v>
      </c>
      <c r="R114" s="900">
        <f t="shared" si="41"/>
        <v>0.15155480435454263</v>
      </c>
      <c r="S114" s="898">
        <f t="shared" si="41"/>
        <v>0.15145823735780856</v>
      </c>
      <c r="T114" s="898">
        <f t="shared" si="41"/>
        <v>0.15146328336612525</v>
      </c>
      <c r="U114" s="898">
        <f t="shared" si="41"/>
        <v>0.15183173745240419</v>
      </c>
      <c r="V114" s="898">
        <f t="shared" si="41"/>
        <v>0.1513684174694489</v>
      </c>
      <c r="W114" s="898">
        <f t="shared" si="41"/>
        <v>0.15093422706325932</v>
      </c>
      <c r="X114" s="898">
        <f t="shared" si="41"/>
        <v>0.15081330298558485</v>
      </c>
      <c r="Y114" s="898">
        <f t="shared" si="41"/>
        <v>0.15178909270379204</v>
      </c>
      <c r="Z114" s="899">
        <f t="shared" ref="Z114:AC114" si="42">Y114</f>
        <v>0.15178909270379204</v>
      </c>
      <c r="AA114" s="899">
        <f t="shared" si="42"/>
        <v>0.15178909270379204</v>
      </c>
      <c r="AB114" s="899">
        <f t="shared" si="42"/>
        <v>0.15178909270379204</v>
      </c>
      <c r="AC114" s="899">
        <f t="shared" si="42"/>
        <v>0.15178909270379204</v>
      </c>
      <c r="AD114" s="899">
        <f t="shared" ref="AD114:AD115" si="43">AC114</f>
        <v>0.15178909270379204</v>
      </c>
      <c r="AE114" s="899">
        <f t="shared" ref="AE114:AE115" si="44">AD114</f>
        <v>0.15178909270379204</v>
      </c>
      <c r="AF114" s="899">
        <f t="shared" ref="AF114:AF115" si="45">AE114</f>
        <v>0.15178909270379204</v>
      </c>
      <c r="AG114" s="899">
        <f t="shared" ref="AG114:AG115" si="46">AF114</f>
        <v>0.15178909270379204</v>
      </c>
    </row>
    <row r="115" spans="4:33" x14ac:dyDescent="0.35">
      <c r="D115" s="524" t="s">
        <v>484</v>
      </c>
      <c r="F115" s="873"/>
      <c r="G115" s="900"/>
      <c r="H115" s="900">
        <f t="shared" ref="H115:Y115" si="47">H14/H125</f>
        <v>1.2114807744750477E-2</v>
      </c>
      <c r="I115" s="900">
        <f t="shared" si="47"/>
        <v>1.2657965466969756E-2</v>
      </c>
      <c r="J115" s="900">
        <f t="shared" si="47"/>
        <v>9.9021178686146908E-3</v>
      </c>
      <c r="K115" s="900">
        <f t="shared" si="47"/>
        <v>1.0383088225121401E-2</v>
      </c>
      <c r="L115" s="900">
        <f t="shared" si="47"/>
        <v>1.0715231518262747E-2</v>
      </c>
      <c r="M115" s="900">
        <f t="shared" si="47"/>
        <v>1.0573214086228536E-2</v>
      </c>
      <c r="N115" s="900">
        <f t="shared" si="47"/>
        <v>1.1315975901046335E-2</v>
      </c>
      <c r="O115" s="900">
        <f t="shared" si="47"/>
        <v>1.1182000724588734E-2</v>
      </c>
      <c r="P115" s="900">
        <f t="shared" si="47"/>
        <v>1.1424674905193142E-2</v>
      </c>
      <c r="Q115" s="900">
        <f t="shared" si="47"/>
        <v>1.1796413514497435E-2</v>
      </c>
      <c r="R115" s="900">
        <f t="shared" si="47"/>
        <v>1.1645066637573143E-2</v>
      </c>
      <c r="S115" s="898">
        <f t="shared" si="47"/>
        <v>1.0868458850273124E-2</v>
      </c>
      <c r="T115" s="898">
        <f t="shared" si="47"/>
        <v>1.0096556343137802E-2</v>
      </c>
      <c r="U115" s="898">
        <f t="shared" si="47"/>
        <v>9.6882252485002412E-3</v>
      </c>
      <c r="V115" s="898">
        <f t="shared" si="47"/>
        <v>9.5227753949725831E-3</v>
      </c>
      <c r="W115" s="898">
        <f t="shared" si="47"/>
        <v>9.1865413956476356E-3</v>
      </c>
      <c r="X115" s="898">
        <f t="shared" si="47"/>
        <v>8.9666657855084729E-3</v>
      </c>
      <c r="Y115" s="898">
        <f t="shared" si="47"/>
        <v>8.9591223716860395E-3</v>
      </c>
      <c r="Z115" s="899">
        <f t="shared" ref="Z115:AC115" si="48">Y115</f>
        <v>8.9591223716860395E-3</v>
      </c>
      <c r="AA115" s="899">
        <f t="shared" si="48"/>
        <v>8.9591223716860395E-3</v>
      </c>
      <c r="AB115" s="899">
        <f t="shared" si="48"/>
        <v>8.9591223716860395E-3</v>
      </c>
      <c r="AC115" s="899">
        <f t="shared" si="48"/>
        <v>8.9591223716860395E-3</v>
      </c>
      <c r="AD115" s="899">
        <f t="shared" si="43"/>
        <v>8.9591223716860395E-3</v>
      </c>
      <c r="AE115" s="899">
        <f t="shared" si="44"/>
        <v>8.9591223716860395E-3</v>
      </c>
      <c r="AF115" s="899">
        <f t="shared" si="45"/>
        <v>8.9591223716860395E-3</v>
      </c>
      <c r="AG115" s="899">
        <f t="shared" si="46"/>
        <v>8.9591223716860395E-3</v>
      </c>
    </row>
    <row r="116" spans="4:33" x14ac:dyDescent="0.35">
      <c r="D116" s="424" t="s">
        <v>485</v>
      </c>
      <c r="F116" s="873"/>
      <c r="G116" s="900"/>
      <c r="H116" s="900">
        <f t="shared" ref="H116:Y116" si="49">H16/H126</f>
        <v>0.1161666500548191</v>
      </c>
      <c r="I116" s="900">
        <f t="shared" si="49"/>
        <v>0.10825625214114422</v>
      </c>
      <c r="J116" s="900">
        <f t="shared" si="49"/>
        <v>0.12146635053802662</v>
      </c>
      <c r="K116" s="900">
        <f t="shared" si="49"/>
        <v>0.10805604203152365</v>
      </c>
      <c r="L116" s="900">
        <f t="shared" si="49"/>
        <v>0.12181977082928724</v>
      </c>
      <c r="M116" s="900">
        <f t="shared" si="49"/>
        <v>0.11063848447640764</v>
      </c>
      <c r="N116" s="900">
        <f t="shared" si="49"/>
        <v>0.10992248062015504</v>
      </c>
      <c r="O116" s="900">
        <f t="shared" si="49"/>
        <v>0.11010979497068199</v>
      </c>
      <c r="P116" s="900">
        <f t="shared" si="49"/>
        <v>0.11894324853228962</v>
      </c>
      <c r="Q116" s="900">
        <f t="shared" si="49"/>
        <v>0.12663185378590078</v>
      </c>
      <c r="R116" s="898">
        <f t="shared" si="49"/>
        <v>0.13978069387021391</v>
      </c>
      <c r="S116" s="898">
        <f t="shared" si="49"/>
        <v>0.13656105375578498</v>
      </c>
      <c r="T116" s="898">
        <f t="shared" si="49"/>
        <v>0.13593363411439383</v>
      </c>
      <c r="U116" s="898">
        <f t="shared" si="49"/>
        <v>0.14537428453855075</v>
      </c>
      <c r="V116" s="898">
        <f t="shared" si="49"/>
        <v>0.15173062452972161</v>
      </c>
      <c r="W116" s="898">
        <f t="shared" si="49"/>
        <v>0.15157009210240047</v>
      </c>
      <c r="X116" s="898">
        <f t="shared" si="49"/>
        <v>0.14805364962245282</v>
      </c>
      <c r="Y116" s="898">
        <f t="shared" si="49"/>
        <v>0.15918338711940508</v>
      </c>
      <c r="Z116" s="899">
        <f t="shared" ref="Z116:AC116" si="50">Y116+Z117</f>
        <v>0.15918338711940508</v>
      </c>
      <c r="AA116" s="899">
        <f t="shared" si="50"/>
        <v>0.15918338711940508</v>
      </c>
      <c r="AB116" s="899">
        <f t="shared" si="50"/>
        <v>0.15918338711940508</v>
      </c>
      <c r="AC116" s="899">
        <f t="shared" si="50"/>
        <v>0.15918338711940508</v>
      </c>
      <c r="AD116" s="899">
        <f t="shared" ref="AD116" si="51">AC116+AD117</f>
        <v>0.15918338711940508</v>
      </c>
      <c r="AE116" s="899">
        <f t="shared" ref="AE116" si="52">AD116+AE117</f>
        <v>0.15918338711940508</v>
      </c>
      <c r="AF116" s="899">
        <f t="shared" ref="AF116" si="53">AE116+AF117</f>
        <v>0.15918338711940508</v>
      </c>
      <c r="AG116" s="899">
        <f t="shared" ref="AG116" si="54">AF116+AG117</f>
        <v>0.15918338711940508</v>
      </c>
    </row>
    <row r="117" spans="4:33" x14ac:dyDescent="0.35">
      <c r="D117" s="424" t="s">
        <v>1751</v>
      </c>
      <c r="F117" s="873"/>
      <c r="G117" s="900"/>
      <c r="H117" s="900"/>
      <c r="I117" s="900"/>
      <c r="J117" s="900"/>
      <c r="K117" s="900"/>
      <c r="L117" s="900"/>
      <c r="M117" s="900"/>
      <c r="N117" s="900"/>
      <c r="O117" s="900"/>
      <c r="P117" s="900"/>
      <c r="Q117" s="900"/>
      <c r="R117" s="900"/>
      <c r="S117" s="900"/>
      <c r="T117" s="900"/>
      <c r="U117" s="900">
        <v>-1.2E-2</v>
      </c>
      <c r="V117" s="900"/>
      <c r="W117" s="900"/>
      <c r="X117" s="900"/>
      <c r="Y117" s="899"/>
      <c r="Z117" s="899"/>
      <c r="AA117" s="899"/>
      <c r="AB117" s="899"/>
      <c r="AC117" s="899"/>
      <c r="AD117" s="899"/>
      <c r="AE117" s="899"/>
      <c r="AF117" s="899"/>
      <c r="AG117" s="899"/>
    </row>
    <row r="118" spans="4:33" x14ac:dyDescent="0.35">
      <c r="D118" s="290" t="s">
        <v>510</v>
      </c>
      <c r="F118" s="275"/>
      <c r="G118" s="234"/>
      <c r="H118" s="234"/>
      <c r="I118" s="234"/>
      <c r="J118" s="234"/>
      <c r="K118" s="234"/>
      <c r="L118" s="234"/>
      <c r="M118" s="234"/>
      <c r="N118" s="234"/>
      <c r="O118" s="234"/>
      <c r="P118" s="234"/>
      <c r="Q118" s="234"/>
      <c r="R118" s="234"/>
      <c r="S118" s="234"/>
      <c r="T118" s="234"/>
      <c r="U118" s="234"/>
      <c r="V118" s="234"/>
      <c r="W118" s="234"/>
      <c r="X118" s="234"/>
      <c r="Y118" s="234"/>
      <c r="Z118" s="234"/>
      <c r="AA118" s="234"/>
      <c r="AB118" s="234"/>
      <c r="AC118" s="234"/>
    </row>
    <row r="119" spans="4:33" ht="14.9" customHeight="1" x14ac:dyDescent="0.35">
      <c r="D119" s="673" t="s">
        <v>511</v>
      </c>
      <c r="F119" s="868">
        <f>SUM(F120:F123)</f>
        <v>14456.2</v>
      </c>
      <c r="G119" s="436">
        <f t="shared" ref="G119:O119" si="55">SUM(G120:G123)</f>
        <v>14559</v>
      </c>
      <c r="H119" s="436">
        <f t="shared" si="55"/>
        <v>14731.900000000001</v>
      </c>
      <c r="I119" s="436">
        <f t="shared" si="55"/>
        <v>14880.6</v>
      </c>
      <c r="J119" s="436">
        <f t="shared" si="55"/>
        <v>14024.100000000002</v>
      </c>
      <c r="K119" s="436">
        <f t="shared" si="55"/>
        <v>14762.500000000002</v>
      </c>
      <c r="L119" s="436">
        <f t="shared" si="55"/>
        <v>15236.499999999998</v>
      </c>
      <c r="M119" s="436">
        <f t="shared" si="55"/>
        <v>15409.400000000001</v>
      </c>
      <c r="N119" s="436">
        <f t="shared" si="55"/>
        <v>15969.600000000002</v>
      </c>
      <c r="O119" s="436">
        <f t="shared" si="55"/>
        <v>16336.9</v>
      </c>
      <c r="P119" s="436">
        <f t="shared" ref="P119:T119" si="56">SUM(P120:P123)</f>
        <v>16689.3</v>
      </c>
      <c r="Q119" s="436">
        <f t="shared" si="56"/>
        <v>16837.900000000001</v>
      </c>
      <c r="R119" s="436">
        <f t="shared" si="56"/>
        <v>17061.3</v>
      </c>
      <c r="S119" s="331">
        <f t="shared" si="56"/>
        <v>17441.5</v>
      </c>
      <c r="T119" s="331">
        <f t="shared" si="56"/>
        <v>17592.3</v>
      </c>
      <c r="U119" s="331">
        <f t="shared" ref="U119:W119" si="57">SUM(U120:U123)</f>
        <v>17932.099999999999</v>
      </c>
      <c r="V119" s="331">
        <f t="shared" si="57"/>
        <v>18138.599999999999</v>
      </c>
      <c r="W119" s="331">
        <f t="shared" si="57"/>
        <v>18375.5</v>
      </c>
      <c r="X119" s="331">
        <f t="shared" ref="X119:Y119" si="58">SUM(X120:X123)</f>
        <v>18532.3</v>
      </c>
      <c r="Y119" s="331">
        <f t="shared" si="58"/>
        <v>18770.8</v>
      </c>
      <c r="Z119" s="326"/>
      <c r="AA119" s="326"/>
      <c r="AB119" s="326"/>
      <c r="AC119" s="326"/>
      <c r="AD119" s="326"/>
      <c r="AE119" s="326"/>
      <c r="AF119" s="326"/>
      <c r="AG119" s="326"/>
    </row>
    <row r="120" spans="4:33" x14ac:dyDescent="0.35">
      <c r="D120" s="798" t="s">
        <v>785</v>
      </c>
      <c r="E120" s="240" t="s">
        <v>781</v>
      </c>
      <c r="F120" s="868">
        <f>'Haver Pivoted'!GQ81</f>
        <v>9284.9</v>
      </c>
      <c r="G120" s="436">
        <f>'Haver Pivoted'!GR81</f>
        <v>9340.9</v>
      </c>
      <c r="H120" s="436">
        <f>'Haver Pivoted'!GS81</f>
        <v>9488.2000000000007</v>
      </c>
      <c r="I120" s="436">
        <f>'Haver Pivoted'!GT81</f>
        <v>9635.9</v>
      </c>
      <c r="J120" s="436">
        <f>'Haver Pivoted'!GU81</f>
        <v>9004.6</v>
      </c>
      <c r="K120" s="436">
        <f>'Haver Pivoted'!GV81</f>
        <v>9440.7000000000007</v>
      </c>
      <c r="L120" s="436">
        <f>'Haver Pivoted'!GW81</f>
        <v>9807.7999999999993</v>
      </c>
      <c r="M120" s="436">
        <f>'Haver Pivoted'!GX81</f>
        <v>9888.4</v>
      </c>
      <c r="N120" s="436">
        <f>'Haver Pivoted'!GY81</f>
        <v>10180</v>
      </c>
      <c r="O120" s="436">
        <f>'Haver Pivoted'!GZ81</f>
        <v>10459.1</v>
      </c>
      <c r="P120" s="436">
        <f>'Haver Pivoted'!HA81</f>
        <v>10766</v>
      </c>
      <c r="Q120" s="436">
        <f>'Haver Pivoted'!HB81</f>
        <v>10902.1</v>
      </c>
      <c r="R120" s="436">
        <f>'Haver Pivoted'!HC81</f>
        <v>11004.6</v>
      </c>
      <c r="S120" s="331">
        <f>'Haver Pivoted'!HD81</f>
        <v>11287.6</v>
      </c>
      <c r="T120" s="331">
        <f>'Haver Pivoted'!HE81</f>
        <v>11334.1</v>
      </c>
      <c r="U120" s="331">
        <f>'Haver Pivoted'!HF81</f>
        <v>11581.9</v>
      </c>
      <c r="V120" s="331">
        <f>'Haver Pivoted'!HG81</f>
        <v>11750.8</v>
      </c>
      <c r="W120" s="331">
        <f>'Haver Pivoted'!HH81</f>
        <v>11935</v>
      </c>
      <c r="X120" s="331">
        <f>'Haver Pivoted'!HI81</f>
        <v>11994.3</v>
      </c>
      <c r="Y120" s="331">
        <f>'Haver Pivoted'!HJ81</f>
        <v>12157</v>
      </c>
      <c r="Z120" s="326"/>
      <c r="AA120" s="326"/>
      <c r="AB120" s="326"/>
      <c r="AC120" s="326"/>
      <c r="AD120" s="326"/>
      <c r="AE120" s="326"/>
      <c r="AF120" s="326"/>
      <c r="AG120" s="326"/>
    </row>
    <row r="121" spans="4:33" x14ac:dyDescent="0.35">
      <c r="D121" s="798" t="s">
        <v>512</v>
      </c>
      <c r="E121" s="240" t="s">
        <v>782</v>
      </c>
      <c r="F121" s="868">
        <f>'Haver Pivoted'!GQ82</f>
        <v>1533.5</v>
      </c>
      <c r="G121" s="436">
        <f>'Haver Pivoted'!GR82</f>
        <v>1570.1</v>
      </c>
      <c r="H121" s="436">
        <f>'Haver Pivoted'!GS82</f>
        <v>1581.1</v>
      </c>
      <c r="I121" s="436">
        <f>'Haver Pivoted'!GT82</f>
        <v>1577.7</v>
      </c>
      <c r="J121" s="436">
        <f>'Haver Pivoted'!GU82</f>
        <v>1411.5</v>
      </c>
      <c r="K121" s="436">
        <f>'Haver Pivoted'!GV82</f>
        <v>1691.6</v>
      </c>
      <c r="L121" s="436">
        <f>'Haver Pivoted'!GW82</f>
        <v>1654.4</v>
      </c>
      <c r="M121" s="436">
        <f>'Haver Pivoted'!GX82</f>
        <v>1650.2</v>
      </c>
      <c r="N121" s="436">
        <f>'Haver Pivoted'!GY82</f>
        <v>1784.1</v>
      </c>
      <c r="O121" s="436">
        <f>'Haver Pivoted'!GZ82</f>
        <v>1792.8</v>
      </c>
      <c r="P121" s="436">
        <f>'Haver Pivoted'!HA82</f>
        <v>1769.2</v>
      </c>
      <c r="Q121" s="436">
        <f>'Haver Pivoted'!HB82</f>
        <v>1756.4</v>
      </c>
      <c r="R121" s="436">
        <f>'Haver Pivoted'!HC82</f>
        <v>1774.4</v>
      </c>
      <c r="S121" s="331">
        <f>'Haver Pivoted'!HD82</f>
        <v>1807.4</v>
      </c>
      <c r="T121" s="331">
        <f>'Haver Pivoted'!HE82</f>
        <v>1825.3</v>
      </c>
      <c r="U121" s="331">
        <f>'Haver Pivoted'!HF82</f>
        <v>1827.4</v>
      </c>
      <c r="V121" s="331">
        <f>'Haver Pivoted'!HG82</f>
        <v>1824.1</v>
      </c>
      <c r="W121" s="331">
        <f>'Haver Pivoted'!HH82</f>
        <v>1859.6</v>
      </c>
      <c r="X121" s="331">
        <f>'Haver Pivoted'!HI82</f>
        <v>1882.6</v>
      </c>
      <c r="Y121" s="331">
        <f>'Haver Pivoted'!HJ82</f>
        <v>1890.4</v>
      </c>
      <c r="Z121" s="326"/>
      <c r="AA121" s="326"/>
      <c r="AB121" s="326"/>
      <c r="AC121" s="326"/>
      <c r="AD121" s="326"/>
      <c r="AE121" s="326"/>
      <c r="AF121" s="326"/>
      <c r="AG121" s="326"/>
    </row>
    <row r="122" spans="4:33" x14ac:dyDescent="0.35">
      <c r="D122" s="798" t="s">
        <v>513</v>
      </c>
      <c r="E122" s="240" t="s">
        <v>788</v>
      </c>
      <c r="F122" s="868">
        <f>'Haver Pivoted'!GQ83</f>
        <v>674.7</v>
      </c>
      <c r="G122" s="436">
        <f>'Haver Pivoted'!GR83</f>
        <v>685.7</v>
      </c>
      <c r="H122" s="436">
        <f>'Haver Pivoted'!GS83</f>
        <v>709.8</v>
      </c>
      <c r="I122" s="436">
        <f>'Haver Pivoted'!GT83</f>
        <v>740.9</v>
      </c>
      <c r="J122" s="436">
        <f>'Haver Pivoted'!GU83</f>
        <v>738.2</v>
      </c>
      <c r="K122" s="436">
        <f>'Haver Pivoted'!GV83</f>
        <v>765.2</v>
      </c>
      <c r="L122" s="436">
        <f>'Haver Pivoted'!GW83</f>
        <v>780.3</v>
      </c>
      <c r="M122" s="436">
        <f>'Haver Pivoted'!GX83</f>
        <v>791.6</v>
      </c>
      <c r="N122" s="436">
        <f>'Haver Pivoted'!GY83</f>
        <v>807.2</v>
      </c>
      <c r="O122" s="436">
        <f>'Haver Pivoted'!GZ83</f>
        <v>822.4</v>
      </c>
      <c r="P122" s="436">
        <f>'Haver Pivoted'!HA83</f>
        <v>835.5</v>
      </c>
      <c r="Q122" s="436">
        <f>'Haver Pivoted'!HB83</f>
        <v>837.2</v>
      </c>
      <c r="R122" s="436">
        <f>'Haver Pivoted'!HC83</f>
        <v>875.3</v>
      </c>
      <c r="S122" s="331">
        <f>'Haver Pivoted'!HD83</f>
        <v>893.1</v>
      </c>
      <c r="T122" s="331">
        <f>'Haver Pivoted'!HE83</f>
        <v>907.5</v>
      </c>
      <c r="U122" s="331">
        <f>'Haver Pivoted'!HF83</f>
        <v>945.8</v>
      </c>
      <c r="V122" s="331">
        <f>'Haver Pivoted'!HG83</f>
        <v>961.1</v>
      </c>
      <c r="W122" s="331">
        <f>'Haver Pivoted'!HH83</f>
        <v>974.4</v>
      </c>
      <c r="X122" s="331">
        <f>'Haver Pivoted'!HI83</f>
        <v>988.1</v>
      </c>
      <c r="Y122" s="331">
        <f>'Haver Pivoted'!HJ83</f>
        <v>1023.9</v>
      </c>
      <c r="Z122" s="326"/>
      <c r="AA122" s="326"/>
      <c r="AB122" s="326"/>
      <c r="AC122" s="326"/>
      <c r="AD122" s="326"/>
      <c r="AE122" s="326"/>
      <c r="AF122" s="326"/>
      <c r="AG122" s="326"/>
    </row>
    <row r="123" spans="4:33" x14ac:dyDescent="0.35">
      <c r="D123" s="798" t="s">
        <v>514</v>
      </c>
      <c r="E123" s="240" t="s">
        <v>784</v>
      </c>
      <c r="F123" s="868">
        <f>'Haver Pivoted'!GQ84</f>
        <v>2963.1</v>
      </c>
      <c r="G123" s="436">
        <f>'Haver Pivoted'!GR84</f>
        <v>2962.3</v>
      </c>
      <c r="H123" s="436">
        <f>'Haver Pivoted'!GS84</f>
        <v>2952.8</v>
      </c>
      <c r="I123" s="436">
        <f>'Haver Pivoted'!GT84</f>
        <v>2926.1</v>
      </c>
      <c r="J123" s="436">
        <f>'Haver Pivoted'!GU84</f>
        <v>2869.8</v>
      </c>
      <c r="K123" s="436">
        <f>'Haver Pivoted'!GV84</f>
        <v>2865</v>
      </c>
      <c r="L123" s="436">
        <f>'Haver Pivoted'!GW84</f>
        <v>2994</v>
      </c>
      <c r="M123" s="436">
        <f>'Haver Pivoted'!GX84</f>
        <v>3079.2</v>
      </c>
      <c r="N123" s="436">
        <f>'Haver Pivoted'!GY84</f>
        <v>3198.3</v>
      </c>
      <c r="O123" s="436">
        <f>'Haver Pivoted'!GZ84</f>
        <v>3262.6</v>
      </c>
      <c r="P123" s="436">
        <f>'Haver Pivoted'!HA84</f>
        <v>3318.6</v>
      </c>
      <c r="Q123" s="436">
        <f>'Haver Pivoted'!HB84</f>
        <v>3342.2</v>
      </c>
      <c r="R123" s="436">
        <f>'Haver Pivoted'!HC84</f>
        <v>3407</v>
      </c>
      <c r="S123" s="331">
        <f>'Haver Pivoted'!HD84</f>
        <v>3453.4</v>
      </c>
      <c r="T123" s="331">
        <f>'Haver Pivoted'!HE84</f>
        <v>3525.4</v>
      </c>
      <c r="U123" s="331">
        <f>'Haver Pivoted'!HF84</f>
        <v>3577</v>
      </c>
      <c r="V123" s="331">
        <f>'Haver Pivoted'!HG84</f>
        <v>3602.6</v>
      </c>
      <c r="W123" s="331">
        <f>'Haver Pivoted'!HH84</f>
        <v>3606.5</v>
      </c>
      <c r="X123" s="331">
        <f>'Haver Pivoted'!HI84</f>
        <v>3667.3</v>
      </c>
      <c r="Y123" s="331">
        <f>'Haver Pivoted'!HJ84</f>
        <v>3699.5</v>
      </c>
      <c r="Z123" s="326"/>
      <c r="AA123" s="326"/>
      <c r="AB123" s="326"/>
      <c r="AC123" s="326"/>
      <c r="AD123" s="326"/>
      <c r="AE123" s="326"/>
      <c r="AF123" s="326"/>
      <c r="AG123" s="326"/>
    </row>
    <row r="124" spans="4:33" x14ac:dyDescent="0.35">
      <c r="D124" s="673" t="s">
        <v>501</v>
      </c>
      <c r="F124" s="868">
        <f>F120</f>
        <v>9284.9</v>
      </c>
      <c r="G124" s="436">
        <f t="shared" ref="G124:O124" si="59">G120</f>
        <v>9340.9</v>
      </c>
      <c r="H124" s="436">
        <f t="shared" si="59"/>
        <v>9488.2000000000007</v>
      </c>
      <c r="I124" s="436">
        <f t="shared" si="59"/>
        <v>9635.9</v>
      </c>
      <c r="J124" s="436">
        <f t="shared" si="59"/>
        <v>9004.6</v>
      </c>
      <c r="K124" s="436">
        <f t="shared" si="59"/>
        <v>9440.7000000000007</v>
      </c>
      <c r="L124" s="436">
        <f t="shared" si="59"/>
        <v>9807.7999999999993</v>
      </c>
      <c r="M124" s="436">
        <f t="shared" si="59"/>
        <v>9888.4</v>
      </c>
      <c r="N124" s="436">
        <f t="shared" si="59"/>
        <v>10180</v>
      </c>
      <c r="O124" s="436">
        <f t="shared" si="59"/>
        <v>10459.1</v>
      </c>
      <c r="P124" s="436">
        <f t="shared" ref="P124:T124" si="60">P120</f>
        <v>10766</v>
      </c>
      <c r="Q124" s="436">
        <f t="shared" si="60"/>
        <v>10902.1</v>
      </c>
      <c r="R124" s="436">
        <f t="shared" si="60"/>
        <v>11004.6</v>
      </c>
      <c r="S124" s="331">
        <f t="shared" si="60"/>
        <v>11287.6</v>
      </c>
      <c r="T124" s="331">
        <f t="shared" si="60"/>
        <v>11334.1</v>
      </c>
      <c r="U124" s="331">
        <f t="shared" ref="U124:W124" si="61">U120</f>
        <v>11581.9</v>
      </c>
      <c r="V124" s="331">
        <f t="shared" si="61"/>
        <v>11750.8</v>
      </c>
      <c r="W124" s="331">
        <f t="shared" si="61"/>
        <v>11935</v>
      </c>
      <c r="X124" s="331">
        <f t="shared" ref="X124:Y124" si="62">X120</f>
        <v>11994.3</v>
      </c>
      <c r="Y124" s="331">
        <f t="shared" si="62"/>
        <v>12157</v>
      </c>
      <c r="Z124" s="326"/>
      <c r="AA124" s="326"/>
      <c r="AB124" s="326"/>
      <c r="AC124" s="326"/>
      <c r="AD124" s="326"/>
      <c r="AE124" s="326"/>
      <c r="AF124" s="326"/>
      <c r="AG124" s="326"/>
    </row>
    <row r="125" spans="4:33" x14ac:dyDescent="0.35">
      <c r="D125" s="673" t="s">
        <v>502</v>
      </c>
      <c r="E125" s="240" t="s">
        <v>518</v>
      </c>
      <c r="F125" s="868">
        <f>'Haver Pivoted'!GQ5</f>
        <v>14336.8</v>
      </c>
      <c r="G125" s="436">
        <f>'Haver Pivoted'!GR5</f>
        <v>14517.7</v>
      </c>
      <c r="H125" s="436">
        <f>'Haver Pivoted'!GS5</f>
        <v>14668</v>
      </c>
      <c r="I125" s="436">
        <f>'Haver Pivoted'!GT5</f>
        <v>14473.1</v>
      </c>
      <c r="J125" s="436">
        <f>'Haver Pivoted'!GU5</f>
        <v>13168.9</v>
      </c>
      <c r="K125" s="436">
        <f>'Haver Pivoted'!GV5</f>
        <v>14456.2</v>
      </c>
      <c r="L125" s="436">
        <f>'Haver Pivoted'!GW5</f>
        <v>14726.7</v>
      </c>
      <c r="M125" s="436">
        <f>'Haver Pivoted'!GX5</f>
        <v>15217.7</v>
      </c>
      <c r="N125" s="436">
        <f>'Haver Pivoted'!GY5</f>
        <v>15950.9</v>
      </c>
      <c r="O125" s="436">
        <f>'Haver Pivoted'!GZ5</f>
        <v>16285.1</v>
      </c>
      <c r="P125" s="436">
        <f>'Haver Pivoted'!HA5</f>
        <v>16718.2</v>
      </c>
      <c r="Q125" s="436">
        <f>'Haver Pivoted'!HB5</f>
        <v>17030.599999999999</v>
      </c>
      <c r="R125" s="436">
        <f>'Haver Pivoted'!HC5</f>
        <v>17415.099999999999</v>
      </c>
      <c r="S125" s="331">
        <f>'Haver Pivoted'!HD5</f>
        <v>17684.2</v>
      </c>
      <c r="T125" s="331">
        <f>'Haver Pivoted'!HE5</f>
        <v>17917</v>
      </c>
      <c r="U125" s="331">
        <f>'Haver Pivoted'!HF5</f>
        <v>18269.599999999999</v>
      </c>
      <c r="V125" s="331">
        <f>'Haver Pivoted'!HG5</f>
        <v>18419</v>
      </c>
      <c r="W125" s="331">
        <f>'Haver Pivoted'!HH5</f>
        <v>18679.5</v>
      </c>
      <c r="X125" s="331">
        <f>'Haver Pivoted'!HI5</f>
        <v>18914.5</v>
      </c>
      <c r="Y125" s="331">
        <f>'Haver Pivoted'!HJ5</f>
        <v>19142.5</v>
      </c>
      <c r="Z125" s="326"/>
      <c r="AA125" s="326"/>
      <c r="AB125" s="326"/>
      <c r="AC125" s="326"/>
      <c r="AD125" s="326"/>
      <c r="AE125" s="326"/>
      <c r="AF125" s="326"/>
      <c r="AG125" s="326"/>
    </row>
    <row r="126" spans="4:33" x14ac:dyDescent="0.35">
      <c r="D126" s="673" t="s">
        <v>515</v>
      </c>
      <c r="E126" s="240" t="s">
        <v>783</v>
      </c>
      <c r="F126" s="868">
        <f>'Haver Pivoted'!GQ85</f>
        <v>1896.6</v>
      </c>
      <c r="G126" s="436">
        <f>'Haver Pivoted'!GR85</f>
        <v>1975</v>
      </c>
      <c r="H126" s="436">
        <f>'Haver Pivoted'!GS85</f>
        <v>2006.6</v>
      </c>
      <c r="I126" s="436">
        <f>'Haver Pivoted'!GT85</f>
        <v>1751.4</v>
      </c>
      <c r="J126" s="436">
        <f>'Haver Pivoted'!GU85</f>
        <v>1644.9</v>
      </c>
      <c r="K126" s="436">
        <f>'Haver Pivoted'!GV85</f>
        <v>2284</v>
      </c>
      <c r="L126" s="436">
        <f>'Haver Pivoted'!GW85</f>
        <v>2059.6</v>
      </c>
      <c r="M126" s="436">
        <f>'Haver Pivoted'!GX85</f>
        <v>2280.4</v>
      </c>
      <c r="N126" s="436">
        <f>'Haver Pivoted'!GY85</f>
        <v>2580</v>
      </c>
      <c r="O126" s="436">
        <f>'Haver Pivoted'!GZ85</f>
        <v>2541.1</v>
      </c>
      <c r="P126" s="436">
        <f>'Haver Pivoted'!HA85</f>
        <v>2555</v>
      </c>
      <c r="Q126" s="436">
        <f>'Haver Pivoted'!HB85</f>
        <v>2604.4</v>
      </c>
      <c r="R126" s="331">
        <f>'Haver Pivoted'!HC85</f>
        <v>2781.5</v>
      </c>
      <c r="S126" s="331">
        <f>'Haver Pivoted'!HD85</f>
        <v>2809</v>
      </c>
      <c r="T126" s="331">
        <f>'Haver Pivoted'!HE85</f>
        <v>2748.4</v>
      </c>
      <c r="U126" s="331">
        <f>'Haver Pivoted'!HF85</f>
        <v>2673.1</v>
      </c>
      <c r="V126" s="331">
        <f>'Haver Pivoted'!HG85</f>
        <v>2658</v>
      </c>
      <c r="W126" s="331">
        <f>'Haver Pivoted'!HH85</f>
        <v>2757.8</v>
      </c>
      <c r="X126" s="331">
        <f>'Haver Pivoted'!HI85</f>
        <v>2900.3</v>
      </c>
      <c r="Y126" s="331">
        <f>'Haver Pivoted'!HJ85</f>
        <v>2850.8</v>
      </c>
      <c r="Z126" s="326"/>
      <c r="AA126" s="326"/>
      <c r="AB126" s="326"/>
      <c r="AC126" s="326"/>
      <c r="AD126" s="326"/>
      <c r="AE126" s="326"/>
      <c r="AF126" s="326"/>
      <c r="AG126" s="326"/>
    </row>
    <row r="127" spans="4:33" x14ac:dyDescent="0.35">
      <c r="D127" s="290" t="s">
        <v>516</v>
      </c>
      <c r="F127" s="275"/>
      <c r="G127" s="234"/>
      <c r="H127" s="234"/>
      <c r="I127" s="234"/>
      <c r="J127" s="234"/>
      <c r="K127" s="234"/>
      <c r="L127" s="234"/>
      <c r="M127" s="234"/>
      <c r="N127" s="234"/>
      <c r="O127" s="234"/>
      <c r="P127" s="234"/>
      <c r="Q127" s="234"/>
      <c r="R127" s="234"/>
      <c r="S127" s="234"/>
      <c r="T127" s="234"/>
      <c r="U127" s="234"/>
      <c r="V127" s="234"/>
      <c r="W127" s="234"/>
      <c r="X127" s="234"/>
      <c r="Y127" s="234"/>
      <c r="Z127" s="234"/>
      <c r="AA127" s="234"/>
      <c r="AB127" s="234"/>
      <c r="AC127" s="234"/>
      <c r="AD127" s="234"/>
      <c r="AE127" s="234"/>
      <c r="AF127" s="234"/>
      <c r="AG127" s="234"/>
    </row>
    <row r="128" spans="4:33" x14ac:dyDescent="0.35">
      <c r="D128" s="904" t="s">
        <v>486</v>
      </c>
      <c r="F128" s="873">
        <f t="shared" ref="F128:Y128" si="63">F21/F119</f>
        <v>3.6876910944784937E-2</v>
      </c>
      <c r="G128" s="900">
        <f t="shared" si="63"/>
        <v>3.4178171577718248E-2</v>
      </c>
      <c r="H128" s="900">
        <f t="shared" si="63"/>
        <v>3.3125394551958669E-2</v>
      </c>
      <c r="I128" s="900">
        <f t="shared" si="63"/>
        <v>3.2807816889103933E-2</v>
      </c>
      <c r="J128" s="900">
        <f t="shared" si="63"/>
        <v>3.4262448214145647E-2</v>
      </c>
      <c r="K128" s="900">
        <f t="shared" si="63"/>
        <v>3.4919559695173574E-2</v>
      </c>
      <c r="L128" s="900">
        <f t="shared" si="63"/>
        <v>3.4647064614576839E-2</v>
      </c>
      <c r="M128" s="900">
        <f t="shared" si="63"/>
        <v>3.6614014822121559E-2</v>
      </c>
      <c r="N128" s="900">
        <f t="shared" si="63"/>
        <v>3.6669672377517282E-2</v>
      </c>
      <c r="O128" s="900">
        <f t="shared" si="63"/>
        <v>3.6102320513683742E-2</v>
      </c>
      <c r="P128" s="900">
        <f t="shared" si="63"/>
        <v>3.8126224587010836E-2</v>
      </c>
      <c r="Q128" s="900">
        <f t="shared" si="63"/>
        <v>3.8953788774134537E-2</v>
      </c>
      <c r="R128" s="900">
        <f t="shared" si="63"/>
        <v>3.8396839631212161E-2</v>
      </c>
      <c r="S128" s="898">
        <f t="shared" si="63"/>
        <v>3.5272195625376257E-2</v>
      </c>
      <c r="T128" s="898">
        <f t="shared" si="63"/>
        <v>3.4424151475361382E-2</v>
      </c>
      <c r="U128" s="870">
        <f t="shared" si="63"/>
        <v>3.2494799828240981E-2</v>
      </c>
      <c r="V128" s="870">
        <f t="shared" si="63"/>
        <v>2.9153297387891016E-2</v>
      </c>
      <c r="W128" s="870">
        <f t="shared" si="63"/>
        <v>3.1378737993523989E-2</v>
      </c>
      <c r="X128" s="870">
        <f t="shared" si="63"/>
        <v>3.1976603012038446E-2</v>
      </c>
      <c r="Y128" s="870">
        <f t="shared" si="63"/>
        <v>3.1133462612142265E-2</v>
      </c>
      <c r="Z128" s="899">
        <f t="shared" ref="Z128:AC130" si="64">Y128</f>
        <v>3.1133462612142265E-2</v>
      </c>
      <c r="AA128" s="899">
        <f t="shared" si="64"/>
        <v>3.1133462612142265E-2</v>
      </c>
      <c r="AB128" s="899">
        <f t="shared" si="64"/>
        <v>3.1133462612142265E-2</v>
      </c>
      <c r="AC128" s="899">
        <f t="shared" si="64"/>
        <v>3.1133462612142265E-2</v>
      </c>
      <c r="AD128" s="899">
        <f t="shared" ref="AD128:AD131" si="65">AC128</f>
        <v>3.1133462612142265E-2</v>
      </c>
      <c r="AE128" s="899">
        <f t="shared" ref="AE128:AE131" si="66">AD128</f>
        <v>3.1133462612142265E-2</v>
      </c>
      <c r="AF128" s="899">
        <f t="shared" ref="AF128:AF131" si="67">AE128</f>
        <v>3.1133462612142265E-2</v>
      </c>
      <c r="AG128" s="899">
        <f t="shared" ref="AG128:AG131" si="68">AF128</f>
        <v>3.1133462612142265E-2</v>
      </c>
    </row>
    <row r="129" spans="4:33" x14ac:dyDescent="0.35">
      <c r="D129" s="904" t="s">
        <v>483</v>
      </c>
      <c r="F129" s="873">
        <f t="shared" ref="F129:Y129" si="69">F23/F124</f>
        <v>2.240196447996209E-3</v>
      </c>
      <c r="G129" s="900">
        <f t="shared" si="69"/>
        <v>2.2053549443843742E-3</v>
      </c>
      <c r="H129" s="900">
        <f t="shared" si="69"/>
        <v>2.1500389958053158E-3</v>
      </c>
      <c r="I129" s="900">
        <f t="shared" si="69"/>
        <v>2.106705133926255E-3</v>
      </c>
      <c r="J129" s="900">
        <f t="shared" si="69"/>
        <v>2.1433489549785665E-3</v>
      </c>
      <c r="K129" s="900">
        <f t="shared" si="69"/>
        <v>2.1078945417183047E-3</v>
      </c>
      <c r="L129" s="900">
        <f t="shared" si="69"/>
        <v>2.1105650604620811E-3</v>
      </c>
      <c r="M129" s="900">
        <f t="shared" si="69"/>
        <v>2.1540390760891553E-3</v>
      </c>
      <c r="N129" s="900">
        <f t="shared" si="69"/>
        <v>2.1611001964636544E-3</v>
      </c>
      <c r="O129" s="900">
        <f t="shared" si="69"/>
        <v>2.1607977741870715E-3</v>
      </c>
      <c r="P129" s="900">
        <f t="shared" si="69"/>
        <v>2.1270666914360021E-3</v>
      </c>
      <c r="Q129" s="900">
        <f t="shared" si="69"/>
        <v>2.1005127452509149E-3</v>
      </c>
      <c r="R129" s="900">
        <f t="shared" si="69"/>
        <v>2.0536866401323086E-3</v>
      </c>
      <c r="S129" s="898">
        <f t="shared" si="69"/>
        <v>1.9844785428257557E-3</v>
      </c>
      <c r="T129" s="898">
        <f t="shared" si="69"/>
        <v>1.9410451645918069E-3</v>
      </c>
      <c r="U129" s="870">
        <f t="shared" si="69"/>
        <v>1.8563448138906398E-3</v>
      </c>
      <c r="V129" s="870">
        <f t="shared" si="69"/>
        <v>1.8211526023760084E-3</v>
      </c>
      <c r="W129" s="870">
        <f t="shared" si="69"/>
        <v>1.8349392542940928E-3</v>
      </c>
      <c r="X129" s="870">
        <f t="shared" si="69"/>
        <v>1.9009029288912236E-3</v>
      </c>
      <c r="Y129" s="870">
        <f t="shared" si="69"/>
        <v>1.9988484000987086E-3</v>
      </c>
      <c r="Z129" s="899">
        <f t="shared" si="64"/>
        <v>1.9988484000987086E-3</v>
      </c>
      <c r="AA129" s="899">
        <f t="shared" si="64"/>
        <v>1.9988484000987086E-3</v>
      </c>
      <c r="AB129" s="899">
        <f t="shared" si="64"/>
        <v>1.9988484000987086E-3</v>
      </c>
      <c r="AC129" s="899">
        <f t="shared" si="64"/>
        <v>1.9988484000987086E-3</v>
      </c>
      <c r="AD129" s="899">
        <f t="shared" si="65"/>
        <v>1.9988484000987086E-3</v>
      </c>
      <c r="AE129" s="899">
        <f t="shared" si="66"/>
        <v>1.9988484000987086E-3</v>
      </c>
      <c r="AF129" s="899">
        <f t="shared" si="67"/>
        <v>1.9988484000987086E-3</v>
      </c>
      <c r="AG129" s="899">
        <f t="shared" si="68"/>
        <v>1.9988484000987086E-3</v>
      </c>
    </row>
    <row r="130" spans="4:33" x14ac:dyDescent="0.35">
      <c r="D130" s="904" t="s">
        <v>484</v>
      </c>
      <c r="F130" s="873">
        <f t="shared" ref="F130:Y130" si="70">F24/F125</f>
        <v>9.4079571452485911E-2</v>
      </c>
      <c r="G130" s="900">
        <f t="shared" si="70"/>
        <v>9.4656867134601211E-2</v>
      </c>
      <c r="H130" s="900">
        <f t="shared" si="70"/>
        <v>9.381647122988819E-2</v>
      </c>
      <c r="I130" s="900">
        <f t="shared" si="70"/>
        <v>9.5307846971277754E-2</v>
      </c>
      <c r="J130" s="900">
        <f t="shared" si="70"/>
        <v>9.7996036115393093E-2</v>
      </c>
      <c r="K130" s="900">
        <f t="shared" si="70"/>
        <v>9.5855065646573784E-2</v>
      </c>
      <c r="L130" s="900">
        <f t="shared" si="70"/>
        <v>9.5404944760197466E-2</v>
      </c>
      <c r="M130" s="900">
        <f t="shared" si="70"/>
        <v>9.3364963167890017E-2</v>
      </c>
      <c r="N130" s="900">
        <f t="shared" si="70"/>
        <v>9.3700042003899461E-2</v>
      </c>
      <c r="O130" s="900">
        <f t="shared" si="70"/>
        <v>9.2311376657189692E-2</v>
      </c>
      <c r="P130" s="900">
        <f t="shared" si="70"/>
        <v>9.298249811582586E-2</v>
      </c>
      <c r="Q130" s="900">
        <f t="shared" si="70"/>
        <v>9.2956208236938218E-2</v>
      </c>
      <c r="R130" s="900">
        <f t="shared" si="70"/>
        <v>9.2425538756596287E-2</v>
      </c>
      <c r="S130" s="898">
        <f t="shared" si="70"/>
        <v>9.2274459687178373E-2</v>
      </c>
      <c r="T130" s="898">
        <f t="shared" si="70"/>
        <v>9.1510855611988615E-2</v>
      </c>
      <c r="U130" s="870">
        <f t="shared" si="70"/>
        <v>9.0538380697990112E-2</v>
      </c>
      <c r="V130" s="870">
        <f t="shared" si="70"/>
        <v>8.9375101797057391E-2</v>
      </c>
      <c r="W130" s="870">
        <f t="shared" si="70"/>
        <v>8.8824647340667584E-2</v>
      </c>
      <c r="X130" s="870">
        <f t="shared" si="70"/>
        <v>8.869385920854371E-2</v>
      </c>
      <c r="Y130" s="870">
        <f t="shared" si="70"/>
        <v>8.8180749640851513E-2</v>
      </c>
      <c r="Z130" s="899">
        <f t="shared" si="64"/>
        <v>8.8180749640851513E-2</v>
      </c>
      <c r="AA130" s="899">
        <f t="shared" si="64"/>
        <v>8.8180749640851513E-2</v>
      </c>
      <c r="AB130" s="899">
        <f t="shared" si="64"/>
        <v>8.8180749640851513E-2</v>
      </c>
      <c r="AC130" s="899">
        <f t="shared" si="64"/>
        <v>8.8180749640851513E-2</v>
      </c>
      <c r="AD130" s="899">
        <f t="shared" si="65"/>
        <v>8.8180749640851513E-2</v>
      </c>
      <c r="AE130" s="899">
        <f t="shared" si="66"/>
        <v>8.8180749640851513E-2</v>
      </c>
      <c r="AF130" s="899">
        <f t="shared" si="67"/>
        <v>8.8180749640851513E-2</v>
      </c>
      <c r="AG130" s="899">
        <f t="shared" si="68"/>
        <v>8.8180749640851513E-2</v>
      </c>
    </row>
    <row r="131" spans="4:33" x14ac:dyDescent="0.35">
      <c r="D131" s="863" t="s">
        <v>517</v>
      </c>
      <c r="E131" s="358"/>
      <c r="F131" s="866">
        <f t="shared" ref="F131:Y131" si="71">F25/F126</f>
        <v>3.9386270167668463E-2</v>
      </c>
      <c r="G131" s="867">
        <f t="shared" si="71"/>
        <v>3.7569620253164557E-2</v>
      </c>
      <c r="H131" s="867">
        <f t="shared" si="71"/>
        <v>3.5732084122396097E-2</v>
      </c>
      <c r="I131" s="867">
        <f t="shared" si="71"/>
        <v>3.7569944044764186E-2</v>
      </c>
      <c r="J131" s="867">
        <f t="shared" si="71"/>
        <v>3.8725758404766247E-2</v>
      </c>
      <c r="K131" s="867">
        <f t="shared" si="71"/>
        <v>3.4851138353765319E-2</v>
      </c>
      <c r="L131" s="867">
        <f t="shared" si="71"/>
        <v>3.99592153816275E-2</v>
      </c>
      <c r="M131" s="867">
        <f t="shared" si="71"/>
        <v>3.7931941764602697E-2</v>
      </c>
      <c r="N131" s="867">
        <f t="shared" si="71"/>
        <v>3.6937984496124031E-2</v>
      </c>
      <c r="O131" s="867">
        <f t="shared" si="71"/>
        <v>4.3957341308881979E-2</v>
      </c>
      <c r="P131" s="867">
        <f t="shared" si="71"/>
        <v>5.8747553816046967E-2</v>
      </c>
      <c r="Q131" s="867">
        <f t="shared" si="71"/>
        <v>7.0726462908923357E-2</v>
      </c>
      <c r="R131" s="871">
        <f t="shared" si="71"/>
        <v>5.1590868236563003E-2</v>
      </c>
      <c r="S131" s="871">
        <f t="shared" si="71"/>
        <v>5.2046991812032747E-2</v>
      </c>
      <c r="T131" s="820">
        <f t="shared" si="71"/>
        <v>5.8397613156745742E-2</v>
      </c>
      <c r="U131" s="901">
        <f t="shared" si="71"/>
        <v>6.4531816991507993E-2</v>
      </c>
      <c r="V131" s="901">
        <f t="shared" si="71"/>
        <v>5.6696764484574863E-2</v>
      </c>
      <c r="W131" s="901">
        <f t="shared" si="71"/>
        <v>5.3919791137863507E-2</v>
      </c>
      <c r="X131" s="901">
        <f t="shared" si="71"/>
        <v>5.7132020825431847E-2</v>
      </c>
      <c r="Y131" s="901">
        <f t="shared" si="71"/>
        <v>5.9316683036340669E-2</v>
      </c>
      <c r="Z131" s="869">
        <f t="shared" ref="Z131:AC131" si="72">Y131</f>
        <v>5.9316683036340669E-2</v>
      </c>
      <c r="AA131" s="869">
        <f t="shared" si="72"/>
        <v>5.9316683036340669E-2</v>
      </c>
      <c r="AB131" s="869">
        <f t="shared" si="72"/>
        <v>5.9316683036340669E-2</v>
      </c>
      <c r="AC131" s="899">
        <f t="shared" si="72"/>
        <v>5.9316683036340669E-2</v>
      </c>
      <c r="AD131" s="899">
        <f t="shared" si="65"/>
        <v>5.9316683036340669E-2</v>
      </c>
      <c r="AE131" s="899">
        <f t="shared" si="66"/>
        <v>5.9316683036340669E-2</v>
      </c>
      <c r="AF131" s="899">
        <f t="shared" si="67"/>
        <v>5.9316683036340669E-2</v>
      </c>
      <c r="AG131" s="899">
        <f t="shared" si="68"/>
        <v>5.9316683036340669E-2</v>
      </c>
    </row>
    <row r="135" spans="4:33" x14ac:dyDescent="0.35">
      <c r="D135" s="1392" t="s">
        <v>1705</v>
      </c>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392"/>
      <c r="AB135" s="1392"/>
      <c r="AC135" s="1392"/>
    </row>
    <row r="136" spans="4:33" x14ac:dyDescent="0.35">
      <c r="D136" s="831" t="s">
        <v>1698</v>
      </c>
      <c r="E136" s="449"/>
      <c r="F136" s="287"/>
      <c r="G136" s="287"/>
      <c r="H136" s="287"/>
      <c r="I136" s="287"/>
      <c r="J136" s="287"/>
      <c r="K136" s="287"/>
      <c r="L136" s="287"/>
      <c r="M136" s="287"/>
      <c r="N136" s="287"/>
      <c r="O136" s="287"/>
      <c r="P136" s="287"/>
      <c r="Q136" s="287"/>
      <c r="R136" s="287"/>
      <c r="S136" s="905"/>
      <c r="T136" s="287"/>
      <c r="U136" s="291"/>
      <c r="V136" s="291"/>
      <c r="W136" s="291"/>
      <c r="X136" s="291"/>
      <c r="Y136" s="291"/>
      <c r="Z136" s="291"/>
      <c r="AA136" s="291"/>
      <c r="AB136" s="291"/>
      <c r="AC136" s="218"/>
    </row>
    <row r="137" spans="4:33" x14ac:dyDescent="0.35">
      <c r="D137" s="821" t="s">
        <v>511</v>
      </c>
      <c r="E137" s="822"/>
      <c r="F137" s="823"/>
      <c r="G137" s="823">
        <f>(G119/F119)^4-1</f>
        <v>2.8749393280061097E-2</v>
      </c>
      <c r="H137" s="823">
        <f t="shared" ref="H137:S137" si="73">(H119/G119)^4-1</f>
        <v>4.835619208374009E-2</v>
      </c>
      <c r="I137" s="823">
        <f t="shared" si="73"/>
        <v>4.0990394317915957E-2</v>
      </c>
      <c r="J137" s="823">
        <f t="shared" si="73"/>
        <v>-0.21110677102287756</v>
      </c>
      <c r="K137" s="823">
        <f t="shared" si="73"/>
        <v>0.22783396531706446</v>
      </c>
      <c r="L137" s="823">
        <f t="shared" si="73"/>
        <v>0.13475269153096958</v>
      </c>
      <c r="M137" s="823">
        <f t="shared" si="73"/>
        <v>4.6169492161351133E-2</v>
      </c>
      <c r="N137" s="823">
        <f t="shared" si="73"/>
        <v>0.15354153816413141</v>
      </c>
      <c r="O137" s="823">
        <f t="shared" si="73"/>
        <v>9.5222733313579777E-2</v>
      </c>
      <c r="P137" s="823">
        <f t="shared" si="73"/>
        <v>8.911535984386032E-2</v>
      </c>
      <c r="Q137" s="823">
        <f t="shared" si="73"/>
        <v>3.6094141365687449E-2</v>
      </c>
      <c r="R137" s="823">
        <f t="shared" si="73"/>
        <v>5.413631344975145E-2</v>
      </c>
      <c r="S137" s="823">
        <f t="shared" si="73"/>
        <v>9.2161469921289818E-2</v>
      </c>
      <c r="T137" s="824"/>
      <c r="U137" s="326"/>
      <c r="V137" s="326"/>
      <c r="W137" s="326"/>
      <c r="X137" s="326"/>
      <c r="Y137" s="326"/>
      <c r="Z137" s="326"/>
      <c r="AA137" s="326"/>
      <c r="AB137" s="326"/>
      <c r="AC137" s="432"/>
    </row>
    <row r="138" spans="4:33" x14ac:dyDescent="0.35">
      <c r="D138" s="825" t="s">
        <v>785</v>
      </c>
      <c r="E138" s="826"/>
      <c r="F138" s="823"/>
      <c r="G138" s="823">
        <f t="shared" ref="G138:S138" si="74">(G120/F120)^4-1</f>
        <v>2.4344330774321188E-2</v>
      </c>
      <c r="H138" s="823">
        <f t="shared" si="74"/>
        <v>6.458521711215659E-2</v>
      </c>
      <c r="I138" s="823">
        <f t="shared" si="74"/>
        <v>6.3735896602801656E-2</v>
      </c>
      <c r="J138" s="823">
        <f t="shared" si="74"/>
        <v>-0.23741446237196107</v>
      </c>
      <c r="K138" s="823">
        <f t="shared" si="74"/>
        <v>0.20825635125685005</v>
      </c>
      <c r="L138" s="823">
        <f t="shared" si="74"/>
        <v>0.16484895945116618</v>
      </c>
      <c r="M138" s="823">
        <f t="shared" si="74"/>
        <v>3.3279228577432596E-2</v>
      </c>
      <c r="N138" s="823">
        <f t="shared" si="74"/>
        <v>0.12327736678651791</v>
      </c>
      <c r="O138" s="823">
        <f t="shared" si="74"/>
        <v>0.11425899665317862</v>
      </c>
      <c r="P138" s="823">
        <f t="shared" si="74"/>
        <v>0.12263929791752348</v>
      </c>
      <c r="Q138" s="823">
        <f t="shared" si="74"/>
        <v>5.1533573038161862E-2</v>
      </c>
      <c r="R138" s="823">
        <f t="shared" si="74"/>
        <v>3.8141135194219355E-2</v>
      </c>
      <c r="S138" s="823">
        <f t="shared" si="74"/>
        <v>0.10690257689405547</v>
      </c>
      <c r="T138" s="824"/>
      <c r="U138" s="326"/>
      <c r="V138" s="326"/>
      <c r="W138" s="326"/>
      <c r="X138" s="326"/>
      <c r="Y138" s="326"/>
      <c r="Z138" s="326"/>
      <c r="AA138" s="326"/>
      <c r="AB138" s="326"/>
      <c r="AC138" s="432"/>
    </row>
    <row r="139" spans="4:33" x14ac:dyDescent="0.35">
      <c r="D139" s="825" t="s">
        <v>512</v>
      </c>
      <c r="E139" s="826"/>
      <c r="F139" s="823"/>
      <c r="G139" s="823">
        <f t="shared" ref="G139:S139" si="75">(G121/F121)^4-1</f>
        <v>9.8940383820250055E-2</v>
      </c>
      <c r="H139" s="823">
        <f t="shared" si="75"/>
        <v>2.8319568411775409E-2</v>
      </c>
      <c r="I139" s="823">
        <f t="shared" si="75"/>
        <v>-8.5739008681605666E-3</v>
      </c>
      <c r="J139" s="823">
        <f t="shared" si="75"/>
        <v>-0.35934262816006057</v>
      </c>
      <c r="K139" s="823">
        <f t="shared" si="75"/>
        <v>1.0628477511227197</v>
      </c>
      <c r="L139" s="823">
        <f t="shared" si="75"/>
        <v>-8.510473536398655E-2</v>
      </c>
      <c r="M139" s="823">
        <f t="shared" si="75"/>
        <v>-1.0116134762455764E-2</v>
      </c>
      <c r="N139" s="823">
        <f t="shared" si="75"/>
        <v>0.36625083933278457</v>
      </c>
      <c r="O139" s="823">
        <f t="shared" si="75"/>
        <v>1.9648773635073002E-2</v>
      </c>
      <c r="P139" s="823">
        <f t="shared" si="75"/>
        <v>-5.1624450555260104E-2</v>
      </c>
      <c r="Q139" s="823">
        <f t="shared" si="75"/>
        <v>-2.8627082405951798E-2</v>
      </c>
      <c r="R139" s="823">
        <f t="shared" si="75"/>
        <v>4.1627414399892038E-2</v>
      </c>
      <c r="S139" s="823">
        <f t="shared" si="75"/>
        <v>7.6492470624414111E-2</v>
      </c>
      <c r="T139" s="824"/>
      <c r="U139" s="326"/>
      <c r="V139" s="326"/>
      <c r="W139" s="326"/>
      <c r="X139" s="326"/>
      <c r="Y139" s="326"/>
      <c r="Z139" s="326"/>
      <c r="AA139" s="326"/>
      <c r="AB139" s="326"/>
      <c r="AC139" s="432"/>
    </row>
    <row r="140" spans="4:33" x14ac:dyDescent="0.35">
      <c r="D140" s="825" t="s">
        <v>513</v>
      </c>
      <c r="E140" s="826"/>
      <c r="F140" s="823"/>
      <c r="G140" s="823">
        <f t="shared" ref="G140:S140" si="76">(G122/F122)^4-1</f>
        <v>6.6826407149440659E-2</v>
      </c>
      <c r="H140" s="823">
        <f t="shared" si="76"/>
        <v>0.14817313810277866</v>
      </c>
      <c r="I140" s="823">
        <f t="shared" si="76"/>
        <v>0.18711939115613641</v>
      </c>
      <c r="J140" s="823">
        <f t="shared" si="76"/>
        <v>-1.4497377499696595E-2</v>
      </c>
      <c r="K140" s="823">
        <f t="shared" si="76"/>
        <v>0.15452590504057984</v>
      </c>
      <c r="L140" s="823">
        <f t="shared" si="76"/>
        <v>8.1300944253331897E-2</v>
      </c>
      <c r="M140" s="823">
        <f t="shared" si="76"/>
        <v>5.9196932796567792E-2</v>
      </c>
      <c r="N140" s="823">
        <f t="shared" si="76"/>
        <v>8.1188632132453531E-2</v>
      </c>
      <c r="O140" s="823">
        <f t="shared" si="76"/>
        <v>7.7476467280115147E-2</v>
      </c>
      <c r="P140" s="823">
        <f t="shared" si="76"/>
        <v>6.5254580521259653E-2</v>
      </c>
      <c r="Q140" s="823">
        <f t="shared" si="76"/>
        <v>8.1637129935556718E-3</v>
      </c>
      <c r="R140" s="823">
        <f t="shared" si="76"/>
        <v>0.19484297690017338</v>
      </c>
      <c r="S140" s="823">
        <f t="shared" si="76"/>
        <v>8.3858639128562951E-2</v>
      </c>
      <c r="T140" s="824"/>
      <c r="U140" s="326"/>
      <c r="V140" s="326"/>
      <c r="W140" s="326"/>
      <c r="X140" s="326"/>
      <c r="Y140" s="326"/>
      <c r="Z140" s="326"/>
      <c r="AA140" s="326"/>
      <c r="AB140" s="326"/>
      <c r="AC140" s="432"/>
    </row>
    <row r="141" spans="4:33" x14ac:dyDescent="0.35">
      <c r="D141" s="825" t="s">
        <v>514</v>
      </c>
      <c r="E141" s="826"/>
      <c r="F141" s="823"/>
      <c r="G141" s="823">
        <f t="shared" ref="G141:S141" si="77">(G123/F123)^4-1</f>
        <v>-1.0795127714819941E-3</v>
      </c>
      <c r="H141" s="823">
        <f t="shared" si="77"/>
        <v>-1.2766294214684004E-2</v>
      </c>
      <c r="I141" s="823">
        <f t="shared" si="77"/>
        <v>-3.568143513043176E-2</v>
      </c>
      <c r="J141" s="823">
        <f t="shared" si="77"/>
        <v>-7.4769653961980542E-2</v>
      </c>
      <c r="K141" s="823">
        <f t="shared" si="77"/>
        <v>-6.6735950541658706E-3</v>
      </c>
      <c r="L141" s="823">
        <f t="shared" si="77"/>
        <v>0.19263809895026496</v>
      </c>
      <c r="M141" s="823">
        <f t="shared" si="77"/>
        <v>0.11877926392131299</v>
      </c>
      <c r="N141" s="823">
        <f t="shared" si="77"/>
        <v>0.16392554515507163</v>
      </c>
      <c r="O141" s="823">
        <f t="shared" si="77"/>
        <v>8.2875517920269814E-2</v>
      </c>
      <c r="P141" s="823">
        <f t="shared" si="77"/>
        <v>7.0444876940621848E-2</v>
      </c>
      <c r="Q141" s="823">
        <f t="shared" si="77"/>
        <v>2.8750606091571207E-2</v>
      </c>
      <c r="R141" s="823">
        <f t="shared" si="77"/>
        <v>7.9838468306118182E-2</v>
      </c>
      <c r="S141" s="823">
        <f t="shared" si="77"/>
        <v>5.559908334102559E-2</v>
      </c>
      <c r="T141" s="824"/>
      <c r="U141" s="326"/>
      <c r="V141" s="326"/>
      <c r="W141" s="326"/>
      <c r="X141" s="326"/>
      <c r="Y141" s="326"/>
      <c r="Z141" s="326"/>
      <c r="AA141" s="326"/>
      <c r="AB141" s="326"/>
      <c r="AC141" s="432"/>
    </row>
    <row r="142" spans="4:33" x14ac:dyDescent="0.35">
      <c r="D142" s="821" t="s">
        <v>501</v>
      </c>
      <c r="E142" s="822"/>
      <c r="F142" s="823"/>
      <c r="G142" s="823">
        <f t="shared" ref="G142:S142" si="78">(G124/F124)^4-1</f>
        <v>2.4344330774321188E-2</v>
      </c>
      <c r="H142" s="823">
        <f t="shared" si="78"/>
        <v>6.458521711215659E-2</v>
      </c>
      <c r="I142" s="823">
        <f t="shared" si="78"/>
        <v>6.3735896602801656E-2</v>
      </c>
      <c r="J142" s="823">
        <f t="shared" si="78"/>
        <v>-0.23741446237196107</v>
      </c>
      <c r="K142" s="823">
        <f t="shared" si="78"/>
        <v>0.20825635125685005</v>
      </c>
      <c r="L142" s="823">
        <f t="shared" si="78"/>
        <v>0.16484895945116618</v>
      </c>
      <c r="M142" s="823">
        <f t="shared" si="78"/>
        <v>3.3279228577432596E-2</v>
      </c>
      <c r="N142" s="823">
        <f t="shared" si="78"/>
        <v>0.12327736678651791</v>
      </c>
      <c r="O142" s="823">
        <f t="shared" si="78"/>
        <v>0.11425899665317862</v>
      </c>
      <c r="P142" s="823">
        <f t="shared" si="78"/>
        <v>0.12263929791752348</v>
      </c>
      <c r="Q142" s="823">
        <f t="shared" si="78"/>
        <v>5.1533573038161862E-2</v>
      </c>
      <c r="R142" s="823">
        <f t="shared" si="78"/>
        <v>3.8141135194219355E-2</v>
      </c>
      <c r="S142" s="823">
        <f t="shared" si="78"/>
        <v>0.10690257689405547</v>
      </c>
      <c r="T142" s="824"/>
      <c r="U142" s="326"/>
      <c r="V142" s="326"/>
      <c r="W142" s="326"/>
      <c r="X142" s="326"/>
      <c r="Y142" s="326"/>
      <c r="Z142" s="326"/>
      <c r="AA142" s="326"/>
      <c r="AB142" s="326"/>
      <c r="AC142" s="432"/>
    </row>
    <row r="143" spans="4:33" x14ac:dyDescent="0.35">
      <c r="D143" s="821" t="s">
        <v>502</v>
      </c>
      <c r="E143" s="826"/>
      <c r="F143" s="823"/>
      <c r="G143" s="823">
        <f t="shared" ref="G143:S143" si="79">(G125/F125)^4-1</f>
        <v>5.143483996947551E-2</v>
      </c>
      <c r="H143" s="823">
        <f t="shared" si="79"/>
        <v>4.2059061110245599E-2</v>
      </c>
      <c r="I143" s="823">
        <f t="shared" si="79"/>
        <v>-5.2099731854827525E-2</v>
      </c>
      <c r="J143" s="823">
        <f t="shared" si="79"/>
        <v>-0.31458793015184205</v>
      </c>
      <c r="K143" s="823">
        <f t="shared" si="79"/>
        <v>0.45217378617217441</v>
      </c>
      <c r="L143" s="823">
        <f t="shared" si="79"/>
        <v>7.697387214774043E-2</v>
      </c>
      <c r="M143" s="823">
        <f t="shared" si="79"/>
        <v>0.14018234924805895</v>
      </c>
      <c r="N143" s="823">
        <f t="shared" si="79"/>
        <v>0.2071040207465018</v>
      </c>
      <c r="O143" s="823">
        <f t="shared" si="79"/>
        <v>8.6478031973165059E-2</v>
      </c>
      <c r="P143" s="823">
        <f t="shared" si="79"/>
        <v>0.11069891254354447</v>
      </c>
      <c r="Q143" s="823">
        <f t="shared" si="79"/>
        <v>7.6866159166873782E-2</v>
      </c>
      <c r="R143" s="823">
        <f t="shared" si="79"/>
        <v>9.3412653381198307E-2</v>
      </c>
      <c r="S143" s="823">
        <f t="shared" si="79"/>
        <v>6.3255851262993046E-2</v>
      </c>
      <c r="T143" s="824"/>
      <c r="U143" s="326"/>
      <c r="V143" s="326"/>
      <c r="W143" s="326"/>
      <c r="X143" s="326"/>
      <c r="Y143" s="326"/>
      <c r="Z143" s="326"/>
      <c r="AA143" s="326"/>
      <c r="AB143" s="326"/>
      <c r="AC143" s="432"/>
    </row>
    <row r="144" spans="4:33" x14ac:dyDescent="0.35">
      <c r="D144" s="827" t="s">
        <v>515</v>
      </c>
      <c r="E144" s="828"/>
      <c r="F144" s="829"/>
      <c r="G144" s="829">
        <f t="shared" ref="G144:S144" si="80">(G126/F126)^4-1</f>
        <v>0.1758865286082909</v>
      </c>
      <c r="H144" s="829">
        <f t="shared" si="80"/>
        <v>6.5552449536000035E-2</v>
      </c>
      <c r="I144" s="829">
        <f t="shared" si="80"/>
        <v>-0.41963909421919576</v>
      </c>
      <c r="J144" s="829">
        <f t="shared" si="80"/>
        <v>-0.22193367207862924</v>
      </c>
      <c r="K144" s="829">
        <f t="shared" si="80"/>
        <v>2.7172895933690313</v>
      </c>
      <c r="L144" s="829">
        <f t="shared" si="80"/>
        <v>-0.33877824443000826</v>
      </c>
      <c r="M144" s="829">
        <f t="shared" si="80"/>
        <v>0.50283948391983824</v>
      </c>
      <c r="N144" s="829">
        <f t="shared" si="80"/>
        <v>0.63845566586397662</v>
      </c>
      <c r="O144" s="829">
        <f t="shared" si="80"/>
        <v>-5.8959746681685132E-2</v>
      </c>
      <c r="P144" s="829">
        <f t="shared" si="80"/>
        <v>2.206047378184639E-2</v>
      </c>
      <c r="Q144" s="829">
        <f t="shared" si="80"/>
        <v>7.9610572291598736E-2</v>
      </c>
      <c r="R144" s="829">
        <f t="shared" si="80"/>
        <v>0.30102460615002213</v>
      </c>
      <c r="S144" s="829">
        <f t="shared" si="80"/>
        <v>4.0137369361875175E-2</v>
      </c>
      <c r="T144" s="830"/>
      <c r="U144" s="270"/>
      <c r="V144" s="270"/>
      <c r="W144" s="270"/>
      <c r="X144" s="270"/>
      <c r="Y144" s="270"/>
      <c r="Z144" s="270"/>
      <c r="AA144" s="270"/>
      <c r="AB144" s="270"/>
      <c r="AC144" s="271"/>
    </row>
    <row r="147" ht="14.9" customHeight="1" x14ac:dyDescent="0.35"/>
  </sheetData>
  <mergeCells count="38">
    <mergeCell ref="D135:AC135"/>
    <mergeCell ref="D111:E111"/>
    <mergeCell ref="D109:E110"/>
    <mergeCell ref="Y43:AB43"/>
    <mergeCell ref="D99:E100"/>
    <mergeCell ref="F99:H99"/>
    <mergeCell ref="I99:L99"/>
    <mergeCell ref="M109:P109"/>
    <mergeCell ref="F109:H109"/>
    <mergeCell ref="I109:L109"/>
    <mergeCell ref="Q109:T109"/>
    <mergeCell ref="AC99:AF99"/>
    <mergeCell ref="AC109:AF109"/>
    <mergeCell ref="Y109:AB109"/>
    <mergeCell ref="O66:V66"/>
    <mergeCell ref="P67:S67"/>
    <mergeCell ref="Q99:T99"/>
    <mergeCell ref="M99:P99"/>
    <mergeCell ref="Y99:AB99"/>
    <mergeCell ref="D1:AC1"/>
    <mergeCell ref="D2:AC3"/>
    <mergeCell ref="AC6:AF6"/>
    <mergeCell ref="F6:H6"/>
    <mergeCell ref="I6:L6"/>
    <mergeCell ref="W5:AG5"/>
    <mergeCell ref="Q6:T6"/>
    <mergeCell ref="Y6:AB6"/>
    <mergeCell ref="AC43:AF43"/>
    <mergeCell ref="D5:E7"/>
    <mergeCell ref="M6:P6"/>
    <mergeCell ref="D30:F30"/>
    <mergeCell ref="F5:V5"/>
    <mergeCell ref="F42:V42"/>
    <mergeCell ref="W42:AG42"/>
    <mergeCell ref="F43:H43"/>
    <mergeCell ref="M43:P43"/>
    <mergeCell ref="Q43:T43"/>
    <mergeCell ref="I43:L43"/>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BP86"/>
  <sheetViews>
    <sheetView topLeftCell="A46" zoomScale="91" zoomScaleNormal="91" workbookViewId="0">
      <selection activeCell="S74" sqref="S74"/>
    </sheetView>
  </sheetViews>
  <sheetFormatPr defaultColWidth="10.90625" defaultRowHeight="14.5" x14ac:dyDescent="0.35"/>
  <cols>
    <col min="2" max="2" width="37" customWidth="1"/>
    <col min="3" max="3" width="13.1796875" customWidth="1"/>
    <col min="20" max="29" width="11.54296875" customWidth="1"/>
    <col min="30" max="32" width="12.1796875" customWidth="1"/>
  </cols>
  <sheetData>
    <row r="1" spans="2:36" x14ac:dyDescent="0.35">
      <c r="B1" s="1277" t="s">
        <v>1706</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6" x14ac:dyDescent="0.35">
      <c r="B2" s="1314" t="s">
        <v>1707</v>
      </c>
      <c r="C2" s="1314"/>
      <c r="D2" s="1314"/>
      <c r="E2" s="1314"/>
      <c r="F2" s="1314"/>
      <c r="G2" s="1314"/>
      <c r="H2" s="1314"/>
      <c r="I2" s="1314"/>
      <c r="J2" s="1314"/>
      <c r="K2" s="1314"/>
      <c r="L2" s="1314"/>
      <c r="M2" s="1314"/>
      <c r="N2" s="1314"/>
      <c r="O2" s="1314"/>
      <c r="P2" s="1314"/>
      <c r="Q2" s="1314"/>
      <c r="R2" s="1314"/>
      <c r="S2" s="1314"/>
      <c r="T2" s="1314"/>
      <c r="U2" s="1314"/>
      <c r="V2" s="1314"/>
      <c r="W2" s="1314"/>
      <c r="X2" s="1314"/>
      <c r="Y2" s="1314"/>
      <c r="Z2" s="1314"/>
      <c r="AA2" s="1314"/>
      <c r="AB2" s="1314"/>
      <c r="AC2" s="1314"/>
    </row>
    <row r="3" spans="2:36" x14ac:dyDescent="0.35">
      <c r="B3" s="1314"/>
      <c r="C3" s="1314"/>
      <c r="D3" s="1314"/>
      <c r="E3" s="1314"/>
      <c r="F3" s="1314"/>
      <c r="G3" s="1314"/>
      <c r="H3" s="1314"/>
      <c r="I3" s="1314"/>
      <c r="J3" s="1314"/>
      <c r="K3" s="1314"/>
      <c r="L3" s="1314"/>
      <c r="M3" s="1314"/>
      <c r="N3" s="1314"/>
      <c r="O3" s="1314"/>
      <c r="P3" s="1314"/>
      <c r="Q3" s="1314"/>
      <c r="R3" s="1314"/>
      <c r="S3" s="1314"/>
      <c r="T3" s="1314"/>
      <c r="U3" s="1314"/>
      <c r="V3" s="1314"/>
      <c r="W3" s="1314"/>
      <c r="X3" s="1314"/>
      <c r="Y3" s="1314"/>
      <c r="Z3" s="1314"/>
      <c r="AA3" s="1314"/>
      <c r="AB3" s="1314"/>
      <c r="AC3" s="1314"/>
    </row>
    <row r="4" spans="2:36" x14ac:dyDescent="0.35">
      <c r="B4" s="1314"/>
      <c r="C4" s="1314"/>
      <c r="D4" s="1314"/>
      <c r="E4" s="1314"/>
      <c r="F4" s="1314"/>
      <c r="G4" s="1314"/>
      <c r="H4" s="1314"/>
      <c r="I4" s="1314"/>
      <c r="J4" s="1314"/>
      <c r="K4" s="1314"/>
      <c r="L4" s="1314"/>
      <c r="M4" s="1314"/>
      <c r="N4" s="1314"/>
      <c r="O4" s="1314"/>
      <c r="P4" s="1314"/>
      <c r="Q4" s="1314"/>
      <c r="R4" s="1314"/>
      <c r="S4" s="1314"/>
      <c r="T4" s="1314"/>
      <c r="U4" s="1314"/>
      <c r="V4" s="1314"/>
      <c r="W4" s="1314"/>
      <c r="X4" s="1314"/>
      <c r="Y4" s="1314"/>
      <c r="Z4" s="1314"/>
      <c r="AA4" s="1314"/>
      <c r="AB4" s="1314"/>
      <c r="AC4" s="1314"/>
    </row>
    <row r="5" spans="2:36" x14ac:dyDescent="0.35">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row>
    <row r="6" spans="2:36" x14ac:dyDescent="0.35">
      <c r="B6" s="56"/>
      <c r="C6" s="946"/>
      <c r="D6" s="944"/>
      <c r="E6" s="944"/>
      <c r="F6" s="944"/>
      <c r="G6" s="944"/>
      <c r="H6" s="944"/>
      <c r="I6" s="944"/>
      <c r="J6" s="944"/>
      <c r="K6" s="944"/>
      <c r="L6" s="944"/>
      <c r="M6" s="944"/>
      <c r="N6" s="944"/>
      <c r="O6" s="944"/>
      <c r="P6" s="944"/>
      <c r="Q6" s="944"/>
      <c r="R6" s="944"/>
      <c r="S6" s="944"/>
      <c r="T6" s="944"/>
      <c r="U6" s="944"/>
      <c r="V6" s="944"/>
      <c r="W6" s="944"/>
      <c r="X6" s="944"/>
      <c r="Y6" s="944"/>
      <c r="Z6" s="944"/>
      <c r="AA6" s="944"/>
      <c r="AB6" s="944"/>
      <c r="AC6" s="944"/>
      <c r="AD6" s="944"/>
      <c r="AE6" s="944"/>
      <c r="AF6" s="944"/>
    </row>
    <row r="7" spans="2:36" ht="14.5" customHeight="1" x14ac:dyDescent="0.35">
      <c r="B7" s="1397" t="s">
        <v>1732</v>
      </c>
      <c r="C7" s="1397"/>
      <c r="D7" s="1397"/>
      <c r="E7" s="1397"/>
      <c r="F7" s="1397"/>
      <c r="G7" s="247"/>
      <c r="H7" s="247"/>
      <c r="I7" s="247"/>
      <c r="J7" s="247"/>
      <c r="K7" s="247"/>
      <c r="L7" s="247"/>
      <c r="M7" s="247"/>
      <c r="N7" s="247"/>
      <c r="O7" s="247"/>
      <c r="P7" s="247"/>
      <c r="Q7" s="247"/>
      <c r="R7" s="247"/>
      <c r="S7" s="247"/>
      <c r="T7" s="663"/>
      <c r="U7" s="663"/>
      <c r="V7" s="247"/>
      <c r="W7" s="247"/>
      <c r="X7" s="247"/>
      <c r="Y7" s="247"/>
      <c r="Z7" s="247"/>
      <c r="AA7" s="247"/>
      <c r="AB7" s="247"/>
      <c r="AC7" s="247"/>
    </row>
    <row r="8" spans="2:36" x14ac:dyDescent="0.35">
      <c r="B8" s="1282" t="s">
        <v>1721</v>
      </c>
      <c r="C8" s="1283"/>
      <c r="D8" s="1286" t="s">
        <v>280</v>
      </c>
      <c r="E8" s="1299"/>
      <c r="F8" s="1299"/>
      <c r="G8" s="1299"/>
      <c r="H8" s="1299"/>
      <c r="I8" s="1299"/>
      <c r="J8" s="1299"/>
      <c r="K8" s="1299"/>
      <c r="L8" s="1299"/>
      <c r="M8" s="1299"/>
      <c r="N8" s="1299"/>
      <c r="O8" s="1299"/>
      <c r="P8" s="1299"/>
      <c r="Q8" s="1299"/>
      <c r="R8" s="1299"/>
      <c r="S8" s="1299"/>
      <c r="T8" s="1299"/>
      <c r="U8" s="1299"/>
      <c r="V8" s="1299"/>
      <c r="W8" s="1297" t="s">
        <v>1747</v>
      </c>
      <c r="X8" s="1297"/>
      <c r="Y8" s="1297"/>
      <c r="Z8" s="1297"/>
      <c r="AA8" s="1297"/>
      <c r="AB8" s="1297"/>
      <c r="AC8" s="1297"/>
      <c r="AD8" s="1297"/>
      <c r="AE8" s="1297"/>
      <c r="AF8" s="1329"/>
    </row>
    <row r="9" spans="2:36" x14ac:dyDescent="0.35">
      <c r="B9" s="1284"/>
      <c r="C9" s="1285"/>
      <c r="D9" s="214">
        <v>2018</v>
      </c>
      <c r="E9" s="1279">
        <v>2019</v>
      </c>
      <c r="F9" s="1280"/>
      <c r="G9" s="1280"/>
      <c r="H9" s="1281"/>
      <c r="I9" s="1279">
        <v>2020</v>
      </c>
      <c r="J9" s="1280"/>
      <c r="K9" s="1280"/>
      <c r="L9" s="1280"/>
      <c r="M9" s="1279">
        <v>2021</v>
      </c>
      <c r="N9" s="1280"/>
      <c r="O9" s="1280"/>
      <c r="P9" s="1280"/>
      <c r="Q9" s="1308">
        <v>2022</v>
      </c>
      <c r="R9" s="1372"/>
      <c r="S9" s="560"/>
      <c r="T9" s="296"/>
      <c r="U9" s="239"/>
      <c r="V9" s="560">
        <v>2023</v>
      </c>
      <c r="W9" s="289"/>
      <c r="X9" s="289"/>
      <c r="Y9" s="1288">
        <v>2024</v>
      </c>
      <c r="Z9" s="1289"/>
      <c r="AA9" s="1289"/>
      <c r="AB9" s="1290"/>
      <c r="AC9" s="1288">
        <v>2025</v>
      </c>
      <c r="AD9" s="1289"/>
      <c r="AE9" s="1289"/>
      <c r="AF9" s="1290"/>
      <c r="AG9" s="1288">
        <v>2026</v>
      </c>
      <c r="AH9" s="1289"/>
      <c r="AI9" s="1289"/>
      <c r="AJ9" s="1290"/>
    </row>
    <row r="10" spans="2:36" x14ac:dyDescent="0.35">
      <c r="B10" s="1286"/>
      <c r="C10" s="1287"/>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4" t="s">
        <v>283</v>
      </c>
      <c r="V10" s="215" t="s">
        <v>284</v>
      </c>
      <c r="W10" s="326" t="s">
        <v>238</v>
      </c>
      <c r="X10" s="326" t="s">
        <v>282</v>
      </c>
      <c r="Y10" s="433" t="s">
        <v>283</v>
      </c>
      <c r="Z10" s="333" t="s">
        <v>284</v>
      </c>
      <c r="AA10" s="326" t="s">
        <v>238</v>
      </c>
      <c r="AB10" s="432" t="s">
        <v>282</v>
      </c>
      <c r="AC10" s="922" t="s">
        <v>283</v>
      </c>
      <c r="AD10" s="326" t="s">
        <v>284</v>
      </c>
      <c r="AE10" s="326" t="s">
        <v>238</v>
      </c>
      <c r="AF10" s="432" t="s">
        <v>282</v>
      </c>
      <c r="AG10" s="433" t="s">
        <v>283</v>
      </c>
      <c r="AH10" s="333" t="s">
        <v>284</v>
      </c>
      <c r="AI10" s="326" t="s">
        <v>238</v>
      </c>
      <c r="AJ10" s="432" t="s">
        <v>282</v>
      </c>
    </row>
    <row r="11" spans="2:36" x14ac:dyDescent="0.35">
      <c r="B11" s="1398" t="s">
        <v>1731</v>
      </c>
      <c r="C11" s="1399"/>
      <c r="D11" s="1399"/>
      <c r="E11" s="1399"/>
      <c r="F11" s="1399"/>
      <c r="G11" s="1399"/>
      <c r="H11" s="1399"/>
      <c r="I11" s="1399"/>
      <c r="J11" s="1399"/>
      <c r="K11" s="1399"/>
      <c r="L11" s="1399"/>
      <c r="M11" s="1399"/>
      <c r="N11" s="1399"/>
      <c r="O11" s="1399"/>
      <c r="P11" s="1399"/>
      <c r="Q11" s="1399"/>
      <c r="R11" s="1399"/>
      <c r="S11" s="1399"/>
      <c r="T11" s="1399"/>
      <c r="U11" s="1399"/>
      <c r="V11" s="1399"/>
      <c r="W11" s="1399"/>
      <c r="X11" s="1399"/>
      <c r="Y11" s="1399"/>
      <c r="Z11" s="1399"/>
      <c r="AA11" s="1399"/>
      <c r="AB11" s="1399"/>
      <c r="AC11" s="1399"/>
      <c r="AD11" s="1399"/>
      <c r="AE11" s="1399"/>
      <c r="AF11" s="1400"/>
    </row>
    <row r="12" spans="2:36" x14ac:dyDescent="0.35">
      <c r="B12" s="956" t="s">
        <v>1710</v>
      </c>
      <c r="C12" s="957"/>
      <c r="D12" s="951">
        <f t="shared" ref="D12:T12" si="0">D45</f>
        <v>1.5264497223703488E-2</v>
      </c>
      <c r="E12" s="951">
        <f t="shared" si="0"/>
        <v>9.1895436648135043E-3</v>
      </c>
      <c r="F12" s="951">
        <f t="shared" si="0"/>
        <v>2.1359335668051704E-2</v>
      </c>
      <c r="G12" s="951">
        <f t="shared" si="0"/>
        <v>9.7821561759856568E-3</v>
      </c>
      <c r="H12" s="951">
        <f t="shared" si="0"/>
        <v>1.5756743276972518E-2</v>
      </c>
      <c r="I12" s="951">
        <f t="shared" si="0"/>
        <v>1.2975809403218186E-2</v>
      </c>
      <c r="J12" s="951">
        <f t="shared" si="0"/>
        <v>-1.727886877748519E-2</v>
      </c>
      <c r="K12" s="951">
        <f t="shared" si="0"/>
        <v>3.3383553321530757E-2</v>
      </c>
      <c r="L12" s="951">
        <f t="shared" si="0"/>
        <v>2.0146820681233191E-2</v>
      </c>
      <c r="M12" s="951">
        <f t="shared" si="0"/>
        <v>4.7725552632172041E-2</v>
      </c>
      <c r="N12" s="951">
        <f t="shared" si="0"/>
        <v>6.2593648340676156E-2</v>
      </c>
      <c r="O12" s="951">
        <f t="shared" si="0"/>
        <v>5.6496850547917088E-2</v>
      </c>
      <c r="P12" s="951">
        <f t="shared" si="0"/>
        <v>6.7608172830647684E-2</v>
      </c>
      <c r="Q12" s="951">
        <f t="shared" si="0"/>
        <v>7.6571358087944352E-2</v>
      </c>
      <c r="R12" s="951">
        <f t="shared" si="0"/>
        <v>7.1828427694202057E-2</v>
      </c>
      <c r="S12" s="951">
        <f t="shared" si="0"/>
        <v>4.6758931657381764E-2</v>
      </c>
      <c r="T12" s="974">
        <f t="shared" si="0"/>
        <v>4.1448566443352153E-2</v>
      </c>
      <c r="U12" s="951">
        <f t="shared" ref="U12:AF12" si="1">U45+U13</f>
        <v>4.1651997755371317E-2</v>
      </c>
      <c r="V12" s="951">
        <f t="shared" si="1"/>
        <v>2.4870541532459711E-2</v>
      </c>
      <c r="W12" s="951">
        <f t="shared" si="1"/>
        <v>2.5905176927918383E-2</v>
      </c>
      <c r="X12" s="951">
        <f t="shared" si="1"/>
        <v>1.7898288181300792E-2</v>
      </c>
      <c r="Y12" s="951">
        <f t="shared" si="1"/>
        <v>3.4047759971643332E-2</v>
      </c>
      <c r="Z12" s="951">
        <f t="shared" si="1"/>
        <v>4.4734749927778247E-2</v>
      </c>
      <c r="AA12" s="951">
        <f t="shared" si="1"/>
        <v>2.897464547214517E-2</v>
      </c>
      <c r="AB12" s="951">
        <f t="shared" si="1"/>
        <v>2.3485836297992498E-2</v>
      </c>
      <c r="AC12" s="951">
        <f t="shared" si="1"/>
        <v>2.1796033645922641E-2</v>
      </c>
      <c r="AD12" s="951">
        <f t="shared" si="1"/>
        <v>2.1576747995004641E-2</v>
      </c>
      <c r="AE12" s="951">
        <f t="shared" si="1"/>
        <v>2.0708760783051394E-2</v>
      </c>
      <c r="AF12" s="949">
        <f t="shared" si="1"/>
        <v>2.0110814282412459E-2</v>
      </c>
      <c r="AG12" s="949">
        <f>AG45+AG13</f>
        <v>1.9760549063349009E-2</v>
      </c>
      <c r="AH12" s="949"/>
      <c r="AI12" s="949"/>
      <c r="AJ12" s="949"/>
    </row>
    <row r="13" spans="2:36" x14ac:dyDescent="0.35">
      <c r="B13" s="962" t="s">
        <v>1742</v>
      </c>
      <c r="C13" s="958"/>
      <c r="D13" s="959"/>
      <c r="E13" s="960"/>
      <c r="F13" s="960"/>
      <c r="G13" s="960"/>
      <c r="H13" s="960"/>
      <c r="I13" s="960"/>
      <c r="J13" s="960"/>
      <c r="K13" s="960"/>
      <c r="L13" s="960"/>
      <c r="M13" s="960"/>
      <c r="N13" s="960"/>
      <c r="O13" s="960"/>
      <c r="P13" s="960"/>
      <c r="Q13" s="960"/>
      <c r="R13" s="960"/>
      <c r="S13" s="960"/>
      <c r="T13" s="960"/>
      <c r="U13" s="960"/>
      <c r="V13" s="960"/>
      <c r="W13" s="960"/>
      <c r="X13" s="960"/>
      <c r="Y13" s="960"/>
      <c r="Z13" s="960"/>
      <c r="AA13" s="960"/>
      <c r="AB13" s="960"/>
      <c r="AC13" s="960"/>
      <c r="AD13" s="960"/>
      <c r="AE13" s="960"/>
      <c r="AF13" s="961"/>
      <c r="AG13" s="961"/>
      <c r="AH13" s="961"/>
      <c r="AI13" s="961"/>
      <c r="AJ13" s="961"/>
    </row>
    <row r="14" spans="2:36" x14ac:dyDescent="0.35">
      <c r="B14" s="748" t="s">
        <v>1711</v>
      </c>
      <c r="C14" s="957"/>
      <c r="D14" s="944">
        <f t="shared" ref="D14:S14" si="2">D48</f>
        <v>2.9477765289275926E-2</v>
      </c>
      <c r="E14" s="944">
        <f t="shared" si="2"/>
        <v>4.2202135370129845E-2</v>
      </c>
      <c r="F14" s="944">
        <f t="shared" si="2"/>
        <v>-2.3704834981612466E-2</v>
      </c>
      <c r="G14" s="944">
        <f t="shared" si="2"/>
        <v>6.4629467492742787E-3</v>
      </c>
      <c r="H14" s="944">
        <f t="shared" si="2"/>
        <v>1.3942439977386201E-2</v>
      </c>
      <c r="I14" s="944">
        <f t="shared" si="2"/>
        <v>1.2621468504538935E-2</v>
      </c>
      <c r="J14" s="944">
        <f t="shared" si="2"/>
        <v>9.5192305533120525E-4</v>
      </c>
      <c r="K14" s="944">
        <f t="shared" si="2"/>
        <v>2.3028813031033213E-2</v>
      </c>
      <c r="L14" s="944">
        <f t="shared" si="2"/>
        <v>2.9378026710950689E-2</v>
      </c>
      <c r="M14" s="944">
        <f t="shared" si="2"/>
        <v>3.4124335135575334E-2</v>
      </c>
      <c r="N14" s="944">
        <f t="shared" si="2"/>
        <v>3.9538213787325915E-2</v>
      </c>
      <c r="O14" s="944">
        <f t="shared" si="2"/>
        <v>4.1165152093425528E-2</v>
      </c>
      <c r="P14" s="944">
        <f t="shared" si="2"/>
        <v>4.6364460300687638E-2</v>
      </c>
      <c r="Q14" s="944">
        <f t="shared" si="2"/>
        <v>7.2410998904413937E-2</v>
      </c>
      <c r="R14" s="944">
        <f t="shared" si="2"/>
        <v>6.8511037124212137E-2</v>
      </c>
      <c r="S14" s="944">
        <f t="shared" si="2"/>
        <v>4.8282007704063767E-2</v>
      </c>
      <c r="T14" s="944">
        <f>T48</f>
        <v>4.093597497107293E-2</v>
      </c>
      <c r="U14" s="944">
        <f>U48+U15</f>
        <v>4.1330736826713066E-2</v>
      </c>
      <c r="V14" s="944">
        <f t="shared" ref="V14:AF14" si="3">V48+V15</f>
        <v>2.0643513935327373E-2</v>
      </c>
      <c r="W14" s="944">
        <f t="shared" si="3"/>
        <v>3.9726565698527727E-2</v>
      </c>
      <c r="X14" s="944">
        <f t="shared" si="3"/>
        <v>3.9575951716406488E-2</v>
      </c>
      <c r="Y14" s="944">
        <f t="shared" si="3"/>
        <v>4.1294742159051934E-2</v>
      </c>
      <c r="Z14" s="944">
        <f t="shared" si="3"/>
        <v>4.599385238761787E-2</v>
      </c>
      <c r="AA14" s="944">
        <f t="shared" si="3"/>
        <v>3.40058716937977E-2</v>
      </c>
      <c r="AB14" s="944">
        <f t="shared" si="3"/>
        <v>2.8438723088733627E-2</v>
      </c>
      <c r="AC14" s="944">
        <f t="shared" si="3"/>
        <v>2.4377163912874478E-2</v>
      </c>
      <c r="AD14" s="944">
        <f t="shared" si="3"/>
        <v>2.3708971853545924E-2</v>
      </c>
      <c r="AE14" s="944">
        <f t="shared" si="3"/>
        <v>2.3471980846518914E-2</v>
      </c>
      <c r="AF14" s="976">
        <f t="shared" si="3"/>
        <v>2.3530345294352939E-2</v>
      </c>
      <c r="AG14" s="976">
        <f t="shared" ref="AG14" si="4">AG48+AG15</f>
        <v>1.7936865457563567E-2</v>
      </c>
      <c r="AH14" s="976"/>
      <c r="AI14" s="976"/>
      <c r="AJ14" s="976"/>
    </row>
    <row r="15" spans="2:36" x14ac:dyDescent="0.35">
      <c r="B15" s="319" t="s">
        <v>1743</v>
      </c>
      <c r="C15" s="958"/>
      <c r="D15" s="959"/>
      <c r="E15" s="960"/>
      <c r="F15" s="960"/>
      <c r="G15" s="960"/>
      <c r="H15" s="960"/>
      <c r="I15" s="960"/>
      <c r="J15" s="960"/>
      <c r="K15" s="960"/>
      <c r="L15" s="960"/>
      <c r="M15" s="960"/>
      <c r="N15" s="960"/>
      <c r="O15" s="960"/>
      <c r="P15" s="960"/>
      <c r="Q15" s="960"/>
      <c r="R15" s="960"/>
      <c r="S15" s="960"/>
      <c r="T15" s="960"/>
      <c r="U15" s="960"/>
      <c r="V15" s="960"/>
      <c r="W15" s="960"/>
      <c r="X15" s="960"/>
      <c r="Y15" s="960"/>
      <c r="Z15" s="960"/>
      <c r="AA15" s="960"/>
      <c r="AB15" s="960"/>
      <c r="AC15" s="960"/>
      <c r="AD15" s="960"/>
      <c r="AE15" s="960"/>
      <c r="AF15" s="961"/>
      <c r="AG15" s="961"/>
      <c r="AH15" s="961"/>
      <c r="AI15" s="961"/>
      <c r="AJ15" s="961"/>
    </row>
    <row r="16" spans="2:36" x14ac:dyDescent="0.35">
      <c r="B16" s="748" t="s">
        <v>1712</v>
      </c>
      <c r="C16" s="957"/>
      <c r="D16" s="944">
        <f t="shared" ref="D16:T16" si="5">D49</f>
        <v>1.7606158659444704E-2</v>
      </c>
      <c r="E16" s="944">
        <f t="shared" si="5"/>
        <v>-1.7151418638734928E-2</v>
      </c>
      <c r="F16" s="944">
        <f t="shared" si="5"/>
        <v>2.7663740902592604E-2</v>
      </c>
      <c r="G16" s="944">
        <f t="shared" si="5"/>
        <v>1.5104723907904294E-2</v>
      </c>
      <c r="H16" s="944">
        <f t="shared" si="5"/>
        <v>2.4480958799653285E-2</v>
      </c>
      <c r="I16" s="944">
        <f t="shared" si="5"/>
        <v>5.2574904831641067E-2</v>
      </c>
      <c r="J16" s="944">
        <f t="shared" si="5"/>
        <v>-8.4277759405785302E-3</v>
      </c>
      <c r="K16" s="944">
        <f t="shared" si="5"/>
        <v>4.907445416510936E-2</v>
      </c>
      <c r="L16" s="944">
        <f t="shared" si="5"/>
        <v>5.0954864858178572E-2</v>
      </c>
      <c r="M16" s="944">
        <f t="shared" si="5"/>
        <v>9.2354867824980369E-2</v>
      </c>
      <c r="N16" s="944">
        <f t="shared" si="5"/>
        <v>7.5885854631137173E-2</v>
      </c>
      <c r="O16" s="944">
        <f t="shared" si="5"/>
        <v>6.4839018796936099E-2</v>
      </c>
      <c r="P16" s="944">
        <f t="shared" si="5"/>
        <v>7.8606616627874493E-2</v>
      </c>
      <c r="Q16" s="944">
        <f t="shared" si="5"/>
        <v>9.0996244334734522E-2</v>
      </c>
      <c r="R16" s="944">
        <f t="shared" si="5"/>
        <v>0.13763433325959551</v>
      </c>
      <c r="S16" s="944">
        <f t="shared" si="5"/>
        <v>1.6839709416048398E-2</v>
      </c>
      <c r="T16" s="944">
        <f t="shared" si="5"/>
        <v>2.7352303497218955E-2</v>
      </c>
      <c r="U16" s="945">
        <f>U49+U17</f>
        <v>-6.3056175150344451E-5</v>
      </c>
      <c r="V16" s="944">
        <f t="shared" ref="V16:AF16" si="6">V49+V17</f>
        <v>-2.8662130748749126E-2</v>
      </c>
      <c r="W16" s="944">
        <f t="shared" si="6"/>
        <v>5.7410273514926002E-2</v>
      </c>
      <c r="X16" s="944">
        <f t="shared" si="6"/>
        <v>6.4988621204677965E-3</v>
      </c>
      <c r="Y16" s="944">
        <f t="shared" si="6"/>
        <v>3.8310837184705404E-2</v>
      </c>
      <c r="Z16" s="944">
        <f t="shared" si="6"/>
        <v>5.3269034245715038E-2</v>
      </c>
      <c r="AA16" s="944">
        <f t="shared" si="6"/>
        <v>3.1224337980433163E-2</v>
      </c>
      <c r="AB16" s="944">
        <f t="shared" si="6"/>
        <v>2.6533565330379202E-2</v>
      </c>
      <c r="AC16" s="944">
        <f t="shared" si="6"/>
        <v>2.5821649071183117E-2</v>
      </c>
      <c r="AD16" s="944">
        <f t="shared" si="6"/>
        <v>2.5493967451795996E-2</v>
      </c>
      <c r="AE16" s="944">
        <f t="shared" si="6"/>
        <v>2.5095343044312823E-2</v>
      </c>
      <c r="AF16" s="976">
        <f t="shared" si="6"/>
        <v>2.4877364391311607E-2</v>
      </c>
      <c r="AG16" s="976">
        <f t="shared" ref="AG16" si="7">AG49+AG17</f>
        <v>2.492676444114772E-2</v>
      </c>
      <c r="AH16" s="976"/>
      <c r="AI16" s="976"/>
      <c r="AJ16" s="976"/>
    </row>
    <row r="17" spans="2:36" x14ac:dyDescent="0.35">
      <c r="B17" s="319" t="s">
        <v>1744</v>
      </c>
      <c r="C17" s="958"/>
      <c r="D17" s="959"/>
      <c r="E17" s="960"/>
      <c r="F17" s="960"/>
      <c r="G17" s="960"/>
      <c r="H17" s="960"/>
      <c r="I17" s="960"/>
      <c r="J17" s="960"/>
      <c r="K17" s="960"/>
      <c r="L17" s="960"/>
      <c r="M17" s="960"/>
      <c r="N17" s="960"/>
      <c r="O17" s="960"/>
      <c r="P17" s="960"/>
      <c r="Q17" s="960"/>
      <c r="R17" s="960"/>
      <c r="S17" s="960"/>
      <c r="T17" s="960"/>
      <c r="U17" s="960"/>
      <c r="V17" s="960"/>
      <c r="W17" s="960"/>
      <c r="X17" s="960"/>
      <c r="Y17" s="960"/>
      <c r="Z17" s="960"/>
      <c r="AA17" s="960"/>
      <c r="AB17" s="960"/>
      <c r="AC17" s="960"/>
      <c r="AD17" s="960"/>
      <c r="AE17" s="960"/>
      <c r="AF17" s="961"/>
      <c r="AG17" s="961"/>
      <c r="AH17" s="961"/>
      <c r="AI17" s="961"/>
      <c r="AJ17" s="961"/>
    </row>
    <row r="18" spans="2:36" x14ac:dyDescent="0.35">
      <c r="B18" s="748" t="s">
        <v>1713</v>
      </c>
      <c r="C18" s="957"/>
      <c r="D18" s="944">
        <f t="shared" ref="D18:T18" si="8">D51</f>
        <v>1.2331231439726587E-2</v>
      </c>
      <c r="E18" s="944">
        <f t="shared" si="8"/>
        <v>-2.4548871147293649E-2</v>
      </c>
      <c r="F18" s="944">
        <f t="shared" si="8"/>
        <v>2.4115177005201271E-2</v>
      </c>
      <c r="G18" s="944">
        <f t="shared" si="8"/>
        <v>1.4753974603383124E-2</v>
      </c>
      <c r="H18" s="944">
        <f t="shared" si="8"/>
        <v>2.894174832740215E-2</v>
      </c>
      <c r="I18" s="944">
        <f t="shared" si="8"/>
        <v>6.2522667611889737E-2</v>
      </c>
      <c r="J18" s="944">
        <f t="shared" si="8"/>
        <v>-7.4240991087901609E-3</v>
      </c>
      <c r="K18" s="944">
        <f t="shared" si="8"/>
        <v>5.0929448665746779E-2</v>
      </c>
      <c r="L18" s="944">
        <f t="shared" si="8"/>
        <v>5.7456046457014187E-2</v>
      </c>
      <c r="M18" s="944">
        <f t="shared" si="8"/>
        <v>9.8185028225247883E-2</v>
      </c>
      <c r="N18" s="944">
        <f t="shared" si="8"/>
        <v>7.1275335420445396E-2</v>
      </c>
      <c r="O18" s="944">
        <f t="shared" si="8"/>
        <v>6.0639425152128945E-2</v>
      </c>
      <c r="P18" s="944">
        <f t="shared" si="8"/>
        <v>7.3083340350689641E-2</v>
      </c>
      <c r="Q18" s="944">
        <f t="shared" si="8"/>
        <v>8.7536929602414215E-2</v>
      </c>
      <c r="R18" s="944">
        <f t="shared" si="8"/>
        <v>0.14059958977185572</v>
      </c>
      <c r="S18" s="944">
        <f t="shared" si="8"/>
        <v>5.1674533625485353E-3</v>
      </c>
      <c r="T18" s="944">
        <f t="shared" si="8"/>
        <v>2.4708021569921135E-2</v>
      </c>
      <c r="U18" s="945">
        <f>U51+U19</f>
        <v>-1.0701402735953436E-2</v>
      </c>
      <c r="V18" s="944">
        <f t="shared" ref="V18:AF18" si="9">V51+V19</f>
        <v>-3.5605877057299118E-2</v>
      </c>
      <c r="W18" s="944">
        <f t="shared" si="9"/>
        <v>6.8186173678186135E-2</v>
      </c>
      <c r="X18" s="944">
        <f t="shared" si="9"/>
        <v>5.6734763882242412E-3</v>
      </c>
      <c r="Y18" s="944">
        <f t="shared" si="9"/>
        <v>4.1686540954535056E-2</v>
      </c>
      <c r="Z18" s="944">
        <f t="shared" si="9"/>
        <v>5.3269034245715038E-2</v>
      </c>
      <c r="AA18" s="944">
        <f t="shared" si="9"/>
        <v>3.1224337980433163E-2</v>
      </c>
      <c r="AB18" s="944">
        <f t="shared" si="9"/>
        <v>2.6533565330379202E-2</v>
      </c>
      <c r="AC18" s="944">
        <f t="shared" si="9"/>
        <v>2.5821649071183117E-2</v>
      </c>
      <c r="AD18" s="944">
        <f t="shared" si="9"/>
        <v>2.5493967451795996E-2</v>
      </c>
      <c r="AE18" s="944">
        <f t="shared" si="9"/>
        <v>2.5095343044312823E-2</v>
      </c>
      <c r="AF18" s="976">
        <f t="shared" si="9"/>
        <v>2.4877364391311607E-2</v>
      </c>
      <c r="AG18" s="976">
        <f t="shared" ref="AG18" si="10">AG51+AG19</f>
        <v>2.492676444114772E-2</v>
      </c>
      <c r="AH18" s="976"/>
      <c r="AI18" s="976"/>
      <c r="AJ18" s="976"/>
    </row>
    <row r="19" spans="2:36" x14ac:dyDescent="0.35">
      <c r="B19" s="319" t="s">
        <v>1745</v>
      </c>
      <c r="C19" s="958"/>
      <c r="D19" s="959"/>
      <c r="E19" s="960"/>
      <c r="F19" s="960"/>
      <c r="G19" s="960"/>
      <c r="H19" s="960"/>
      <c r="I19" s="960"/>
      <c r="J19" s="960"/>
      <c r="K19" s="960"/>
      <c r="L19" s="960"/>
      <c r="M19" s="960"/>
      <c r="N19" s="960"/>
      <c r="O19" s="960"/>
      <c r="P19" s="960"/>
      <c r="Q19" s="960"/>
      <c r="R19" s="960"/>
      <c r="S19" s="960"/>
      <c r="T19" s="960"/>
      <c r="U19" s="960"/>
      <c r="V19" s="960"/>
      <c r="W19" s="960"/>
      <c r="X19" s="960"/>
      <c r="Y19" s="960"/>
      <c r="Z19" s="960"/>
      <c r="AA19" s="960"/>
      <c r="AB19" s="960"/>
      <c r="AC19" s="960"/>
      <c r="AD19" s="960"/>
      <c r="AE19" s="960"/>
      <c r="AF19" s="961"/>
      <c r="AG19" s="961"/>
      <c r="AH19" s="961"/>
      <c r="AI19" s="961"/>
      <c r="AJ19" s="961"/>
    </row>
    <row r="20" spans="2:36" x14ac:dyDescent="0.35">
      <c r="B20" s="748" t="s">
        <v>1714</v>
      </c>
      <c r="C20" s="957"/>
      <c r="D20" s="944">
        <f t="shared" ref="D20:T20" si="11">D52</f>
        <v>4.0962242441666019E-2</v>
      </c>
      <c r="E20" s="944">
        <f t="shared" si="11"/>
        <v>1.5719050974356552E-2</v>
      </c>
      <c r="F20" s="944">
        <f t="shared" si="11"/>
        <v>4.3088224053848823E-2</v>
      </c>
      <c r="G20" s="944">
        <f t="shared" si="11"/>
        <v>1.6823112159823461E-2</v>
      </c>
      <c r="H20" s="944">
        <f t="shared" si="11"/>
        <v>5.3982501773912617E-3</v>
      </c>
      <c r="I20" s="944">
        <f t="shared" si="11"/>
        <v>9.7871671399678561E-3</v>
      </c>
      <c r="J20" s="944">
        <f t="shared" si="11"/>
        <v>-1.264897125361697E-2</v>
      </c>
      <c r="K20" s="944">
        <f t="shared" si="11"/>
        <v>4.0611329344794056E-2</v>
      </c>
      <c r="L20" s="944">
        <f t="shared" si="11"/>
        <v>2.1607225299700827E-2</v>
      </c>
      <c r="M20" s="944">
        <f t="shared" si="11"/>
        <v>6.5587978667649205E-2</v>
      </c>
      <c r="N20" s="944">
        <f t="shared" si="11"/>
        <v>9.6562691223789132E-2</v>
      </c>
      <c r="O20" s="944">
        <f t="shared" si="11"/>
        <v>8.4807929469169041E-2</v>
      </c>
      <c r="P20" s="944">
        <f t="shared" si="11"/>
        <v>0.1057724485451752</v>
      </c>
      <c r="Q20" s="944">
        <f t="shared" si="11"/>
        <v>0.10808480173082224</v>
      </c>
      <c r="R20" s="944">
        <f t="shared" si="11"/>
        <v>0.12258858608776269</v>
      </c>
      <c r="S20" s="944">
        <f t="shared" si="11"/>
        <v>7.7728691252704651E-2</v>
      </c>
      <c r="T20" s="944">
        <f t="shared" si="11"/>
        <v>4.0349668009795225E-2</v>
      </c>
      <c r="U20" s="944">
        <f>U52+U21</f>
        <v>5.1960248713186719E-2</v>
      </c>
      <c r="V20" s="944">
        <f t="shared" ref="V20:AF20" si="12">V52+V21</f>
        <v>3.571644947314212E-3</v>
      </c>
      <c r="W20" s="944">
        <f t="shared" si="12"/>
        <v>1.126058576943012E-2</v>
      </c>
      <c r="X20" s="944">
        <f t="shared" si="12"/>
        <v>1.0024676064772642E-2</v>
      </c>
      <c r="Y20" s="944">
        <f t="shared" si="12"/>
        <v>2.4361298023588995E-2</v>
      </c>
      <c r="Z20" s="944">
        <f t="shared" si="12"/>
        <v>5.3269034245715038E-2</v>
      </c>
      <c r="AA20" s="944">
        <f t="shared" si="12"/>
        <v>3.1224337980433163E-2</v>
      </c>
      <c r="AB20" s="944">
        <f t="shared" si="12"/>
        <v>2.6533565330379202E-2</v>
      </c>
      <c r="AC20" s="944">
        <f t="shared" si="12"/>
        <v>2.5821649071183117E-2</v>
      </c>
      <c r="AD20" s="944">
        <f t="shared" si="12"/>
        <v>2.5493967451795996E-2</v>
      </c>
      <c r="AE20" s="944">
        <f t="shared" si="12"/>
        <v>2.5095343044312823E-2</v>
      </c>
      <c r="AF20" s="976">
        <f t="shared" si="12"/>
        <v>2.4877364391311607E-2</v>
      </c>
      <c r="AG20" s="976">
        <f t="shared" ref="AG20" si="13">AG52+AG21</f>
        <v>2.492676444114772E-2</v>
      </c>
      <c r="AH20" s="976"/>
      <c r="AI20" s="976"/>
      <c r="AJ20" s="976"/>
    </row>
    <row r="21" spans="2:36" x14ac:dyDescent="0.35">
      <c r="B21" s="319" t="s">
        <v>1746</v>
      </c>
      <c r="C21" s="958"/>
      <c r="D21" s="924"/>
      <c r="E21" s="924"/>
      <c r="F21" s="924"/>
      <c r="G21" s="924"/>
      <c r="H21" s="924"/>
      <c r="I21" s="924"/>
      <c r="J21" s="924"/>
      <c r="K21" s="924"/>
      <c r="L21" s="924"/>
      <c r="M21" s="924"/>
      <c r="N21" s="924"/>
      <c r="O21" s="924"/>
      <c r="P21" s="924"/>
      <c r="Q21" s="924"/>
      <c r="R21" s="924"/>
      <c r="S21" s="924"/>
      <c r="T21" s="924"/>
      <c r="U21" s="924"/>
      <c r="V21" s="924"/>
      <c r="W21" s="924"/>
      <c r="X21" s="924"/>
      <c r="Y21" s="924"/>
      <c r="Z21" s="924"/>
      <c r="AA21" s="924"/>
      <c r="AB21" s="924"/>
      <c r="AC21" s="924"/>
      <c r="AD21" s="924"/>
      <c r="AE21" s="924"/>
      <c r="AF21" s="925"/>
    </row>
    <row r="22" spans="2:36" x14ac:dyDescent="0.35">
      <c r="B22" s="1395" t="s">
        <v>1735</v>
      </c>
      <c r="C22" s="1396"/>
      <c r="D22" s="1396"/>
      <c r="E22" s="1396"/>
      <c r="F22" s="1396"/>
      <c r="G22" s="1396"/>
      <c r="H22" s="1396"/>
      <c r="I22" s="1396"/>
      <c r="J22" s="1396"/>
      <c r="K22" s="1396"/>
      <c r="L22" s="1396"/>
      <c r="M22" s="1396"/>
      <c r="N22" s="1396"/>
      <c r="O22" s="1396"/>
      <c r="P22" s="1396"/>
      <c r="Q22" s="1396"/>
      <c r="R22" s="1396"/>
      <c r="S22" s="1396"/>
      <c r="T22" s="1396"/>
      <c r="U22" s="1396"/>
      <c r="V22" s="1396"/>
      <c r="W22" s="1396"/>
      <c r="X22" s="1396"/>
      <c r="Y22" s="1396"/>
      <c r="Z22" s="1396"/>
      <c r="AA22" s="1396"/>
      <c r="AB22" s="1396"/>
      <c r="AC22" s="1396"/>
      <c r="AD22" s="1396"/>
      <c r="AE22" s="1396"/>
      <c r="AF22" s="1396"/>
      <c r="AG22" s="1396"/>
      <c r="AH22" s="1396"/>
      <c r="AI22" s="1396"/>
      <c r="AJ22" s="1396"/>
    </row>
    <row r="23" spans="2:36" x14ac:dyDescent="0.35">
      <c r="B23" s="943" t="s">
        <v>1710</v>
      </c>
      <c r="C23" s="952"/>
      <c r="D23" s="941">
        <f t="shared" ref="D23:AF23" si="14">(D12+1)^0.25-1</f>
        <v>3.7944725878693575E-3</v>
      </c>
      <c r="E23" s="941">
        <f t="shared" si="14"/>
        <v>2.2895111163072634E-3</v>
      </c>
      <c r="F23" s="941">
        <f t="shared" si="14"/>
        <v>5.2975883822428127E-3</v>
      </c>
      <c r="G23" s="941">
        <f t="shared" si="14"/>
        <v>2.4366189012010597E-3</v>
      </c>
      <c r="H23" s="941">
        <f t="shared" si="14"/>
        <v>3.9161216891407946E-3</v>
      </c>
      <c r="I23" s="941">
        <f t="shared" si="14"/>
        <v>3.2282859338970127E-3</v>
      </c>
      <c r="J23" s="941">
        <f t="shared" si="14"/>
        <v>-4.347992644805343E-3</v>
      </c>
      <c r="K23" s="941">
        <f t="shared" si="14"/>
        <v>8.2433966256900693E-3</v>
      </c>
      <c r="L23" s="941">
        <f t="shared" si="14"/>
        <v>4.9990936757648985E-3</v>
      </c>
      <c r="M23" s="941">
        <f t="shared" si="14"/>
        <v>1.1723607643602252E-2</v>
      </c>
      <c r="N23" s="941">
        <f t="shared" si="14"/>
        <v>1.5293963106832509E-2</v>
      </c>
      <c r="O23" s="941">
        <f t="shared" si="14"/>
        <v>1.3834466952535873E-2</v>
      </c>
      <c r="P23" s="941">
        <f t="shared" si="14"/>
        <v>1.6489676860671709E-2</v>
      </c>
      <c r="Q23" s="941">
        <f t="shared" si="14"/>
        <v>1.8616496583388598E-2</v>
      </c>
      <c r="R23" s="941">
        <f t="shared" si="14"/>
        <v>1.7492737036710837E-2</v>
      </c>
      <c r="S23" s="942">
        <f t="shared" si="14"/>
        <v>1.1490175380914902E-2</v>
      </c>
      <c r="T23" s="941">
        <f t="shared" si="14"/>
        <v>1.0204867199863132E-2</v>
      </c>
      <c r="U23" s="941">
        <f t="shared" si="14"/>
        <v>1.0254195668004451E-2</v>
      </c>
      <c r="V23" s="941">
        <f t="shared" si="14"/>
        <v>6.1604740631469035E-3</v>
      </c>
      <c r="W23" s="941">
        <f t="shared" si="14"/>
        <v>6.4143147512578658E-3</v>
      </c>
      <c r="X23" s="941">
        <f t="shared" si="14"/>
        <v>4.4448491068915796E-3</v>
      </c>
      <c r="Y23" s="941">
        <f t="shared" si="14"/>
        <v>8.4053695478405466E-3</v>
      </c>
      <c r="Z23" s="941">
        <f t="shared" si="14"/>
        <v>1.100082528555002E-2</v>
      </c>
      <c r="AA23" s="941">
        <f t="shared" si="14"/>
        <v>7.166259764898264E-3</v>
      </c>
      <c r="AB23" s="941">
        <f t="shared" si="14"/>
        <v>5.8204452309313925E-3</v>
      </c>
      <c r="AC23" s="941">
        <f t="shared" si="14"/>
        <v>5.4050287894606974E-3</v>
      </c>
      <c r="AD23" s="941">
        <f t="shared" si="14"/>
        <v>5.3510824454261474E-3</v>
      </c>
      <c r="AE23" s="941">
        <f t="shared" si="14"/>
        <v>5.1374641193888682E-3</v>
      </c>
      <c r="AF23" s="942">
        <f t="shared" si="14"/>
        <v>4.9902256196157069E-3</v>
      </c>
      <c r="AG23" s="942">
        <f t="shared" ref="AG23" si="15">(AG12+1)^0.25-1</f>
        <v>4.9039461559314823E-3</v>
      </c>
    </row>
    <row r="24" spans="2:36" x14ac:dyDescent="0.35">
      <c r="B24" s="920" t="s">
        <v>1711</v>
      </c>
      <c r="C24" s="952"/>
      <c r="D24" s="941">
        <f t="shared" ref="D24:AF24" si="16">(D14+1)^0.25-1</f>
        <v>7.2893513350869021E-3</v>
      </c>
      <c r="E24" s="941">
        <f t="shared" si="16"/>
        <v>1.0387558056620838E-2</v>
      </c>
      <c r="F24" s="941">
        <f t="shared" si="16"/>
        <v>-5.979629205767889E-3</v>
      </c>
      <c r="G24" s="941">
        <f t="shared" si="16"/>
        <v>1.6118354776502031E-3</v>
      </c>
      <c r="H24" s="941">
        <f t="shared" si="16"/>
        <v>3.4675325919326649E-3</v>
      </c>
      <c r="I24" s="941">
        <f t="shared" si="16"/>
        <v>3.1405416241085948E-3</v>
      </c>
      <c r="J24" s="941">
        <f t="shared" si="16"/>
        <v>2.3789585870903629E-4</v>
      </c>
      <c r="K24" s="941">
        <f t="shared" si="16"/>
        <v>5.7081426655123391E-3</v>
      </c>
      <c r="L24" s="941">
        <f t="shared" si="16"/>
        <v>7.2649532224040581E-3</v>
      </c>
      <c r="M24" s="941">
        <f t="shared" si="16"/>
        <v>8.4240380913027657E-3</v>
      </c>
      <c r="N24" s="941">
        <f t="shared" si="16"/>
        <v>9.7412877870699521E-3</v>
      </c>
      <c r="O24" s="941">
        <f t="shared" si="16"/>
        <v>1.013613222164822E-2</v>
      </c>
      <c r="P24" s="941">
        <f t="shared" si="16"/>
        <v>1.1394866831624384E-2</v>
      </c>
      <c r="Q24" s="941">
        <f t="shared" si="16"/>
        <v>1.763096839425482E-2</v>
      </c>
      <c r="R24" s="941">
        <f t="shared" si="16"/>
        <v>1.6704517227919435E-2</v>
      </c>
      <c r="S24" s="942">
        <f t="shared" si="16"/>
        <v>1.1857914438035966E-2</v>
      </c>
      <c r="T24" s="941">
        <f t="shared" si="16"/>
        <v>1.0080540848179664E-2</v>
      </c>
      <c r="U24" s="941">
        <f t="shared" si="16"/>
        <v>1.0176292312289226E-2</v>
      </c>
      <c r="V24" s="941">
        <f t="shared" si="16"/>
        <v>5.1214008637083808E-3</v>
      </c>
      <c r="W24" s="941">
        <f t="shared" si="16"/>
        <v>9.7870229456920033E-3</v>
      </c>
      <c r="X24" s="941">
        <f t="shared" si="16"/>
        <v>9.7504517181945527E-3</v>
      </c>
      <c r="Y24" s="941">
        <f t="shared" si="16"/>
        <v>1.0167562753570669E-2</v>
      </c>
      <c r="Z24" s="941">
        <f t="shared" si="16"/>
        <v>1.1305299393512325E-2</v>
      </c>
      <c r="AA24" s="941">
        <f t="shared" si="16"/>
        <v>8.3951570103690809E-3</v>
      </c>
      <c r="AB24" s="941">
        <f t="shared" si="16"/>
        <v>7.0350931713105691E-3</v>
      </c>
      <c r="AC24" s="941">
        <f t="shared" si="16"/>
        <v>6.0393595708148062E-3</v>
      </c>
      <c r="AD24" s="941">
        <f t="shared" si="16"/>
        <v>5.875261807140264E-3</v>
      </c>
      <c r="AE24" s="941">
        <f t="shared" si="16"/>
        <v>5.8170411371414321E-3</v>
      </c>
      <c r="AF24" s="942">
        <f t="shared" si="16"/>
        <v>5.8313802450995489E-3</v>
      </c>
      <c r="AG24" s="942">
        <f t="shared" ref="AG24" si="17">(AG14+1)^0.25-1</f>
        <v>4.454365822902373E-3</v>
      </c>
    </row>
    <row r="25" spans="2:36" x14ac:dyDescent="0.35">
      <c r="B25" s="920" t="s">
        <v>1712</v>
      </c>
      <c r="C25" s="952"/>
      <c r="D25" s="941">
        <f t="shared" ref="D25:AF25" si="18">(D16+1)^0.25-1</f>
        <v>4.372774229274734E-3</v>
      </c>
      <c r="E25" s="941">
        <f t="shared" si="18"/>
        <v>-4.3157124252592993E-3</v>
      </c>
      <c r="F25" s="941">
        <f t="shared" si="18"/>
        <v>6.8453261793151032E-3</v>
      </c>
      <c r="G25" s="941">
        <f t="shared" si="18"/>
        <v>3.754978190783298E-3</v>
      </c>
      <c r="H25" s="941">
        <f t="shared" si="18"/>
        <v>6.0648428053204917E-3</v>
      </c>
      <c r="I25" s="941">
        <f t="shared" si="18"/>
        <v>1.2892260887528373E-2</v>
      </c>
      <c r="J25" s="941">
        <f t="shared" si="18"/>
        <v>-2.1136357315681975E-3</v>
      </c>
      <c r="K25" s="941">
        <f t="shared" si="18"/>
        <v>1.2049088189663992E-2</v>
      </c>
      <c r="L25" s="941">
        <f t="shared" si="18"/>
        <v>1.2502294841197026E-2</v>
      </c>
      <c r="M25" s="941">
        <f t="shared" si="18"/>
        <v>2.2329604177621309E-2</v>
      </c>
      <c r="N25" s="941">
        <f t="shared" si="18"/>
        <v>1.8454307630913824E-2</v>
      </c>
      <c r="O25" s="941">
        <f t="shared" si="18"/>
        <v>1.5829893944934836E-2</v>
      </c>
      <c r="P25" s="941">
        <f t="shared" si="18"/>
        <v>1.9097579373242857E-2</v>
      </c>
      <c r="Q25" s="941">
        <f t="shared" si="18"/>
        <v>2.2011573528917028E-2</v>
      </c>
      <c r="R25" s="941">
        <f t="shared" si="18"/>
        <v>3.2763005209490714E-2</v>
      </c>
      <c r="S25" s="942">
        <f t="shared" si="18"/>
        <v>4.1836002868755884E-3</v>
      </c>
      <c r="T25" s="941">
        <f t="shared" si="18"/>
        <v>6.7690354322897939E-3</v>
      </c>
      <c r="U25" s="941">
        <f t="shared" si="18"/>
        <v>-1.5764416558927685E-5</v>
      </c>
      <c r="V25" s="941">
        <f t="shared" si="18"/>
        <v>-7.2438636041176618E-3</v>
      </c>
      <c r="W25" s="941">
        <f t="shared" si="18"/>
        <v>1.4053530453285834E-2</v>
      </c>
      <c r="X25" s="941">
        <f t="shared" si="18"/>
        <v>1.6207709232129996E-3</v>
      </c>
      <c r="Y25" s="941">
        <f t="shared" si="18"/>
        <v>9.4431068446889643E-3</v>
      </c>
      <c r="Z25" s="941">
        <f t="shared" si="18"/>
        <v>1.3059209697085183E-2</v>
      </c>
      <c r="AA25" s="941">
        <f t="shared" si="18"/>
        <v>7.7163119627912113E-3</v>
      </c>
      <c r="AB25" s="941">
        <f t="shared" si="18"/>
        <v>6.5683918252987805E-3</v>
      </c>
      <c r="AC25" s="941">
        <f t="shared" si="18"/>
        <v>6.3938288917109176E-3</v>
      </c>
      <c r="AD25" s="941">
        <f t="shared" si="18"/>
        <v>6.3134503311721435E-3</v>
      </c>
      <c r="AE25" s="941">
        <f t="shared" si="18"/>
        <v>6.2156439075380376E-3</v>
      </c>
      <c r="AF25" s="942">
        <f t="shared" si="18"/>
        <v>6.1621486341001397E-3</v>
      </c>
      <c r="AG25" s="942">
        <f t="shared" ref="AG25" si="19">(AG16+1)^0.25-1</f>
        <v>6.1742729046745382E-3</v>
      </c>
    </row>
    <row r="26" spans="2:36" x14ac:dyDescent="0.35">
      <c r="B26" s="920" t="s">
        <v>1713</v>
      </c>
      <c r="C26" s="952"/>
      <c r="D26" s="941">
        <f t="shared" ref="D26:AF26" si="20">(D18+1)^0.25-1</f>
        <v>3.0686539854383188E-3</v>
      </c>
      <c r="E26" s="941">
        <f t="shared" si="20"/>
        <v>-6.1945389248865279E-3</v>
      </c>
      <c r="F26" s="941">
        <f t="shared" si="20"/>
        <v>5.9750291581421866E-3</v>
      </c>
      <c r="G26" s="941">
        <f t="shared" si="20"/>
        <v>3.6682600473261218E-3</v>
      </c>
      <c r="H26" s="941">
        <f t="shared" si="20"/>
        <v>7.1582096900950631E-3</v>
      </c>
      <c r="I26" s="941">
        <f t="shared" si="20"/>
        <v>1.5277007398772247E-2</v>
      </c>
      <c r="J26" s="941">
        <f t="shared" si="20"/>
        <v>-1.8612145119172308E-3</v>
      </c>
      <c r="K26" s="941">
        <f t="shared" si="20"/>
        <v>1.2496173220895468E-2</v>
      </c>
      <c r="L26" s="941">
        <f t="shared" si="20"/>
        <v>1.4064504306395387E-2</v>
      </c>
      <c r="M26" s="941">
        <f t="shared" si="20"/>
        <v>2.3690987124463492E-2</v>
      </c>
      <c r="N26" s="941">
        <f t="shared" si="20"/>
        <v>1.7361448228990994E-2</v>
      </c>
      <c r="O26" s="941">
        <f t="shared" si="20"/>
        <v>1.48268323153804E-2</v>
      </c>
      <c r="P26" s="941">
        <f t="shared" si="20"/>
        <v>1.7790430270233415E-2</v>
      </c>
      <c r="Q26" s="941">
        <f t="shared" si="20"/>
        <v>2.1200463655148161E-2</v>
      </c>
      <c r="R26" s="941">
        <f t="shared" si="20"/>
        <v>3.3435325470068555E-2</v>
      </c>
      <c r="S26" s="942">
        <f t="shared" si="20"/>
        <v>1.2893674936129695E-3</v>
      </c>
      <c r="T26" s="941">
        <f t="shared" si="20"/>
        <v>6.1205834426294459E-3</v>
      </c>
      <c r="U26" s="941">
        <f t="shared" si="20"/>
        <v>-2.6861544538810955E-3</v>
      </c>
      <c r="V26" s="941">
        <f t="shared" si="20"/>
        <v>-9.0228542004990864E-3</v>
      </c>
      <c r="W26" s="941">
        <f t="shared" si="20"/>
        <v>1.6627230287139527E-2</v>
      </c>
      <c r="X26" s="941">
        <f t="shared" si="20"/>
        <v>1.4153613889411609E-3</v>
      </c>
      <c r="Y26" s="941">
        <f t="shared" si="20"/>
        <v>1.0262571060648984E-2</v>
      </c>
      <c r="Z26" s="941">
        <f t="shared" si="20"/>
        <v>1.3059209697085183E-2</v>
      </c>
      <c r="AA26" s="941">
        <f t="shared" si="20"/>
        <v>7.7163119627912113E-3</v>
      </c>
      <c r="AB26" s="941">
        <f t="shared" si="20"/>
        <v>6.5683918252987805E-3</v>
      </c>
      <c r="AC26" s="941">
        <f t="shared" si="20"/>
        <v>6.3938288917109176E-3</v>
      </c>
      <c r="AD26" s="941">
        <f t="shared" si="20"/>
        <v>6.3134503311721435E-3</v>
      </c>
      <c r="AE26" s="941">
        <f t="shared" si="20"/>
        <v>6.2156439075380376E-3</v>
      </c>
      <c r="AF26" s="942">
        <f t="shared" si="20"/>
        <v>6.1621486341001397E-3</v>
      </c>
      <c r="AG26" s="942">
        <f t="shared" ref="AG26" si="21">(AG18+1)^0.25-1</f>
        <v>6.1742729046745382E-3</v>
      </c>
    </row>
    <row r="27" spans="2:36" x14ac:dyDescent="0.35">
      <c r="B27" s="921" t="s">
        <v>1714</v>
      </c>
      <c r="C27" s="953"/>
      <c r="D27" s="954">
        <f t="shared" ref="D27:AF27" si="22">(D20+1)^0.25-1</f>
        <v>1.0086913000375342E-2</v>
      </c>
      <c r="E27" s="954">
        <f t="shared" si="22"/>
        <v>3.9068083281719179E-3</v>
      </c>
      <c r="F27" s="954">
        <f t="shared" si="22"/>
        <v>1.0602249537278619E-2</v>
      </c>
      <c r="G27" s="954">
        <f t="shared" si="22"/>
        <v>4.1795025922308771E-3</v>
      </c>
      <c r="H27" s="954">
        <f t="shared" si="22"/>
        <v>1.3468391369007016E-3</v>
      </c>
      <c r="I27" s="954">
        <f t="shared" si="22"/>
        <v>2.4378625269705356E-3</v>
      </c>
      <c r="J27" s="954">
        <f t="shared" si="22"/>
        <v>-3.1773541305604169E-3</v>
      </c>
      <c r="K27" s="954">
        <f t="shared" si="22"/>
        <v>1.0001776016302033E-2</v>
      </c>
      <c r="L27" s="954">
        <f t="shared" si="22"/>
        <v>5.3585806702389771E-3</v>
      </c>
      <c r="M27" s="954">
        <f t="shared" si="22"/>
        <v>1.6008469115345703E-2</v>
      </c>
      <c r="N27" s="954">
        <f t="shared" si="22"/>
        <v>2.3312705560438074E-2</v>
      </c>
      <c r="O27" s="954">
        <f t="shared" si="22"/>
        <v>2.0559225088983668E-2</v>
      </c>
      <c r="P27" s="954">
        <f t="shared" si="22"/>
        <v>2.5454608550805169E-2</v>
      </c>
      <c r="Q27" s="954">
        <f t="shared" si="22"/>
        <v>2.5990287483713903E-2</v>
      </c>
      <c r="R27" s="954">
        <f t="shared" si="22"/>
        <v>2.9331244330832007E-2</v>
      </c>
      <c r="S27" s="955">
        <f t="shared" si="22"/>
        <v>1.8890143959239714E-2</v>
      </c>
      <c r="T27" s="954">
        <f t="shared" si="22"/>
        <v>9.9382788850888026E-3</v>
      </c>
      <c r="U27" s="954">
        <f t="shared" si="22"/>
        <v>1.2744357682815677E-2</v>
      </c>
      <c r="V27" s="954">
        <f t="shared" si="22"/>
        <v>8.917177866949455E-4</v>
      </c>
      <c r="W27" s="954">
        <f t="shared" si="22"/>
        <v>2.8033363542803169E-3</v>
      </c>
      <c r="X27" s="954">
        <f t="shared" si="22"/>
        <v>2.4968024079590201E-3</v>
      </c>
      <c r="Y27" s="954">
        <f t="shared" si="22"/>
        <v>6.035464081348918E-3</v>
      </c>
      <c r="Z27" s="954">
        <f t="shared" si="22"/>
        <v>1.3059209697085183E-2</v>
      </c>
      <c r="AA27" s="954">
        <f t="shared" si="22"/>
        <v>7.7163119627912113E-3</v>
      </c>
      <c r="AB27" s="954">
        <f t="shared" si="22"/>
        <v>6.5683918252987805E-3</v>
      </c>
      <c r="AC27" s="954">
        <f t="shared" si="22"/>
        <v>6.3938288917109176E-3</v>
      </c>
      <c r="AD27" s="954">
        <f t="shared" si="22"/>
        <v>6.3134503311721435E-3</v>
      </c>
      <c r="AE27" s="954">
        <f t="shared" si="22"/>
        <v>6.2156439075380376E-3</v>
      </c>
      <c r="AF27" s="955">
        <f t="shared" si="22"/>
        <v>6.1621486341001397E-3</v>
      </c>
      <c r="AG27" s="955">
        <f t="shared" ref="AG27" si="23">(AG20+1)^0.25-1</f>
        <v>6.1742729046745382E-3</v>
      </c>
    </row>
    <row r="28" spans="2:36" x14ac:dyDescent="0.35">
      <c r="B28" s="56"/>
      <c r="C28" s="946"/>
      <c r="D28" s="944"/>
      <c r="E28" s="944"/>
      <c r="F28" s="944"/>
      <c r="G28" s="944"/>
      <c r="H28" s="944"/>
      <c r="I28" s="944"/>
      <c r="J28" s="944"/>
      <c r="K28" s="944"/>
      <c r="L28" s="944"/>
      <c r="M28" s="944"/>
      <c r="N28" s="944"/>
      <c r="O28" s="944"/>
      <c r="P28" s="944"/>
      <c r="Q28" s="944"/>
      <c r="R28" s="944"/>
      <c r="S28" s="944"/>
      <c r="T28" s="944"/>
      <c r="U28" s="944"/>
      <c r="V28" s="944"/>
      <c r="W28" s="944"/>
      <c r="X28" s="944"/>
      <c r="Y28" s="944"/>
      <c r="Z28" s="944"/>
      <c r="AA28" s="944"/>
      <c r="AB28" s="944"/>
      <c r="AC28" s="944"/>
      <c r="AD28" s="944"/>
      <c r="AE28" s="944"/>
      <c r="AF28" s="944"/>
    </row>
    <row r="29" spans="2:36" x14ac:dyDescent="0.35">
      <c r="B29" s="56"/>
      <c r="C29" s="946"/>
      <c r="D29" s="944"/>
      <c r="E29" s="944"/>
      <c r="F29" s="944"/>
      <c r="G29" s="944"/>
      <c r="H29" s="944"/>
      <c r="I29" s="944"/>
      <c r="J29" s="944"/>
      <c r="K29" s="944"/>
      <c r="L29" s="944"/>
      <c r="M29" s="944"/>
      <c r="N29" s="944"/>
      <c r="O29" s="944"/>
      <c r="P29" s="944"/>
      <c r="Q29" s="494"/>
      <c r="R29" s="944"/>
      <c r="S29" s="944"/>
      <c r="T29" s="944"/>
      <c r="U29" s="944"/>
      <c r="V29" s="944"/>
      <c r="W29" s="944"/>
      <c r="X29" s="944"/>
      <c r="Y29" s="944"/>
      <c r="Z29" s="944"/>
      <c r="AA29" s="944"/>
      <c r="AB29" s="944"/>
      <c r="AC29" s="944"/>
      <c r="AD29" s="944"/>
      <c r="AE29" s="944"/>
      <c r="AF29" s="944"/>
    </row>
    <row r="30" spans="2:36" x14ac:dyDescent="0.35">
      <c r="B30" s="56"/>
      <c r="C30" s="946"/>
      <c r="D30" s="944"/>
      <c r="E30" s="944"/>
      <c r="F30" s="944"/>
      <c r="G30" s="944"/>
      <c r="H30" s="944"/>
      <c r="I30" s="944"/>
      <c r="J30" s="944"/>
      <c r="K30" s="944"/>
      <c r="L30" s="944"/>
      <c r="M30" s="944"/>
      <c r="N30" s="944"/>
      <c r="O30" s="944"/>
      <c r="P30" s="944"/>
      <c r="Q30" s="494"/>
      <c r="R30" s="944"/>
      <c r="S30" s="944"/>
      <c r="T30" s="944"/>
      <c r="U30" s="944"/>
      <c r="V30" s="944"/>
      <c r="W30" s="944"/>
      <c r="X30" s="944"/>
      <c r="Y30" s="944"/>
      <c r="Z30" s="944"/>
      <c r="AA30" s="944"/>
      <c r="AB30" s="944"/>
      <c r="AC30" s="944"/>
      <c r="AD30" s="944"/>
      <c r="AE30" s="944"/>
      <c r="AF30" s="944"/>
    </row>
    <row r="31" spans="2:36" x14ac:dyDescent="0.35">
      <c r="B31" s="56"/>
      <c r="C31" s="946"/>
      <c r="D31" s="944"/>
      <c r="E31" s="944"/>
      <c r="F31" s="944"/>
      <c r="G31" s="944"/>
      <c r="H31" s="944"/>
      <c r="I31" s="944"/>
      <c r="J31" s="944"/>
      <c r="K31" s="944"/>
      <c r="L31" s="944"/>
      <c r="M31" s="944"/>
      <c r="N31" s="944"/>
      <c r="O31" s="944"/>
      <c r="P31" s="944"/>
      <c r="Q31" s="56"/>
      <c r="R31" s="944"/>
      <c r="S31" s="944"/>
      <c r="T31" s="944"/>
      <c r="U31" s="944"/>
      <c r="V31" s="944"/>
      <c r="W31" s="944"/>
      <c r="X31" s="944"/>
      <c r="Y31" s="944"/>
      <c r="Z31" s="944"/>
      <c r="AA31" s="944"/>
      <c r="AB31" s="944"/>
      <c r="AC31" s="944"/>
      <c r="AD31" s="944"/>
      <c r="AE31" s="944"/>
      <c r="AF31" s="944"/>
    </row>
    <row r="32" spans="2:36" x14ac:dyDescent="0.35">
      <c r="B32" s="56"/>
      <c r="C32" s="946"/>
      <c r="D32" s="944"/>
      <c r="E32" s="944"/>
      <c r="F32" s="944"/>
      <c r="G32" s="944"/>
      <c r="H32" s="944"/>
      <c r="I32" s="944"/>
      <c r="J32" s="944"/>
      <c r="K32" s="944"/>
      <c r="L32" s="944"/>
      <c r="M32" s="944"/>
      <c r="N32" s="944"/>
      <c r="O32" s="944"/>
      <c r="P32" s="944"/>
      <c r="Q32" s="56"/>
      <c r="R32" s="944"/>
      <c r="S32" s="944"/>
      <c r="T32" s="944"/>
      <c r="U32" s="944"/>
      <c r="V32" s="944"/>
      <c r="W32" s="944"/>
      <c r="X32" s="944"/>
      <c r="Y32" s="944"/>
      <c r="Z32" s="944"/>
      <c r="AA32" s="944"/>
      <c r="AB32" s="944"/>
      <c r="AC32" s="944"/>
      <c r="AD32" s="944"/>
      <c r="AE32" s="944"/>
      <c r="AF32" s="944"/>
    </row>
    <row r="33" spans="2:33" x14ac:dyDescent="0.35">
      <c r="B33" s="56"/>
      <c r="C33" s="946"/>
      <c r="D33" s="944"/>
      <c r="E33" s="944"/>
      <c r="F33" s="944"/>
      <c r="G33" s="944"/>
      <c r="H33" s="944"/>
      <c r="I33" s="944"/>
      <c r="J33" s="944"/>
      <c r="K33" s="944"/>
      <c r="L33" s="944"/>
      <c r="M33" s="944"/>
      <c r="N33" s="944"/>
      <c r="O33" s="944"/>
      <c r="P33" s="944"/>
      <c r="Q33" s="56"/>
      <c r="R33" s="944"/>
      <c r="S33" s="944"/>
      <c r="T33" s="944"/>
      <c r="U33" s="944"/>
      <c r="V33" s="944"/>
      <c r="W33" s="944"/>
      <c r="X33" s="944"/>
      <c r="Y33" s="944"/>
      <c r="Z33" s="944"/>
      <c r="AA33" s="944"/>
      <c r="AB33" s="944"/>
      <c r="AC33" s="944"/>
      <c r="AD33" s="944"/>
      <c r="AE33" s="944"/>
      <c r="AF33" s="944"/>
    </row>
    <row r="34" spans="2:33" x14ac:dyDescent="0.35">
      <c r="B34" s="56"/>
      <c r="C34" s="946"/>
      <c r="D34" s="944"/>
      <c r="E34" s="944"/>
      <c r="F34" s="944"/>
      <c r="G34" s="944"/>
      <c r="H34" s="944"/>
      <c r="I34" s="944"/>
      <c r="J34" s="944"/>
      <c r="K34" s="944"/>
      <c r="L34" s="944"/>
      <c r="M34" s="944"/>
      <c r="N34" s="944"/>
      <c r="O34" s="944"/>
      <c r="P34" s="944"/>
      <c r="Q34" s="56"/>
      <c r="R34" s="944"/>
      <c r="S34" s="944"/>
      <c r="T34" s="944"/>
      <c r="U34" s="944"/>
      <c r="V34" s="944"/>
      <c r="W34" s="944"/>
      <c r="X34" s="944"/>
      <c r="Y34" s="944"/>
      <c r="Z34" s="944"/>
      <c r="AA34" s="944"/>
      <c r="AB34" s="944"/>
      <c r="AC34" s="944"/>
      <c r="AD34" s="944"/>
      <c r="AE34" s="944"/>
      <c r="AF34" s="944"/>
    </row>
    <row r="35" spans="2:33" x14ac:dyDescent="0.35">
      <c r="B35" s="56"/>
      <c r="C35" s="946"/>
      <c r="D35" s="944"/>
      <c r="E35" s="944"/>
      <c r="F35" s="944"/>
      <c r="G35" s="944"/>
      <c r="H35" s="944"/>
      <c r="I35" s="944"/>
      <c r="J35" s="944"/>
      <c r="K35" s="944"/>
      <c r="L35" s="944"/>
      <c r="M35" s="944"/>
      <c r="N35" s="944"/>
      <c r="O35" s="944"/>
      <c r="P35" s="944"/>
      <c r="Q35" s="56"/>
      <c r="R35" s="944"/>
      <c r="S35" s="944"/>
      <c r="T35" s="944"/>
      <c r="U35" s="944"/>
      <c r="V35" s="944"/>
      <c r="W35" s="944"/>
      <c r="X35" s="944"/>
      <c r="Y35" s="944"/>
      <c r="Z35" s="944"/>
      <c r="AA35" s="944"/>
      <c r="AB35" s="944"/>
      <c r="AC35" s="944"/>
      <c r="AD35" s="944"/>
      <c r="AE35" s="944"/>
      <c r="AF35" s="944"/>
    </row>
    <row r="36" spans="2:33" x14ac:dyDescent="0.35">
      <c r="B36" s="56"/>
      <c r="C36" s="946"/>
      <c r="D36" s="944"/>
      <c r="E36" s="944"/>
      <c r="F36" s="944"/>
      <c r="G36" s="944"/>
      <c r="H36" s="944"/>
      <c r="I36" s="944"/>
      <c r="J36" s="944"/>
      <c r="K36" s="944"/>
      <c r="L36" s="944"/>
      <c r="M36" s="944"/>
      <c r="N36" s="944"/>
      <c r="O36" s="944"/>
      <c r="P36" s="944"/>
      <c r="Q36" s="56"/>
      <c r="R36" s="944"/>
      <c r="S36" s="944"/>
      <c r="T36" s="944"/>
      <c r="U36" s="944"/>
      <c r="V36" s="944"/>
      <c r="W36" s="944"/>
      <c r="X36" s="944"/>
      <c r="Y36" s="944"/>
      <c r="Z36" s="944"/>
      <c r="AA36" s="944"/>
      <c r="AB36" s="944"/>
      <c r="AC36" s="944"/>
      <c r="AD36" s="944"/>
      <c r="AE36" s="944"/>
      <c r="AF36" s="944"/>
    </row>
    <row r="37" spans="2:33" x14ac:dyDescent="0.35">
      <c r="B37" s="56"/>
      <c r="C37" s="946"/>
      <c r="D37" s="944"/>
      <c r="E37" s="944"/>
      <c r="F37" s="944"/>
      <c r="G37" s="944"/>
      <c r="H37" s="944"/>
      <c r="I37" s="944"/>
      <c r="J37" s="944"/>
      <c r="K37" s="944"/>
      <c r="L37" s="944"/>
      <c r="M37" s="944"/>
      <c r="N37" s="944"/>
      <c r="O37" s="944"/>
      <c r="P37" s="944"/>
      <c r="Q37" s="56"/>
      <c r="R37" s="944"/>
      <c r="S37" s="944"/>
      <c r="T37" s="944"/>
      <c r="U37" s="944"/>
      <c r="V37" s="944"/>
      <c r="W37" s="944"/>
      <c r="X37" s="944"/>
      <c r="Y37" s="944"/>
      <c r="Z37" s="944"/>
      <c r="AA37" s="944"/>
      <c r="AB37" s="944"/>
      <c r="AC37" s="944"/>
      <c r="AD37" s="944"/>
      <c r="AE37" s="944"/>
      <c r="AF37" s="944"/>
    </row>
    <row r="38" spans="2:33" x14ac:dyDescent="0.35">
      <c r="B38" s="56"/>
      <c r="C38" s="946"/>
      <c r="D38" s="944"/>
      <c r="E38" s="944"/>
      <c r="F38" s="944"/>
      <c r="G38" s="944"/>
      <c r="H38" s="944"/>
      <c r="I38" s="944"/>
      <c r="J38" s="944"/>
      <c r="K38" s="944"/>
      <c r="L38" s="944"/>
      <c r="M38" s="944"/>
      <c r="N38" s="944"/>
      <c r="O38" s="944"/>
      <c r="P38" s="944"/>
      <c r="Q38" s="56"/>
      <c r="R38" s="944"/>
      <c r="S38" s="944"/>
      <c r="T38" s="944"/>
      <c r="U38" s="944"/>
      <c r="V38" s="944"/>
      <c r="W38" s="944"/>
      <c r="X38" s="944"/>
      <c r="Y38" s="944"/>
      <c r="Z38" s="944"/>
      <c r="AA38" s="944"/>
      <c r="AB38" s="944"/>
      <c r="AC38" s="944"/>
      <c r="AD38" s="944"/>
      <c r="AE38" s="944"/>
      <c r="AF38" s="944"/>
    </row>
    <row r="39" spans="2:33" x14ac:dyDescent="0.35">
      <c r="B39" s="56"/>
      <c r="C39" s="946"/>
      <c r="D39" s="944"/>
      <c r="E39" s="944"/>
      <c r="F39" s="944"/>
      <c r="G39" s="944"/>
      <c r="H39" s="944"/>
      <c r="I39" s="944"/>
      <c r="J39" s="944"/>
      <c r="K39" s="944"/>
      <c r="L39" s="944"/>
      <c r="M39" s="944"/>
      <c r="N39" s="944"/>
      <c r="O39" s="944"/>
      <c r="P39" s="944"/>
      <c r="Q39" s="944"/>
      <c r="R39" s="944"/>
      <c r="S39" s="944"/>
      <c r="T39" s="944"/>
      <c r="U39" s="944"/>
      <c r="V39" s="944"/>
      <c r="W39" s="944"/>
      <c r="X39" s="944"/>
      <c r="Y39" s="944"/>
      <c r="Z39" s="944"/>
      <c r="AA39" s="944"/>
      <c r="AB39" s="944"/>
      <c r="AC39" s="944"/>
      <c r="AD39" s="944"/>
      <c r="AE39" s="944"/>
      <c r="AF39" s="944"/>
    </row>
    <row r="40" spans="2:33" x14ac:dyDescent="0.35">
      <c r="B40" s="56"/>
      <c r="C40" s="946"/>
      <c r="D40" s="944"/>
      <c r="E40" s="944"/>
      <c r="F40" s="944"/>
      <c r="G40" s="944"/>
      <c r="H40" s="944"/>
      <c r="I40" s="944"/>
      <c r="J40" s="944"/>
      <c r="K40" s="944"/>
      <c r="L40" s="944"/>
      <c r="M40" s="944"/>
      <c r="N40" s="944"/>
      <c r="O40" s="944"/>
      <c r="P40" s="944"/>
      <c r="Q40" s="944"/>
      <c r="R40" s="944"/>
      <c r="S40" s="944"/>
      <c r="T40" s="944"/>
      <c r="U40" s="944"/>
      <c r="V40" s="944"/>
      <c r="W40" s="944"/>
      <c r="X40" s="944"/>
      <c r="Y40" s="944"/>
      <c r="Z40" s="944"/>
      <c r="AA40" s="944"/>
      <c r="AB40" s="944"/>
      <c r="AC40" s="944"/>
      <c r="AD40" s="944"/>
      <c r="AE40" s="944"/>
      <c r="AF40" s="944"/>
    </row>
    <row r="41" spans="2:33" x14ac:dyDescent="0.35">
      <c r="B41" s="948" t="s">
        <v>1828</v>
      </c>
      <c r="C41" s="948"/>
      <c r="D41" s="247"/>
      <c r="E41" s="247"/>
      <c r="F41" s="247"/>
      <c r="G41" s="247"/>
      <c r="H41" s="247"/>
      <c r="I41" s="247"/>
      <c r="J41" s="247"/>
      <c r="K41" s="247"/>
      <c r="L41" s="247"/>
      <c r="M41" s="247"/>
      <c r="N41" s="247"/>
      <c r="O41" s="247"/>
      <c r="P41" s="247"/>
      <c r="Q41" s="247"/>
      <c r="R41" s="247"/>
      <c r="S41" s="247"/>
      <c r="T41" s="247"/>
      <c r="U41" s="247"/>
      <c r="V41" s="247"/>
      <c r="W41" s="247"/>
      <c r="X41" s="247"/>
      <c r="Y41" s="247"/>
      <c r="Z41" s="247"/>
      <c r="AA41" s="247"/>
      <c r="AB41" s="247"/>
      <c r="AC41" s="247"/>
    </row>
    <row r="42" spans="2:33" x14ac:dyDescent="0.35">
      <c r="B42" s="1282" t="s">
        <v>1709</v>
      </c>
      <c r="C42" s="1283"/>
      <c r="D42" s="1348" t="s">
        <v>1733</v>
      </c>
      <c r="E42" s="1349"/>
      <c r="F42" s="1349"/>
      <c r="G42" s="1349"/>
      <c r="H42" s="1349"/>
      <c r="I42" s="1349"/>
      <c r="J42" s="1349"/>
      <c r="K42" s="1349"/>
      <c r="L42" s="1349"/>
      <c r="M42" s="1349"/>
      <c r="N42" s="1349"/>
      <c r="O42" s="1349"/>
      <c r="P42" s="1349"/>
      <c r="Q42" s="1349"/>
      <c r="R42" s="1349"/>
      <c r="S42" s="1349"/>
      <c r="T42" s="1349"/>
      <c r="U42" s="1349"/>
      <c r="V42" s="1349"/>
      <c r="W42" s="1323" t="s">
        <v>1741</v>
      </c>
      <c r="X42" s="1323"/>
      <c r="Y42" s="1323"/>
      <c r="Z42" s="1323"/>
      <c r="AA42" s="1323"/>
      <c r="AB42" s="1323"/>
      <c r="AC42" s="1323"/>
      <c r="AD42" s="1323"/>
      <c r="AE42" s="1323"/>
      <c r="AF42" s="1323"/>
      <c r="AG42" s="1323"/>
    </row>
    <row r="43" spans="2:33" x14ac:dyDescent="0.35">
      <c r="B43" s="1284"/>
      <c r="C43" s="1285"/>
      <c r="D43" s="214">
        <v>2018</v>
      </c>
      <c r="E43" s="1279">
        <v>2019</v>
      </c>
      <c r="F43" s="1280"/>
      <c r="G43" s="1280"/>
      <c r="H43" s="1281"/>
      <c r="I43" s="1279">
        <v>2020</v>
      </c>
      <c r="J43" s="1280"/>
      <c r="K43" s="1280"/>
      <c r="L43" s="1280"/>
      <c r="M43" s="1279">
        <v>2021</v>
      </c>
      <c r="N43" s="1280"/>
      <c r="O43" s="1280"/>
      <c r="P43" s="1280"/>
      <c r="Q43" s="1291">
        <v>2022</v>
      </c>
      <c r="R43" s="1321"/>
      <c r="S43" s="1321"/>
      <c r="T43" s="1293"/>
      <c r="U43" s="239"/>
      <c r="V43" s="560">
        <v>2023</v>
      </c>
      <c r="W43" s="289"/>
      <c r="X43" s="289"/>
      <c r="Y43" s="1288">
        <v>2024</v>
      </c>
      <c r="Z43" s="1289"/>
      <c r="AA43" s="1289"/>
      <c r="AB43" s="1290"/>
      <c r="AC43" s="1288">
        <v>2025</v>
      </c>
      <c r="AD43" s="1289"/>
      <c r="AE43" s="1289"/>
      <c r="AF43" s="1289"/>
      <c r="AG43" s="251">
        <v>2026</v>
      </c>
    </row>
    <row r="44" spans="2:33" x14ac:dyDescent="0.35">
      <c r="B44" s="1286"/>
      <c r="C44" s="1287"/>
      <c r="D44" s="214" t="s">
        <v>282</v>
      </c>
      <c r="E44" s="214" t="s">
        <v>283</v>
      </c>
      <c r="F44" s="215" t="s">
        <v>284</v>
      </c>
      <c r="G44" s="215" t="s">
        <v>238</v>
      </c>
      <c r="H44" s="216" t="s">
        <v>282</v>
      </c>
      <c r="I44" s="215" t="s">
        <v>283</v>
      </c>
      <c r="J44" s="215" t="s">
        <v>284</v>
      </c>
      <c r="K44" s="215" t="s">
        <v>238</v>
      </c>
      <c r="L44" s="215" t="s">
        <v>282</v>
      </c>
      <c r="M44" s="214" t="s">
        <v>283</v>
      </c>
      <c r="N44" s="215" t="s">
        <v>284</v>
      </c>
      <c r="O44" s="215" t="s">
        <v>238</v>
      </c>
      <c r="P44" s="215" t="s">
        <v>282</v>
      </c>
      <c r="Q44" s="214" t="s">
        <v>283</v>
      </c>
      <c r="R44" s="215" t="s">
        <v>284</v>
      </c>
      <c r="S44" s="215" t="s">
        <v>238</v>
      </c>
      <c r="T44" s="216" t="s">
        <v>282</v>
      </c>
      <c r="U44" s="214" t="s">
        <v>283</v>
      </c>
      <c r="V44" s="215" t="s">
        <v>284</v>
      </c>
      <c r="W44" s="326" t="s">
        <v>238</v>
      </c>
      <c r="X44" s="326" t="s">
        <v>282</v>
      </c>
      <c r="Y44" s="433" t="s">
        <v>283</v>
      </c>
      <c r="Z44" s="333" t="s">
        <v>284</v>
      </c>
      <c r="AA44" s="326" t="s">
        <v>238</v>
      </c>
      <c r="AB44" s="432" t="s">
        <v>282</v>
      </c>
      <c r="AC44" s="269" t="s">
        <v>283</v>
      </c>
      <c r="AD44" s="326" t="s">
        <v>284</v>
      </c>
      <c r="AE44" s="326" t="s">
        <v>238</v>
      </c>
      <c r="AF44" s="326" t="s">
        <v>282</v>
      </c>
      <c r="AG44" s="272" t="s">
        <v>283</v>
      </c>
    </row>
    <row r="45" spans="2:33" x14ac:dyDescent="0.35">
      <c r="B45" s="956" t="s">
        <v>1933</v>
      </c>
      <c r="C45" s="971"/>
      <c r="D45" s="965">
        <f>('Haver Pivoted'!GO76+1)^4-1</f>
        <v>1.5264497223703488E-2</v>
      </c>
      <c r="E45" s="951">
        <f>('Haver Pivoted'!GP76+1)^4-1</f>
        <v>9.1895436648135043E-3</v>
      </c>
      <c r="F45" s="951">
        <f>('Haver Pivoted'!GQ76+1)^4-1</f>
        <v>2.1359335668051704E-2</v>
      </c>
      <c r="G45" s="951">
        <f>('Haver Pivoted'!GR76+1)^4-1</f>
        <v>9.7821561759856568E-3</v>
      </c>
      <c r="H45" s="951">
        <f>('Haver Pivoted'!GS76+1)^4-1</f>
        <v>1.5756743276972518E-2</v>
      </c>
      <c r="I45" s="951">
        <f>('Haver Pivoted'!GT76+1)^4-1</f>
        <v>1.2975809403218186E-2</v>
      </c>
      <c r="J45" s="951">
        <f>('Haver Pivoted'!GU76+1)^4-1</f>
        <v>-1.727886877748519E-2</v>
      </c>
      <c r="K45" s="951">
        <f>('Haver Pivoted'!GV76+1)^4-1</f>
        <v>3.3383553321530757E-2</v>
      </c>
      <c r="L45" s="951">
        <f>('Haver Pivoted'!GW76+1)^4-1</f>
        <v>2.0146820681233191E-2</v>
      </c>
      <c r="M45" s="951">
        <f>('Haver Pivoted'!GX76+1)^4-1</f>
        <v>4.7725552632172041E-2</v>
      </c>
      <c r="N45" s="951">
        <f>('Haver Pivoted'!GY76+1)^4-1</f>
        <v>6.2593648340676156E-2</v>
      </c>
      <c r="O45" s="951">
        <f>('Haver Pivoted'!GZ76+1)^4-1</f>
        <v>5.6496850547917088E-2</v>
      </c>
      <c r="P45" s="951">
        <f>('Haver Pivoted'!HA76+1)^4-1</f>
        <v>6.7608172830647684E-2</v>
      </c>
      <c r="Q45" s="951">
        <f>('Haver Pivoted'!HB76+1)^4-1</f>
        <v>7.6571358087944352E-2</v>
      </c>
      <c r="R45" s="951">
        <f>('Haver Pivoted'!HC76+1)^4-1</f>
        <v>7.1828427694202057E-2</v>
      </c>
      <c r="S45" s="966">
        <f>('Haver Pivoted'!HD76+1)^4-1</f>
        <v>4.6758931657381764E-2</v>
      </c>
      <c r="T45" s="950">
        <f>('Haver Pivoted'!HE76+1)^4-1</f>
        <v>4.1448566443352153E-2</v>
      </c>
      <c r="U45" s="966">
        <f>('Haver Pivoted'!HF76+1)^4-1</f>
        <v>4.1651997755371317E-2</v>
      </c>
      <c r="V45" s="966">
        <f>('Haver Pivoted'!HG76+1)^4-1</f>
        <v>2.4870541532459711E-2</v>
      </c>
      <c r="W45" s="966">
        <f>('Haver Pivoted'!HH76+1)^4-1</f>
        <v>2.5905176927918383E-2</v>
      </c>
      <c r="X45" s="966">
        <f>('Haver Pivoted'!HI76+1)^4-1</f>
        <v>1.7898288181300792E-2</v>
      </c>
      <c r="Y45" s="966">
        <f>('Haver Pivoted'!HJ76+1)^4-1</f>
        <v>3.4047759971643332E-2</v>
      </c>
      <c r="Z45" s="974">
        <f t="shared" ref="Z45:AF45" si="24">Z46+Z47</f>
        <v>4.4734749927778247E-2</v>
      </c>
      <c r="AA45" s="974">
        <f t="shared" si="24"/>
        <v>2.897464547214517E-2</v>
      </c>
      <c r="AB45" s="974">
        <f t="shared" si="24"/>
        <v>2.3485836297992498E-2</v>
      </c>
      <c r="AC45" s="974">
        <f t="shared" si="24"/>
        <v>2.1796033645922641E-2</v>
      </c>
      <c r="AD45" s="974">
        <f t="shared" si="24"/>
        <v>2.1576747995004641E-2</v>
      </c>
      <c r="AE45" s="974">
        <f t="shared" si="24"/>
        <v>2.0708760783051394E-2</v>
      </c>
      <c r="AF45" s="974">
        <f t="shared" si="24"/>
        <v>2.0110814282412459E-2</v>
      </c>
      <c r="AG45" s="974">
        <f t="shared" ref="AG45" si="25">AG46+AG47</f>
        <v>1.9760549063349009E-2</v>
      </c>
    </row>
    <row r="46" spans="2:33" x14ac:dyDescent="0.35">
      <c r="B46" s="77" t="s">
        <v>1932</v>
      </c>
      <c r="C46" s="946" t="s">
        <v>1699</v>
      </c>
      <c r="D46" s="975">
        <f>('Haver Pivoted'!GO76+1)^4-1</f>
        <v>1.5264497223703488E-2</v>
      </c>
      <c r="E46" s="975">
        <f>('Haver Pivoted'!GP76+1)^4-1</f>
        <v>9.1895436648135043E-3</v>
      </c>
      <c r="F46" s="975">
        <f>('Haver Pivoted'!GQ76+1)^4-1</f>
        <v>2.1359335668051704E-2</v>
      </c>
      <c r="G46" s="975">
        <f>('Haver Pivoted'!GR76+1)^4-1</f>
        <v>9.7821561759856568E-3</v>
      </c>
      <c r="H46" s="975">
        <f>('Haver Pivoted'!GS76+1)^4-1</f>
        <v>1.5756743276972518E-2</v>
      </c>
      <c r="I46" s="975">
        <f>('Haver Pivoted'!GT76+1)^4-1</f>
        <v>1.2975809403218186E-2</v>
      </c>
      <c r="J46" s="975">
        <f>('Haver Pivoted'!GU76+1)^4-1</f>
        <v>-1.727886877748519E-2</v>
      </c>
      <c r="K46" s="975">
        <f>('Haver Pivoted'!GV76+1)^4-1</f>
        <v>3.3383553321530757E-2</v>
      </c>
      <c r="L46" s="975">
        <f>('Haver Pivoted'!GW76+1)^4-1</f>
        <v>2.0146820681233191E-2</v>
      </c>
      <c r="M46" s="975">
        <f>('Haver Pivoted'!GX76+1)^4-1</f>
        <v>4.7725552632172041E-2</v>
      </c>
      <c r="N46" s="975">
        <f>('Haver Pivoted'!GY76+1)^4-1</f>
        <v>6.2593648340676156E-2</v>
      </c>
      <c r="O46" s="975">
        <f>('Haver Pivoted'!GZ76+1)^4-1</f>
        <v>5.6496850547917088E-2</v>
      </c>
      <c r="P46" s="975">
        <f>('Haver Pivoted'!HA76+1)^4-1</f>
        <v>6.7608172830647684E-2</v>
      </c>
      <c r="Q46" s="975">
        <f>('Haver Pivoted'!HB76+1)^4-1</f>
        <v>7.6571358087944352E-2</v>
      </c>
      <c r="R46" s="975">
        <f>('Haver Pivoted'!HC76+1)^4-1</f>
        <v>7.1828427694202057E-2</v>
      </c>
      <c r="S46" s="975">
        <f>('Haver Pivoted'!HD76+1)^4-1</f>
        <v>4.6758931657381764E-2</v>
      </c>
      <c r="T46" s="975">
        <f>('Haver Pivoted'!HE76+1)^4-1</f>
        <v>4.1448566443352153E-2</v>
      </c>
      <c r="U46" s="975">
        <f>('Haver Pivoted'!HF76+1)^4-1</f>
        <v>4.1651997755371317E-2</v>
      </c>
      <c r="V46" s="975">
        <f>('Haver Pivoted'!HG76+1)^4-1</f>
        <v>2.4870541532459711E-2</v>
      </c>
      <c r="W46" s="975">
        <f>('Haver Pivoted'!HH76+1)^4-1</f>
        <v>2.5905176927918383E-2</v>
      </c>
      <c r="X46" s="975">
        <f>('Haver Pivoted'!HI76+1)^4-1</f>
        <v>1.7898288181300792E-2</v>
      </c>
      <c r="Y46" s="944">
        <f>(Y71/X71)^4-1</f>
        <v>3.3974968431316865E-2</v>
      </c>
      <c r="Z46" s="944">
        <f t="shared" ref="Z46:AG46" si="26">(Z71/Y71)^4-1</f>
        <v>3.173474992777825E-2</v>
      </c>
      <c r="AA46" s="944">
        <f t="shared" si="26"/>
        <v>2.2474645472145172E-2</v>
      </c>
      <c r="AB46" s="944">
        <f t="shared" si="26"/>
        <v>2.0485836297992499E-2</v>
      </c>
      <c r="AC46" s="944">
        <f t="shared" si="26"/>
        <v>2.1796033645922641E-2</v>
      </c>
      <c r="AD46" s="944">
        <f t="shared" si="26"/>
        <v>2.1576747995004641E-2</v>
      </c>
      <c r="AE46" s="944">
        <f t="shared" si="26"/>
        <v>2.0708760783051394E-2</v>
      </c>
      <c r="AF46" s="944">
        <f t="shared" si="26"/>
        <v>2.0110814282412459E-2</v>
      </c>
      <c r="AG46" s="944">
        <f t="shared" si="26"/>
        <v>1.9760549063349009E-2</v>
      </c>
    </row>
    <row r="47" spans="2:33" x14ac:dyDescent="0.35">
      <c r="B47" s="77" t="s">
        <v>1934</v>
      </c>
      <c r="C47" s="946"/>
      <c r="D47" s="975"/>
      <c r="E47" s="944"/>
      <c r="F47" s="944"/>
      <c r="G47" s="944"/>
      <c r="H47" s="944"/>
      <c r="I47" s="944"/>
      <c r="J47" s="944"/>
      <c r="K47" s="944"/>
      <c r="L47" s="944"/>
      <c r="M47" s="944"/>
      <c r="N47" s="944"/>
      <c r="O47" s="944"/>
      <c r="P47" s="944"/>
      <c r="Q47" s="944"/>
      <c r="R47" s="944"/>
      <c r="S47" s="947"/>
      <c r="T47" s="947"/>
      <c r="U47" s="947"/>
      <c r="V47" s="947"/>
      <c r="W47" s="947"/>
      <c r="X47" s="947"/>
      <c r="Y47" s="947"/>
      <c r="Z47" s="944">
        <v>1.2999999999999999E-2</v>
      </c>
      <c r="AA47" s="944">
        <v>6.4999999999999997E-3</v>
      </c>
      <c r="AB47" s="944">
        <v>3.0000000000000001E-3</v>
      </c>
      <c r="AC47" s="944"/>
      <c r="AD47" s="944"/>
      <c r="AE47" s="944"/>
      <c r="AF47" s="944"/>
      <c r="AG47" s="944"/>
    </row>
    <row r="48" spans="2:33" x14ac:dyDescent="0.35">
      <c r="B48" s="68" t="s">
        <v>1711</v>
      </c>
      <c r="C48" s="946" t="s">
        <v>1700</v>
      </c>
      <c r="D48" s="975">
        <f>('Haver Pivoted'!GO77+1)^4-1</f>
        <v>2.9477765289275926E-2</v>
      </c>
      <c r="E48" s="944">
        <f>('Haver Pivoted'!GP77+1)^4-1</f>
        <v>4.2202135370129845E-2</v>
      </c>
      <c r="F48" s="944">
        <f>('Haver Pivoted'!GQ77+1)^4-1</f>
        <v>-2.3704834981612466E-2</v>
      </c>
      <c r="G48" s="944">
        <f>('Haver Pivoted'!GR77+1)^4-1</f>
        <v>6.4629467492742787E-3</v>
      </c>
      <c r="H48" s="944">
        <f>('Haver Pivoted'!GS77+1)^4-1</f>
        <v>1.3942439977386201E-2</v>
      </c>
      <c r="I48" s="944">
        <f>('Haver Pivoted'!GT77+1)^4-1</f>
        <v>1.2621468504538935E-2</v>
      </c>
      <c r="J48" s="944">
        <f>('Haver Pivoted'!GU77+1)^4-1</f>
        <v>9.5192305533120525E-4</v>
      </c>
      <c r="K48" s="944">
        <f>('Haver Pivoted'!GV77+1)^4-1</f>
        <v>2.3028813031033213E-2</v>
      </c>
      <c r="L48" s="944">
        <f>('Haver Pivoted'!GW77+1)^4-1</f>
        <v>2.9378026710950689E-2</v>
      </c>
      <c r="M48" s="944">
        <f>('Haver Pivoted'!GX77+1)^4-1</f>
        <v>3.4124335135575334E-2</v>
      </c>
      <c r="N48" s="944">
        <f>('Haver Pivoted'!GY77+1)^4-1</f>
        <v>3.9538213787325915E-2</v>
      </c>
      <c r="O48" s="944">
        <f>('Haver Pivoted'!GZ77+1)^4-1</f>
        <v>4.1165152093425528E-2</v>
      </c>
      <c r="P48" s="944">
        <f>('Haver Pivoted'!HA77+1)^4-1</f>
        <v>4.6364460300687638E-2</v>
      </c>
      <c r="Q48" s="944">
        <f>('Haver Pivoted'!HB77+1)^4-1</f>
        <v>7.2410998904413937E-2</v>
      </c>
      <c r="R48" s="944">
        <f>('Haver Pivoted'!HC77+1)^4-1</f>
        <v>6.8511037124212137E-2</v>
      </c>
      <c r="S48" s="947">
        <f>('Haver Pivoted'!HD77+1)^4-1</f>
        <v>4.8282007704063767E-2</v>
      </c>
      <c r="T48" s="947">
        <f>('Haver Pivoted'!HE77+1)^4-1</f>
        <v>4.093597497107293E-2</v>
      </c>
      <c r="U48" s="947">
        <f>('Haver Pivoted'!HF77+1)^4-1</f>
        <v>4.1330736826713066E-2</v>
      </c>
      <c r="V48" s="947">
        <f>('Haver Pivoted'!HG77+1)^4-1</f>
        <v>2.0643513935327373E-2</v>
      </c>
      <c r="W48" s="947">
        <f>('Haver Pivoted'!HH77+1)^4-1</f>
        <v>3.9726565698527727E-2</v>
      </c>
      <c r="X48" s="947">
        <f>('Haver Pivoted'!HI77+1)^4-1</f>
        <v>3.9575951716406488E-2</v>
      </c>
      <c r="Y48" s="947">
        <f>('Haver Pivoted'!HJ77+1)^4-1</f>
        <v>4.1294742159051934E-2</v>
      </c>
      <c r="Z48" s="944">
        <f>(Z72/Y72)^4-1+Z50</f>
        <v>4.599385238761787E-2</v>
      </c>
      <c r="AA48" s="944">
        <f t="shared" ref="AA48:AG48" si="27">(AA72/Z72)^4-1+AA50</f>
        <v>3.40058716937977E-2</v>
      </c>
      <c r="AB48" s="944">
        <f t="shared" si="27"/>
        <v>2.8438723088733627E-2</v>
      </c>
      <c r="AC48" s="944">
        <f t="shared" si="27"/>
        <v>2.4377163912874478E-2</v>
      </c>
      <c r="AD48" s="944">
        <f t="shared" si="27"/>
        <v>2.3708971853545924E-2</v>
      </c>
      <c r="AE48" s="944">
        <f t="shared" si="27"/>
        <v>2.3471980846518914E-2</v>
      </c>
      <c r="AF48" s="944">
        <f t="shared" si="27"/>
        <v>2.3530345294352939E-2</v>
      </c>
      <c r="AG48" s="944">
        <f t="shared" si="27"/>
        <v>1.7936865457563567E-2</v>
      </c>
    </row>
    <row r="49" spans="2:68" x14ac:dyDescent="0.35">
      <c r="B49" s="68" t="s">
        <v>1712</v>
      </c>
      <c r="C49" s="946" t="s">
        <v>1701</v>
      </c>
      <c r="D49" s="975">
        <f>('Haver Pivoted'!GO78+1)^4-1</f>
        <v>1.7606158659444704E-2</v>
      </c>
      <c r="E49" s="944">
        <f>('Haver Pivoted'!GP78+1)^4-1</f>
        <v>-1.7151418638734928E-2</v>
      </c>
      <c r="F49" s="944">
        <f>('Haver Pivoted'!GQ78+1)^4-1</f>
        <v>2.7663740902592604E-2</v>
      </c>
      <c r="G49" s="944">
        <f>('Haver Pivoted'!GR78+1)^4-1</f>
        <v>1.5104723907904294E-2</v>
      </c>
      <c r="H49" s="944">
        <f>('Haver Pivoted'!GS78+1)^4-1</f>
        <v>2.4480958799653285E-2</v>
      </c>
      <c r="I49" s="944">
        <f>('Haver Pivoted'!GT78+1)^4-1</f>
        <v>5.2574904831641067E-2</v>
      </c>
      <c r="J49" s="944">
        <f>('Haver Pivoted'!GU78+1)^4-1</f>
        <v>-8.4277759405785302E-3</v>
      </c>
      <c r="K49" s="944">
        <f>('Haver Pivoted'!GV78+1)^4-1</f>
        <v>4.907445416510936E-2</v>
      </c>
      <c r="L49" s="944">
        <f>('Haver Pivoted'!GW78+1)^4-1</f>
        <v>5.0954864858178572E-2</v>
      </c>
      <c r="M49" s="944">
        <f>('Haver Pivoted'!GX78+1)^4-1</f>
        <v>9.2354867824980369E-2</v>
      </c>
      <c r="N49" s="944">
        <f>('Haver Pivoted'!GY78+1)^4-1</f>
        <v>7.5885854631137173E-2</v>
      </c>
      <c r="O49" s="944">
        <f>('Haver Pivoted'!GZ78+1)^4-1</f>
        <v>6.4839018796936099E-2</v>
      </c>
      <c r="P49" s="944">
        <f>('Haver Pivoted'!HA78+1)^4-1</f>
        <v>7.8606616627874493E-2</v>
      </c>
      <c r="Q49" s="944">
        <f>('Haver Pivoted'!HB78+1)^4-1</f>
        <v>9.0996244334734522E-2</v>
      </c>
      <c r="R49" s="944">
        <f>('Haver Pivoted'!HC78+1)^4-1</f>
        <v>0.13763433325959551</v>
      </c>
      <c r="S49" s="947">
        <f>('Haver Pivoted'!HD78+1)^4-1</f>
        <v>1.6839709416048398E-2</v>
      </c>
      <c r="T49" s="947">
        <f>('Haver Pivoted'!HE78+1)^4-1</f>
        <v>2.7352303497218955E-2</v>
      </c>
      <c r="U49" s="947">
        <f>('Haver Pivoted'!HF78+1)^4-1</f>
        <v>-6.3056175150344451E-5</v>
      </c>
      <c r="V49" s="947">
        <f>('Haver Pivoted'!HG78+1)^4-1</f>
        <v>-2.8662130748749126E-2</v>
      </c>
      <c r="W49" s="947">
        <f>('Haver Pivoted'!HH78+1)^4-1</f>
        <v>5.7410273514926002E-2</v>
      </c>
      <c r="X49" s="947">
        <f>('Haver Pivoted'!HI78+1)^4-1</f>
        <v>6.4988621204677965E-3</v>
      </c>
      <c r="Y49" s="947">
        <f>('Haver Pivoted'!HJ78+1)^4-1</f>
        <v>3.8310837184705404E-2</v>
      </c>
      <c r="Z49" s="944">
        <f>(Z73/Y73)^4-1+Z50</f>
        <v>5.3269034245715038E-2</v>
      </c>
      <c r="AA49" s="944">
        <f t="shared" ref="AA49:AG49" si="28">(AA73/Z73)^4-1+AA50</f>
        <v>3.1224337980433163E-2</v>
      </c>
      <c r="AB49" s="944">
        <f t="shared" si="28"/>
        <v>2.6533565330379202E-2</v>
      </c>
      <c r="AC49" s="944">
        <f t="shared" si="28"/>
        <v>2.5821649071183117E-2</v>
      </c>
      <c r="AD49" s="944">
        <f t="shared" si="28"/>
        <v>2.5493967451795996E-2</v>
      </c>
      <c r="AE49" s="944">
        <f t="shared" si="28"/>
        <v>2.5095343044312823E-2</v>
      </c>
      <c r="AF49" s="944">
        <f t="shared" si="28"/>
        <v>2.4877364391311607E-2</v>
      </c>
      <c r="AG49" s="944">
        <f t="shared" si="28"/>
        <v>2.492676444114772E-2</v>
      </c>
    </row>
    <row r="50" spans="2:68" x14ac:dyDescent="0.35">
      <c r="B50" s="68" t="s">
        <v>1939</v>
      </c>
      <c r="C50" s="946"/>
      <c r="D50" s="975"/>
      <c r="E50" s="944"/>
      <c r="F50" s="944"/>
      <c r="G50" s="944"/>
      <c r="H50" s="944"/>
      <c r="I50" s="944"/>
      <c r="J50" s="944"/>
      <c r="K50" s="944"/>
      <c r="L50" s="944"/>
      <c r="M50" s="944"/>
      <c r="N50" s="944"/>
      <c r="O50" s="944"/>
      <c r="P50" s="944"/>
      <c r="Q50" s="944"/>
      <c r="R50" s="944"/>
      <c r="S50" s="947"/>
      <c r="T50" s="947"/>
      <c r="U50" s="947"/>
      <c r="V50" s="947"/>
      <c r="W50" s="947"/>
      <c r="X50" s="947"/>
      <c r="Y50" s="947"/>
      <c r="Z50" s="944">
        <f>Z47</f>
        <v>1.2999999999999999E-2</v>
      </c>
      <c r="AA50" s="944">
        <f>AA47</f>
        <v>6.4999999999999997E-3</v>
      </c>
      <c r="AB50" s="944">
        <f>AB47</f>
        <v>3.0000000000000001E-3</v>
      </c>
      <c r="AC50" s="944"/>
      <c r="AD50" s="944"/>
      <c r="AE50" s="944"/>
      <c r="AF50" s="944"/>
      <c r="AG50" s="944"/>
    </row>
    <row r="51" spans="2:68" x14ac:dyDescent="0.35">
      <c r="B51" s="68" t="s">
        <v>1713</v>
      </c>
      <c r="C51" s="946" t="s">
        <v>1702</v>
      </c>
      <c r="D51" s="975">
        <f>('Haver Pivoted'!GO79+1)^4-1</f>
        <v>1.2331231439726587E-2</v>
      </c>
      <c r="E51" s="944">
        <f>('Haver Pivoted'!GP79+1)^4-1</f>
        <v>-2.4548871147293649E-2</v>
      </c>
      <c r="F51" s="944">
        <f>('Haver Pivoted'!GQ79+1)^4-1</f>
        <v>2.4115177005201271E-2</v>
      </c>
      <c r="G51" s="944">
        <f>('Haver Pivoted'!GR79+1)^4-1</f>
        <v>1.4753974603383124E-2</v>
      </c>
      <c r="H51" s="944">
        <f>('Haver Pivoted'!GS79+1)^4-1</f>
        <v>2.894174832740215E-2</v>
      </c>
      <c r="I51" s="944">
        <f>('Haver Pivoted'!GT79+1)^4-1</f>
        <v>6.2522667611889737E-2</v>
      </c>
      <c r="J51" s="944">
        <f>('Haver Pivoted'!GU79+1)^4-1</f>
        <v>-7.4240991087901609E-3</v>
      </c>
      <c r="K51" s="944">
        <f>('Haver Pivoted'!GV79+1)^4-1</f>
        <v>5.0929448665746779E-2</v>
      </c>
      <c r="L51" s="944">
        <f>('Haver Pivoted'!GW79+1)^4-1</f>
        <v>5.7456046457014187E-2</v>
      </c>
      <c r="M51" s="944">
        <f>('Haver Pivoted'!GX79+1)^4-1</f>
        <v>9.8185028225247883E-2</v>
      </c>
      <c r="N51" s="944">
        <f>('Haver Pivoted'!GY79+1)^4-1</f>
        <v>7.1275335420445396E-2</v>
      </c>
      <c r="O51" s="944">
        <f>('Haver Pivoted'!GZ79+1)^4-1</f>
        <v>6.0639425152128945E-2</v>
      </c>
      <c r="P51" s="944">
        <f>('Haver Pivoted'!HA79+1)^4-1</f>
        <v>7.3083340350689641E-2</v>
      </c>
      <c r="Q51" s="944">
        <f>('Haver Pivoted'!HB79+1)^4-1</f>
        <v>8.7536929602414215E-2</v>
      </c>
      <c r="R51" s="944">
        <f>('Haver Pivoted'!HC79+1)^4-1</f>
        <v>0.14059958977185572</v>
      </c>
      <c r="S51" s="947">
        <f>('Haver Pivoted'!HD79+1)^4-1</f>
        <v>5.1674533625485353E-3</v>
      </c>
      <c r="T51" s="947">
        <f>('Haver Pivoted'!HE79+1)^4-1</f>
        <v>2.4708021569921135E-2</v>
      </c>
      <c r="U51" s="947">
        <f>('Haver Pivoted'!HF79+1)^4-1</f>
        <v>-1.0701402735953436E-2</v>
      </c>
      <c r="V51" s="947">
        <f>('Haver Pivoted'!HG79+1)^4-1</f>
        <v>-3.5605877057299118E-2</v>
      </c>
      <c r="W51" s="947">
        <f>('Haver Pivoted'!HH79+1)^4-1</f>
        <v>6.8186173678186135E-2</v>
      </c>
      <c r="X51" s="947">
        <f>('Haver Pivoted'!HI79+1)^4-1</f>
        <v>5.6734763882242412E-3</v>
      </c>
      <c r="Y51" s="947">
        <f>('Haver Pivoted'!HJ79+1)^4-1</f>
        <v>4.1686540954535056E-2</v>
      </c>
      <c r="Z51" s="944">
        <f t="shared" ref="Z51:AF51" si="29">Z49</f>
        <v>5.3269034245715038E-2</v>
      </c>
      <c r="AA51" s="944">
        <f t="shared" si="29"/>
        <v>3.1224337980433163E-2</v>
      </c>
      <c r="AB51" s="944">
        <f t="shared" si="29"/>
        <v>2.6533565330379202E-2</v>
      </c>
      <c r="AC51" s="944">
        <f t="shared" si="29"/>
        <v>2.5821649071183117E-2</v>
      </c>
      <c r="AD51" s="944">
        <f t="shared" si="29"/>
        <v>2.5493967451795996E-2</v>
      </c>
      <c r="AE51" s="944">
        <f t="shared" si="29"/>
        <v>2.5095343044312823E-2</v>
      </c>
      <c r="AF51" s="944">
        <f t="shared" si="29"/>
        <v>2.4877364391311607E-2</v>
      </c>
      <c r="AG51" s="944">
        <f t="shared" ref="AG51" si="30">AG49</f>
        <v>2.492676444114772E-2</v>
      </c>
    </row>
    <row r="52" spans="2:68" x14ac:dyDescent="0.35">
      <c r="B52" s="319" t="s">
        <v>1714</v>
      </c>
      <c r="C52" s="972" t="s">
        <v>1703</v>
      </c>
      <c r="D52" s="923">
        <f>('Haver Pivoted'!GO80+1)^4-1</f>
        <v>4.0962242441666019E-2</v>
      </c>
      <c r="E52" s="924">
        <f>('Haver Pivoted'!GP80+1)^4-1</f>
        <v>1.5719050974356552E-2</v>
      </c>
      <c r="F52" s="924">
        <f>('Haver Pivoted'!GQ80+1)^4-1</f>
        <v>4.3088224053848823E-2</v>
      </c>
      <c r="G52" s="924">
        <f>('Haver Pivoted'!GR80+1)^4-1</f>
        <v>1.6823112159823461E-2</v>
      </c>
      <c r="H52" s="924">
        <f>('Haver Pivoted'!GS80+1)^4-1</f>
        <v>5.3982501773912617E-3</v>
      </c>
      <c r="I52" s="924">
        <f>('Haver Pivoted'!GT80+1)^4-1</f>
        <v>9.7871671399678561E-3</v>
      </c>
      <c r="J52" s="924">
        <f>('Haver Pivoted'!GU80+1)^4-1</f>
        <v>-1.264897125361697E-2</v>
      </c>
      <c r="K52" s="924">
        <f>('Haver Pivoted'!GV80+1)^4-1</f>
        <v>4.0611329344794056E-2</v>
      </c>
      <c r="L52" s="924">
        <f>('Haver Pivoted'!GW80+1)^4-1</f>
        <v>2.1607225299700827E-2</v>
      </c>
      <c r="M52" s="924">
        <f>('Haver Pivoted'!GX80+1)^4-1</f>
        <v>6.5587978667649205E-2</v>
      </c>
      <c r="N52" s="924">
        <f>('Haver Pivoted'!GY80+1)^4-1</f>
        <v>9.6562691223789132E-2</v>
      </c>
      <c r="O52" s="924">
        <f>('Haver Pivoted'!GZ80+1)^4-1</f>
        <v>8.4807929469169041E-2</v>
      </c>
      <c r="P52" s="924">
        <f>('Haver Pivoted'!HA80+1)^4-1</f>
        <v>0.1057724485451752</v>
      </c>
      <c r="Q52" s="924">
        <f>('Haver Pivoted'!HB80+1)^4-1</f>
        <v>0.10808480173082224</v>
      </c>
      <c r="R52" s="924">
        <f>('Haver Pivoted'!HC80+1)^4-1</f>
        <v>0.12258858608776269</v>
      </c>
      <c r="S52" s="964">
        <f>('Haver Pivoted'!HD80+1)^4-1</f>
        <v>7.7728691252704651E-2</v>
      </c>
      <c r="T52" s="964">
        <f>('Haver Pivoted'!HE80+1)^4-1</f>
        <v>4.0349668009795225E-2</v>
      </c>
      <c r="U52" s="964">
        <f>('Haver Pivoted'!HF80+1)^4-1</f>
        <v>5.1960248713186719E-2</v>
      </c>
      <c r="V52" s="964">
        <f>('Haver Pivoted'!HG80+1)^4-1</f>
        <v>3.571644947314212E-3</v>
      </c>
      <c r="W52" s="964">
        <f>('Haver Pivoted'!HH80+1)^4-1</f>
        <v>1.126058576943012E-2</v>
      </c>
      <c r="X52" s="964">
        <f>('Haver Pivoted'!HI80+1)^4-1</f>
        <v>1.0024676064772642E-2</v>
      </c>
      <c r="Y52" s="964">
        <f>('Haver Pivoted'!HJ80+1)^4-1</f>
        <v>2.4361298023588995E-2</v>
      </c>
      <c r="Z52" s="924">
        <f t="shared" ref="Z52:AF52" si="31">Z51</f>
        <v>5.3269034245715038E-2</v>
      </c>
      <c r="AA52" s="924">
        <f t="shared" si="31"/>
        <v>3.1224337980433163E-2</v>
      </c>
      <c r="AB52" s="924">
        <f t="shared" si="31"/>
        <v>2.6533565330379202E-2</v>
      </c>
      <c r="AC52" s="924">
        <f t="shared" si="31"/>
        <v>2.5821649071183117E-2</v>
      </c>
      <c r="AD52" s="924">
        <f t="shared" si="31"/>
        <v>2.5493967451795996E-2</v>
      </c>
      <c r="AE52" s="924">
        <f t="shared" si="31"/>
        <v>2.5095343044312823E-2</v>
      </c>
      <c r="AF52" s="924">
        <f t="shared" si="31"/>
        <v>2.4877364391311607E-2</v>
      </c>
      <c r="AG52" s="924">
        <f t="shared" ref="AG52" si="32">AG51</f>
        <v>2.492676444114772E-2</v>
      </c>
    </row>
    <row r="53" spans="2:68" x14ac:dyDescent="0.35">
      <c r="B53" s="56"/>
      <c r="C53" s="946"/>
      <c r="D53" s="944"/>
      <c r="E53" s="944"/>
      <c r="F53" s="944"/>
      <c r="G53" s="944"/>
      <c r="H53" s="944"/>
      <c r="I53" s="944"/>
      <c r="J53" s="944"/>
      <c r="K53" s="944"/>
      <c r="L53" s="944"/>
      <c r="M53" s="944"/>
      <c r="N53" s="944"/>
      <c r="O53" s="944"/>
      <c r="P53" s="944"/>
      <c r="Q53" s="944"/>
      <c r="R53" s="944"/>
      <c r="X53" s="944"/>
      <c r="AB53" s="944"/>
      <c r="AC53" s="944"/>
      <c r="AD53" s="944"/>
      <c r="AE53" s="944"/>
      <c r="AF53" s="944"/>
    </row>
    <row r="54" spans="2:68" x14ac:dyDescent="0.35">
      <c r="B54" s="56"/>
      <c r="C54" s="946"/>
      <c r="D54" s="944"/>
      <c r="E54" s="944"/>
      <c r="F54" s="944"/>
      <c r="G54" s="944"/>
      <c r="H54" s="944"/>
      <c r="I54" s="944"/>
      <c r="J54" s="944"/>
      <c r="K54" s="944"/>
      <c r="L54" s="944"/>
      <c r="M54" s="944"/>
      <c r="N54" s="944"/>
      <c r="O54" s="944"/>
      <c r="P54" s="944"/>
      <c r="Q54" s="944"/>
      <c r="R54" s="944"/>
      <c r="X54" s="944"/>
      <c r="AB54" s="944"/>
      <c r="AC54" s="944"/>
      <c r="AD54" s="944"/>
      <c r="AE54" s="944"/>
      <c r="AF54" s="944"/>
    </row>
    <row r="55" spans="2:68" x14ac:dyDescent="0.35">
      <c r="B55" s="56"/>
      <c r="C55" s="946"/>
      <c r="D55" s="944"/>
      <c r="E55" s="944"/>
      <c r="F55" s="944"/>
      <c r="G55" s="944"/>
      <c r="H55" s="944"/>
      <c r="I55" s="944"/>
      <c r="J55" s="944"/>
      <c r="K55" s="944"/>
      <c r="L55" s="944"/>
      <c r="M55" s="944"/>
      <c r="N55" s="944"/>
      <c r="O55" s="944"/>
      <c r="P55" s="944"/>
      <c r="Q55" s="944"/>
      <c r="R55" s="944"/>
      <c r="X55" s="944"/>
      <c r="AB55" s="944"/>
      <c r="AC55" s="944"/>
      <c r="AD55" s="944"/>
      <c r="AE55" s="944"/>
      <c r="AF55" s="944"/>
    </row>
    <row r="56" spans="2:68" x14ac:dyDescent="0.35">
      <c r="B56" s="56"/>
      <c r="C56" s="946"/>
      <c r="D56" s="944"/>
      <c r="E56" s="944"/>
      <c r="F56" s="944"/>
      <c r="G56" s="944"/>
      <c r="H56" s="944"/>
      <c r="I56" s="944"/>
      <c r="J56" s="944"/>
      <c r="K56" s="944"/>
      <c r="L56" s="944"/>
      <c r="M56" s="944"/>
      <c r="N56" s="944"/>
      <c r="O56" s="944"/>
      <c r="P56" s="944"/>
      <c r="Q56" s="944"/>
      <c r="R56" s="944"/>
      <c r="X56" s="944"/>
      <c r="AB56" s="944"/>
      <c r="AC56" s="944"/>
      <c r="AD56" s="944"/>
      <c r="AE56" s="944"/>
      <c r="AF56" s="944"/>
    </row>
    <row r="57" spans="2:68" x14ac:dyDescent="0.35">
      <c r="B57" s="56"/>
      <c r="C57" s="946"/>
      <c r="D57" s="944"/>
      <c r="E57" s="944"/>
      <c r="F57" s="944"/>
      <c r="G57" s="944"/>
      <c r="H57" s="944"/>
      <c r="I57" s="944"/>
      <c r="J57" s="944"/>
      <c r="K57" s="944"/>
      <c r="L57" s="944"/>
      <c r="M57" s="944"/>
      <c r="N57" s="944"/>
      <c r="O57" s="944"/>
      <c r="P57" s="944"/>
      <c r="Q57" s="944"/>
      <c r="R57" s="944"/>
      <c r="X57" s="944"/>
      <c r="AB57" s="944"/>
      <c r="AC57" s="944"/>
      <c r="AD57" s="944"/>
      <c r="AE57" s="944"/>
      <c r="AF57" s="944"/>
    </row>
    <row r="58" spans="2:68" x14ac:dyDescent="0.35">
      <c r="B58" s="56"/>
      <c r="C58" s="946"/>
      <c r="D58" s="944"/>
      <c r="E58" s="944"/>
      <c r="F58" s="944"/>
      <c r="G58" s="944"/>
      <c r="H58" s="944"/>
      <c r="I58" s="944"/>
      <c r="J58" s="944"/>
      <c r="K58" s="944"/>
      <c r="L58" s="944"/>
      <c r="M58" s="944"/>
      <c r="N58" s="944"/>
      <c r="O58" s="944"/>
      <c r="P58" s="944"/>
      <c r="Q58" s="944"/>
      <c r="R58" s="944"/>
      <c r="X58" s="944"/>
      <c r="AB58" s="944"/>
      <c r="AC58" s="944"/>
      <c r="AD58" s="944"/>
      <c r="AE58" s="944"/>
      <c r="AF58" s="944"/>
    </row>
    <row r="59" spans="2:68" x14ac:dyDescent="0.35">
      <c r="B59" s="56"/>
      <c r="C59" s="946"/>
      <c r="D59" s="944"/>
      <c r="E59" s="944"/>
      <c r="F59" s="944"/>
      <c r="G59" s="944"/>
      <c r="H59" s="944"/>
      <c r="I59" s="944"/>
      <c r="J59" s="944"/>
      <c r="K59" s="944"/>
      <c r="L59" s="944"/>
      <c r="M59" s="944"/>
      <c r="N59" s="944"/>
      <c r="O59" s="944"/>
      <c r="P59" s="944"/>
      <c r="Q59" s="944"/>
      <c r="R59" s="944"/>
      <c r="X59" s="944"/>
      <c r="AB59" s="944"/>
      <c r="AC59" s="944"/>
      <c r="AD59" s="944"/>
      <c r="AE59" s="944"/>
      <c r="AF59" s="944"/>
    </row>
    <row r="60" spans="2:68" x14ac:dyDescent="0.35">
      <c r="B60" s="56"/>
      <c r="C60" s="946"/>
      <c r="D60" s="944"/>
      <c r="E60" s="944"/>
      <c r="F60" s="944"/>
      <c r="G60" s="944"/>
      <c r="H60" s="944"/>
      <c r="I60" s="944"/>
      <c r="J60" s="944"/>
      <c r="K60" s="944"/>
      <c r="L60" s="944"/>
      <c r="M60" s="944"/>
      <c r="N60" s="944"/>
      <c r="O60" s="944"/>
      <c r="P60" s="944"/>
      <c r="Q60" s="944"/>
      <c r="R60" s="944"/>
      <c r="X60" s="944"/>
      <c r="Y60" s="944"/>
      <c r="Z60" s="944"/>
      <c r="AA60" s="944"/>
      <c r="AB60" s="944"/>
      <c r="AC60" s="944"/>
      <c r="AD60" s="944"/>
      <c r="AE60" s="944"/>
      <c r="AF60" s="944"/>
    </row>
    <row r="61" spans="2:68" ht="14.5" customHeight="1" x14ac:dyDescent="0.35">
      <c r="B61" s="1375" t="s">
        <v>1734</v>
      </c>
      <c r="C61" s="1375"/>
      <c r="D61" s="1375"/>
      <c r="E61" s="1375"/>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row>
    <row r="62" spans="2:68" ht="30" customHeight="1" x14ac:dyDescent="0.35">
      <c r="B62" s="936" t="s">
        <v>1973</v>
      </c>
      <c r="C62" s="963"/>
      <c r="D62" s="219">
        <v>2018</v>
      </c>
      <c r="E62" s="1291">
        <v>2019</v>
      </c>
      <c r="F62" s="1321"/>
      <c r="G62" s="1321"/>
      <c r="H62" s="1293"/>
      <c r="I62" s="1291">
        <v>2020</v>
      </c>
      <c r="J62" s="1321"/>
      <c r="K62" s="1321"/>
      <c r="L62" s="1321"/>
      <c r="M62" s="1291">
        <v>2021</v>
      </c>
      <c r="N62" s="1321"/>
      <c r="O62" s="1321"/>
      <c r="P62" s="1321"/>
      <c r="Q62" s="1308">
        <v>2022</v>
      </c>
      <c r="R62" s="1309"/>
      <c r="S62" s="288"/>
      <c r="T62" s="296"/>
      <c r="U62" s="239"/>
      <c r="V62" s="560">
        <v>2023</v>
      </c>
      <c r="W62" s="289"/>
      <c r="X62" s="289"/>
      <c r="Y62" s="1288">
        <v>2024</v>
      </c>
      <c r="Z62" s="1289"/>
      <c r="AA62" s="1289"/>
      <c r="AB62" s="1290"/>
      <c r="AC62" s="1288">
        <v>2025</v>
      </c>
      <c r="AD62" s="1289"/>
      <c r="AE62" s="1289"/>
      <c r="AF62" s="1290"/>
      <c r="AG62" s="251">
        <v>2026</v>
      </c>
    </row>
    <row r="63" spans="2:68" x14ac:dyDescent="0.35">
      <c r="B63" s="926"/>
      <c r="C63" s="240"/>
      <c r="D63" s="214" t="s">
        <v>282</v>
      </c>
      <c r="E63" s="214" t="s">
        <v>283</v>
      </c>
      <c r="F63" s="215" t="s">
        <v>284</v>
      </c>
      <c r="G63" s="215" t="s">
        <v>238</v>
      </c>
      <c r="H63" s="216" t="s">
        <v>282</v>
      </c>
      <c r="I63" s="215" t="s">
        <v>283</v>
      </c>
      <c r="J63" s="215" t="s">
        <v>284</v>
      </c>
      <c r="K63" s="215" t="s">
        <v>238</v>
      </c>
      <c r="L63" s="215" t="s">
        <v>282</v>
      </c>
      <c r="M63" s="214" t="s">
        <v>283</v>
      </c>
      <c r="N63" s="215" t="s">
        <v>284</v>
      </c>
      <c r="O63" s="215" t="s">
        <v>238</v>
      </c>
      <c r="P63" s="215" t="s">
        <v>282</v>
      </c>
      <c r="Q63" s="214" t="s">
        <v>283</v>
      </c>
      <c r="R63" s="215" t="s">
        <v>284</v>
      </c>
      <c r="S63" s="215" t="s">
        <v>238</v>
      </c>
      <c r="T63" s="216" t="s">
        <v>282</v>
      </c>
      <c r="U63" s="214" t="s">
        <v>283</v>
      </c>
      <c r="V63" s="215" t="s">
        <v>284</v>
      </c>
      <c r="W63" s="326" t="s">
        <v>238</v>
      </c>
      <c r="X63" s="326" t="s">
        <v>282</v>
      </c>
      <c r="Y63" s="433" t="s">
        <v>283</v>
      </c>
      <c r="Z63" s="333" t="s">
        <v>284</v>
      </c>
      <c r="AA63" s="326" t="s">
        <v>238</v>
      </c>
      <c r="AB63" s="432" t="s">
        <v>282</v>
      </c>
      <c r="AC63" s="433" t="s">
        <v>283</v>
      </c>
      <c r="AD63" s="326" t="s">
        <v>284</v>
      </c>
      <c r="AE63" s="326" t="s">
        <v>238</v>
      </c>
      <c r="AF63" s="432" t="s">
        <v>282</v>
      </c>
      <c r="AG63" s="272" t="s">
        <v>283</v>
      </c>
    </row>
    <row r="64" spans="2:68" ht="28.5" customHeight="1" x14ac:dyDescent="0.35">
      <c r="B64" s="481" t="s">
        <v>1972</v>
      </c>
      <c r="C64" s="56" t="s">
        <v>1716</v>
      </c>
      <c r="D64" s="234"/>
      <c r="E64" s="234"/>
      <c r="F64" s="234"/>
      <c r="G64" s="234"/>
      <c r="H64" s="234"/>
      <c r="I64" s="234"/>
      <c r="J64" s="234"/>
      <c r="K64" s="234"/>
      <c r="L64" s="234"/>
      <c r="M64" s="234">
        <v>15217.7</v>
      </c>
      <c r="N64" s="234">
        <v>15950.9</v>
      </c>
      <c r="O64" s="234">
        <v>16285.1</v>
      </c>
      <c r="P64" s="234">
        <v>16718.2</v>
      </c>
      <c r="Q64" s="234">
        <v>17030.599999999999</v>
      </c>
      <c r="R64" s="234">
        <v>17415.099999999999</v>
      </c>
      <c r="S64" s="441">
        <v>17684.2</v>
      </c>
      <c r="T64" s="441">
        <v>17917</v>
      </c>
      <c r="U64" s="441">
        <v>18269.599999999999</v>
      </c>
      <c r="V64" s="441">
        <v>18419</v>
      </c>
      <c r="W64" s="441">
        <v>18679.5</v>
      </c>
      <c r="X64" s="441">
        <v>18914.5</v>
      </c>
      <c r="Y64" s="441">
        <v>19191.599999999999</v>
      </c>
      <c r="Z64" s="441">
        <v>19506.599999999999</v>
      </c>
      <c r="AA64" s="441">
        <v>19739.8</v>
      </c>
      <c r="AB64" s="441">
        <v>19911.8</v>
      </c>
      <c r="AC64" s="441">
        <v>20098.5</v>
      </c>
      <c r="AD64" s="441">
        <v>20285.8</v>
      </c>
      <c r="AE64" s="441">
        <v>20464.099999999999</v>
      </c>
      <c r="AF64" s="441">
        <v>20636.599999999999</v>
      </c>
      <c r="AG64" s="441">
        <v>20786.400000000001</v>
      </c>
      <c r="AH64" s="918">
        <v>20949.8</v>
      </c>
      <c r="AI64" s="918">
        <v>21122.799999999999</v>
      </c>
      <c r="AJ64" s="918">
        <v>21304.1</v>
      </c>
      <c r="AK64">
        <v>21479.7</v>
      </c>
      <c r="AL64">
        <v>21659.5</v>
      </c>
      <c r="AM64">
        <v>21842.799999999999</v>
      </c>
      <c r="AN64">
        <v>22030.5</v>
      </c>
      <c r="AO64">
        <v>22229.7</v>
      </c>
      <c r="AP64">
        <v>22441.1</v>
      </c>
      <c r="AQ64">
        <v>22659.200000000001</v>
      </c>
      <c r="AR64">
        <v>22881.599999999999</v>
      </c>
      <c r="AS64">
        <v>23107.1</v>
      </c>
      <c r="AT64">
        <v>23342.5</v>
      </c>
      <c r="AU64">
        <v>23580.400000000001</v>
      </c>
      <c r="AV64">
        <v>23821.599999999999</v>
      </c>
      <c r="AW64">
        <v>24060.6</v>
      </c>
      <c r="AX64">
        <v>24308.3</v>
      </c>
      <c r="AY64">
        <v>24560.1</v>
      </c>
      <c r="AZ64">
        <v>24811.200000000001</v>
      </c>
      <c r="BA64">
        <v>25066.3</v>
      </c>
      <c r="BB64">
        <v>25325.5</v>
      </c>
      <c r="BC64">
        <v>25589.4</v>
      </c>
      <c r="BD64">
        <v>25868.400000000001</v>
      </c>
      <c r="BE64">
        <v>26142.400000000001</v>
      </c>
      <c r="BF64">
        <v>26418</v>
      </c>
      <c r="BG64">
        <v>26693</v>
      </c>
      <c r="BH64">
        <v>26968</v>
      </c>
      <c r="BI64">
        <v>27246.7</v>
      </c>
      <c r="BJ64">
        <v>27528.2</v>
      </c>
      <c r="BK64">
        <v>27813.200000000001</v>
      </c>
      <c r="BL64">
        <v>28100.799999999999</v>
      </c>
      <c r="BM64">
        <v>28391.5</v>
      </c>
      <c r="BN64">
        <v>28683.8</v>
      </c>
      <c r="BO64">
        <v>28978.400000000001</v>
      </c>
      <c r="BP64">
        <v>29274.3</v>
      </c>
    </row>
    <row r="65" spans="2:68" ht="26.25" customHeight="1" x14ac:dyDescent="0.35">
      <c r="B65" s="927" t="s">
        <v>1974</v>
      </c>
      <c r="C65" s="56" t="s">
        <v>1717</v>
      </c>
      <c r="D65" s="68"/>
      <c r="E65" s="56"/>
      <c r="F65" s="56"/>
      <c r="G65" s="56"/>
      <c r="H65" s="56"/>
      <c r="I65" s="56"/>
      <c r="J65" s="56"/>
      <c r="K65" s="56"/>
      <c r="L65" s="56"/>
      <c r="M65" s="56">
        <v>1609.9</v>
      </c>
      <c r="N65" s="56">
        <v>1588.5</v>
      </c>
      <c r="O65" s="56">
        <v>1576.4</v>
      </c>
      <c r="P65" s="56">
        <v>1602.5</v>
      </c>
      <c r="Q65" s="56">
        <v>1601.7</v>
      </c>
      <c r="R65" s="56">
        <v>1612.3</v>
      </c>
      <c r="S65" s="441">
        <v>1636.3</v>
      </c>
      <c r="T65" s="441">
        <v>1691.8</v>
      </c>
      <c r="U65" s="441">
        <v>1730.6</v>
      </c>
      <c r="V65" s="441">
        <v>1744.3</v>
      </c>
      <c r="W65" s="441">
        <v>1791.9</v>
      </c>
      <c r="X65" s="441">
        <v>1820</v>
      </c>
      <c r="Y65" s="441">
        <v>1837.3</v>
      </c>
      <c r="Z65" s="441">
        <v>1825.6</v>
      </c>
      <c r="AA65" s="441">
        <v>1824.6</v>
      </c>
      <c r="AB65" s="441">
        <v>1842.6</v>
      </c>
      <c r="AC65" s="441">
        <v>1864.3</v>
      </c>
      <c r="AD65" s="441">
        <v>1886.9</v>
      </c>
      <c r="AE65" s="441">
        <v>1910.1</v>
      </c>
      <c r="AF65" s="441">
        <v>1923.8</v>
      </c>
      <c r="AG65" s="930">
        <v>1936.1</v>
      </c>
      <c r="AH65" s="930">
        <v>1950.7</v>
      </c>
      <c r="AI65" s="930">
        <v>1964.1</v>
      </c>
      <c r="AJ65" s="930">
        <v>1978.7</v>
      </c>
      <c r="AK65" s="930">
        <v>1993.5</v>
      </c>
      <c r="AL65" s="930">
        <v>2007</v>
      </c>
      <c r="AM65" s="930">
        <v>2019.8</v>
      </c>
      <c r="AN65" s="930">
        <v>2031.9</v>
      </c>
      <c r="AO65" s="930">
        <v>2043.4</v>
      </c>
      <c r="AP65">
        <v>2054.6</v>
      </c>
      <c r="AQ65">
        <v>2065.9</v>
      </c>
      <c r="AR65">
        <v>2077.3000000000002</v>
      </c>
      <c r="AS65">
        <v>2089.9</v>
      </c>
      <c r="AT65">
        <v>2102</v>
      </c>
      <c r="AU65">
        <v>2114.3000000000002</v>
      </c>
      <c r="AV65">
        <v>2125.1</v>
      </c>
      <c r="AW65">
        <v>2137.1999999999998</v>
      </c>
      <c r="AX65">
        <v>2149.5</v>
      </c>
      <c r="AY65">
        <v>2161.8000000000002</v>
      </c>
      <c r="AZ65">
        <v>2174.1999999999998</v>
      </c>
      <c r="BA65">
        <v>2187.3000000000002</v>
      </c>
      <c r="BB65">
        <v>2200.6</v>
      </c>
      <c r="BC65">
        <v>2213.9</v>
      </c>
      <c r="BD65">
        <v>2217.1999999999998</v>
      </c>
      <c r="BE65">
        <v>2226.4</v>
      </c>
      <c r="BF65">
        <v>2236.9</v>
      </c>
      <c r="BG65">
        <v>2250.1999999999998</v>
      </c>
      <c r="BH65">
        <v>2265.5</v>
      </c>
      <c r="BI65">
        <v>2280.5</v>
      </c>
      <c r="BJ65">
        <v>2294.6</v>
      </c>
      <c r="BK65">
        <v>2308.5</v>
      </c>
      <c r="BL65">
        <v>2322.1999999999998</v>
      </c>
      <c r="BM65">
        <v>2336</v>
      </c>
      <c r="BN65">
        <v>2350</v>
      </c>
      <c r="BO65">
        <v>2364</v>
      </c>
      <c r="BP65">
        <v>2378.5</v>
      </c>
    </row>
    <row r="66" spans="2:68" ht="26.25" customHeight="1" x14ac:dyDescent="0.35">
      <c r="B66" s="927" t="s">
        <v>1975</v>
      </c>
      <c r="C66" s="56" t="s">
        <v>1717</v>
      </c>
      <c r="D66" s="68"/>
      <c r="E66" s="56"/>
      <c r="F66" s="56"/>
      <c r="G66" s="56"/>
      <c r="H66" s="56"/>
      <c r="I66" s="56"/>
      <c r="J66" s="56"/>
      <c r="K66" s="56"/>
      <c r="L66" s="56"/>
      <c r="M66" s="56">
        <v>2533.9</v>
      </c>
      <c r="N66" s="56">
        <v>2571.6999999999998</v>
      </c>
      <c r="O66" s="56">
        <v>2625.1</v>
      </c>
      <c r="P66" s="56">
        <v>2664.2</v>
      </c>
      <c r="Q66" s="56">
        <v>2719.7</v>
      </c>
      <c r="R66" s="56">
        <v>2803.4</v>
      </c>
      <c r="S66" s="441">
        <v>2841.5</v>
      </c>
      <c r="T66" s="441">
        <v>2880.6</v>
      </c>
      <c r="U66" s="441">
        <v>2913.2</v>
      </c>
      <c r="V66" s="441">
        <v>2925.5</v>
      </c>
      <c r="W66" s="441">
        <v>3002.9</v>
      </c>
      <c r="X66" s="441">
        <v>3051.8</v>
      </c>
      <c r="Y66" s="441">
        <v>3094.7</v>
      </c>
      <c r="Z66" s="441">
        <v>3131</v>
      </c>
      <c r="AA66" s="441">
        <v>3158.7</v>
      </c>
      <c r="AB66" s="441">
        <v>3185.3</v>
      </c>
      <c r="AC66" s="441">
        <v>3213.1</v>
      </c>
      <c r="AD66" s="441">
        <v>3241</v>
      </c>
      <c r="AE66" s="441">
        <v>3268</v>
      </c>
      <c r="AF66" s="441">
        <v>3294.9</v>
      </c>
      <c r="AG66" s="931">
        <v>3323</v>
      </c>
      <c r="AH66" s="931">
        <v>3350.6</v>
      </c>
      <c r="AI66" s="931">
        <v>3378.6</v>
      </c>
      <c r="AJ66" s="931">
        <v>3406.2</v>
      </c>
      <c r="AK66" s="931">
        <v>3432.7</v>
      </c>
      <c r="AL66" s="931">
        <v>3459.9</v>
      </c>
      <c r="AM66" s="931">
        <v>3486.6</v>
      </c>
      <c r="AN66" s="931">
        <v>3513.5</v>
      </c>
      <c r="AO66" s="931">
        <v>3540.6</v>
      </c>
      <c r="AP66">
        <v>3567.5</v>
      </c>
      <c r="AQ66">
        <v>3594.6</v>
      </c>
      <c r="AR66">
        <v>3622.1</v>
      </c>
      <c r="AS66">
        <v>3649.4</v>
      </c>
      <c r="AT66">
        <v>3677.5</v>
      </c>
      <c r="AU66">
        <v>3705.3</v>
      </c>
      <c r="AV66">
        <v>3733.6</v>
      </c>
      <c r="AW66">
        <v>3762.8</v>
      </c>
      <c r="AX66">
        <v>3792.4</v>
      </c>
      <c r="AY66">
        <v>3822.3</v>
      </c>
      <c r="AZ66">
        <v>3852.7</v>
      </c>
      <c r="BA66">
        <v>3883.6</v>
      </c>
      <c r="BB66">
        <v>3915</v>
      </c>
      <c r="BC66">
        <v>3946.7</v>
      </c>
      <c r="BD66">
        <v>3978.2</v>
      </c>
      <c r="BE66">
        <v>4010.4</v>
      </c>
      <c r="BF66">
        <v>4043.1</v>
      </c>
      <c r="BG66">
        <v>4076.2</v>
      </c>
      <c r="BH66">
        <v>4109.7</v>
      </c>
      <c r="BI66">
        <v>4143.3999999999996</v>
      </c>
      <c r="BJ66">
        <v>4177.3999999999996</v>
      </c>
      <c r="BK66">
        <v>4211.7</v>
      </c>
      <c r="BL66">
        <v>4246.3</v>
      </c>
      <c r="BM66">
        <v>4281.3</v>
      </c>
      <c r="BN66">
        <v>4316.6000000000004</v>
      </c>
      <c r="BO66">
        <v>4352.2</v>
      </c>
      <c r="BP66">
        <v>4388.3</v>
      </c>
    </row>
    <row r="67" spans="2:68" ht="26.25" customHeight="1" x14ac:dyDescent="0.35">
      <c r="B67" s="927" t="s">
        <v>1976</v>
      </c>
      <c r="C67" s="56" t="s">
        <v>1718</v>
      </c>
      <c r="D67" s="68"/>
      <c r="E67" s="56"/>
      <c r="F67" s="56"/>
      <c r="G67" s="56"/>
      <c r="H67" s="56"/>
      <c r="I67" s="56"/>
      <c r="J67" s="56"/>
      <c r="K67" s="56"/>
      <c r="L67" s="56"/>
      <c r="M67" s="56">
        <v>14282.6</v>
      </c>
      <c r="N67" s="56">
        <v>14745.6</v>
      </c>
      <c r="O67" s="56">
        <v>14848.8</v>
      </c>
      <c r="P67" s="56">
        <v>14995.6</v>
      </c>
      <c r="Q67" s="56">
        <v>14995.2</v>
      </c>
      <c r="R67" s="56">
        <v>15069.2</v>
      </c>
      <c r="S67" s="441">
        <v>15127.4</v>
      </c>
      <c r="T67" s="441">
        <v>15171.4</v>
      </c>
      <c r="U67" s="441">
        <v>15312.9</v>
      </c>
      <c r="V67" s="441">
        <v>15343.6</v>
      </c>
      <c r="W67" s="441">
        <v>15461.4</v>
      </c>
      <c r="X67" s="441">
        <v>15586.7</v>
      </c>
      <c r="Y67" s="441">
        <v>15683.5</v>
      </c>
      <c r="Z67" s="441">
        <v>15816.9</v>
      </c>
      <c r="AA67" s="441">
        <v>15917.3</v>
      </c>
      <c r="AB67" s="441">
        <v>15974.8</v>
      </c>
      <c r="AC67" s="441">
        <v>16037.9</v>
      </c>
      <c r="AD67" s="441">
        <v>16101.2</v>
      </c>
      <c r="AE67" s="441">
        <v>16159.7</v>
      </c>
      <c r="AF67" s="441">
        <v>16215</v>
      </c>
      <c r="AG67" s="931">
        <v>16253</v>
      </c>
      <c r="AH67" s="931">
        <v>16301.8</v>
      </c>
      <c r="AI67" s="931">
        <v>16358</v>
      </c>
      <c r="AJ67" s="931">
        <v>16420.5</v>
      </c>
      <c r="AK67" s="931">
        <v>16477.900000000001</v>
      </c>
      <c r="AL67" s="931">
        <v>16537.599999999999</v>
      </c>
      <c r="AM67" s="931">
        <v>16599.099999999999</v>
      </c>
      <c r="AN67" s="931">
        <v>16662.8</v>
      </c>
      <c r="AO67" s="931">
        <v>16733.8</v>
      </c>
      <c r="AP67">
        <v>16812.400000000001</v>
      </c>
      <c r="AQ67">
        <v>16894.599999999999</v>
      </c>
      <c r="AR67">
        <v>16978.599999999999</v>
      </c>
      <c r="AS67">
        <v>17063.400000000001</v>
      </c>
      <c r="AT67">
        <v>17154.2</v>
      </c>
      <c r="AU67">
        <v>17245.5</v>
      </c>
      <c r="AV67">
        <v>17337.8</v>
      </c>
      <c r="AW67">
        <v>17427.2</v>
      </c>
      <c r="AX67">
        <v>17521.400000000001</v>
      </c>
      <c r="AY67">
        <v>17617.400000000001</v>
      </c>
      <c r="AZ67">
        <v>17711.400000000001</v>
      </c>
      <c r="BA67">
        <v>17807</v>
      </c>
      <c r="BB67">
        <v>17904.099999999999</v>
      </c>
      <c r="BC67">
        <v>18003.099999999999</v>
      </c>
      <c r="BD67">
        <v>18111.400000000001</v>
      </c>
      <c r="BE67">
        <v>18214.599999999999</v>
      </c>
      <c r="BF67">
        <v>18317.5</v>
      </c>
      <c r="BG67">
        <v>18418.599999999999</v>
      </c>
      <c r="BH67">
        <v>18518.3</v>
      </c>
      <c r="BI67">
        <v>18619.099999999999</v>
      </c>
      <c r="BJ67">
        <v>18720.3</v>
      </c>
      <c r="BK67">
        <v>18822.599999999999</v>
      </c>
      <c r="BL67">
        <v>18925.099999999999</v>
      </c>
      <c r="BM67">
        <v>19028.3</v>
      </c>
      <c r="BN67">
        <v>19131.099999999999</v>
      </c>
      <c r="BO67">
        <v>19234</v>
      </c>
      <c r="BP67">
        <v>19336.3</v>
      </c>
    </row>
    <row r="68" spans="2:68" ht="26.25" customHeight="1" x14ac:dyDescent="0.35">
      <c r="B68" s="927" t="s">
        <v>1977</v>
      </c>
      <c r="C68" s="56" t="s">
        <v>1719</v>
      </c>
      <c r="D68" s="68"/>
      <c r="E68" s="56"/>
      <c r="F68" s="56"/>
      <c r="G68" s="56"/>
      <c r="H68" s="56"/>
      <c r="I68" s="56"/>
      <c r="J68" s="56"/>
      <c r="K68" s="56"/>
      <c r="L68" s="56"/>
      <c r="M68" s="56">
        <v>1499.1</v>
      </c>
      <c r="N68" s="56">
        <v>1464.8</v>
      </c>
      <c r="O68" s="56">
        <v>1439.1</v>
      </c>
      <c r="P68" s="56">
        <v>1446.5</v>
      </c>
      <c r="Q68" s="56">
        <v>1420.9</v>
      </c>
      <c r="R68" s="56">
        <v>1406.9</v>
      </c>
      <c r="S68" s="441">
        <v>1411.2</v>
      </c>
      <c r="T68" s="441">
        <v>1444.5</v>
      </c>
      <c r="U68" s="441">
        <v>1462.8</v>
      </c>
      <c r="V68" s="441">
        <v>1466.9</v>
      </c>
      <c r="W68" s="441">
        <v>1492.3</v>
      </c>
      <c r="X68" s="441">
        <v>1501</v>
      </c>
      <c r="Y68" s="441">
        <v>1500.1</v>
      </c>
      <c r="Z68" s="441">
        <v>1478.5</v>
      </c>
      <c r="AA68" s="441">
        <v>1467.7</v>
      </c>
      <c r="AB68" s="441">
        <v>1472.9</v>
      </c>
      <c r="AC68" s="441">
        <v>1481.3</v>
      </c>
      <c r="AD68" s="441">
        <v>1490.5</v>
      </c>
      <c r="AE68" s="441">
        <v>1500.1</v>
      </c>
      <c r="AF68" s="441">
        <v>1502.1</v>
      </c>
      <c r="AG68" s="931">
        <v>1505</v>
      </c>
      <c r="AH68" s="931">
        <v>1509.3</v>
      </c>
      <c r="AI68" s="931">
        <v>1512.2</v>
      </c>
      <c r="AJ68" s="931">
        <v>1515.8</v>
      </c>
      <c r="AK68" s="931">
        <v>1519.3</v>
      </c>
      <c r="AL68" s="931">
        <v>1521.8</v>
      </c>
      <c r="AM68" s="931">
        <v>1523.6</v>
      </c>
      <c r="AN68" s="931">
        <v>1524.3</v>
      </c>
      <c r="AO68" s="931">
        <v>1524.7</v>
      </c>
      <c r="AP68">
        <v>1524.6</v>
      </c>
      <c r="AQ68">
        <v>1524.6</v>
      </c>
      <c r="AR68">
        <v>1524.6</v>
      </c>
      <c r="AS68">
        <v>1525.5</v>
      </c>
      <c r="AT68">
        <v>1526.2</v>
      </c>
      <c r="AU68">
        <v>1526.9</v>
      </c>
      <c r="AV68">
        <v>1526.5</v>
      </c>
      <c r="AW68">
        <v>1527.3</v>
      </c>
      <c r="AX68">
        <v>1528</v>
      </c>
      <c r="AY68">
        <v>1528.7</v>
      </c>
      <c r="AZ68">
        <v>1529.4</v>
      </c>
      <c r="BA68">
        <v>1530.5</v>
      </c>
      <c r="BB68">
        <v>1531.7</v>
      </c>
      <c r="BC68">
        <v>1532.9</v>
      </c>
      <c r="BD68">
        <v>1527.2</v>
      </c>
      <c r="BE68">
        <v>1526</v>
      </c>
      <c r="BF68">
        <v>1525.5</v>
      </c>
      <c r="BG68">
        <v>1526.8</v>
      </c>
      <c r="BH68">
        <v>1529.1</v>
      </c>
      <c r="BI68">
        <v>1531.1</v>
      </c>
      <c r="BJ68">
        <v>1532.5</v>
      </c>
      <c r="BK68">
        <v>1533.6</v>
      </c>
      <c r="BL68">
        <v>1534.6</v>
      </c>
      <c r="BM68">
        <v>1535.6</v>
      </c>
      <c r="BN68">
        <v>1536.6</v>
      </c>
      <c r="BO68">
        <v>1537.6</v>
      </c>
      <c r="BP68">
        <v>1538.9</v>
      </c>
    </row>
    <row r="69" spans="2:68" ht="26.15" customHeight="1" x14ac:dyDescent="0.35">
      <c r="B69" s="927" t="s">
        <v>1978</v>
      </c>
      <c r="C69" s="57" t="s">
        <v>1720</v>
      </c>
      <c r="D69" s="68"/>
      <c r="E69" s="56"/>
      <c r="F69" s="56"/>
      <c r="G69" s="56"/>
      <c r="H69" s="56"/>
      <c r="I69" s="56"/>
      <c r="J69" s="56"/>
      <c r="K69" s="56"/>
      <c r="L69" s="56"/>
      <c r="M69" s="56">
        <v>2247</v>
      </c>
      <c r="N69" s="56">
        <v>2239.1999999999998</v>
      </c>
      <c r="O69" s="56">
        <v>2250.1</v>
      </c>
      <c r="P69" s="56">
        <v>2240.9</v>
      </c>
      <c r="Q69" s="56">
        <v>2238.4</v>
      </c>
      <c r="R69" s="56">
        <v>2234.1</v>
      </c>
      <c r="S69" s="441">
        <v>2255.1</v>
      </c>
      <c r="T69" s="441">
        <v>2270.8000000000002</v>
      </c>
      <c r="U69" s="441">
        <v>2296.5</v>
      </c>
      <c r="V69" s="441">
        <v>2323</v>
      </c>
      <c r="W69" s="441">
        <v>2351.4</v>
      </c>
      <c r="X69" s="441">
        <v>2385.9</v>
      </c>
      <c r="Y69" s="441">
        <v>2397.9</v>
      </c>
      <c r="Z69" s="441">
        <v>2402.1999999999998</v>
      </c>
      <c r="AA69" s="441">
        <v>2408.6999999999998</v>
      </c>
      <c r="AB69" s="441">
        <v>2414.9</v>
      </c>
      <c r="AC69" s="441">
        <v>2420.5</v>
      </c>
      <c r="AD69" s="441">
        <v>2426.1999999999998</v>
      </c>
      <c r="AE69" s="441">
        <v>2431.3000000000002</v>
      </c>
      <c r="AF69" s="441">
        <v>2436.3000000000002</v>
      </c>
      <c r="AG69" s="918">
        <v>2442</v>
      </c>
      <c r="AH69" s="918">
        <v>2447.1</v>
      </c>
      <c r="AI69" s="918">
        <v>2452.1</v>
      </c>
      <c r="AJ69" s="918">
        <v>2456.6999999999998</v>
      </c>
      <c r="AK69" s="931">
        <v>2460.3000000000002</v>
      </c>
      <c r="AL69" s="931">
        <v>2464.1</v>
      </c>
      <c r="AM69" s="931">
        <v>2467.3000000000002</v>
      </c>
      <c r="AN69" s="931">
        <v>2470.4</v>
      </c>
      <c r="AO69" s="931">
        <v>2473.3000000000002</v>
      </c>
      <c r="AP69">
        <v>2475.6</v>
      </c>
      <c r="AQ69">
        <v>2477.6999999999998</v>
      </c>
      <c r="AR69">
        <v>2479.6999999999998</v>
      </c>
      <c r="AS69">
        <v>2481.3000000000002</v>
      </c>
      <c r="AT69">
        <v>2483.3000000000002</v>
      </c>
      <c r="AU69">
        <v>2484.8000000000002</v>
      </c>
      <c r="AV69">
        <v>2486.4</v>
      </c>
      <c r="AW69">
        <v>2488.4</v>
      </c>
      <c r="AX69">
        <v>2490.4</v>
      </c>
      <c r="AY69">
        <v>2492.5</v>
      </c>
      <c r="AZ69">
        <v>2494.6999999999998</v>
      </c>
      <c r="BA69">
        <v>2497.1</v>
      </c>
      <c r="BB69">
        <v>2499.5</v>
      </c>
      <c r="BC69">
        <v>2502</v>
      </c>
      <c r="BD69">
        <v>2504.1</v>
      </c>
      <c r="BE69">
        <v>2506.4</v>
      </c>
      <c r="BF69">
        <v>2508.8000000000002</v>
      </c>
      <c r="BG69">
        <v>2511.3000000000002</v>
      </c>
      <c r="BH69">
        <v>2513.9</v>
      </c>
      <c r="BI69">
        <v>2516.3000000000002</v>
      </c>
      <c r="BJ69">
        <v>2518.8000000000002</v>
      </c>
      <c r="BK69">
        <v>2521.1999999999998</v>
      </c>
      <c r="BL69">
        <v>2523.5</v>
      </c>
      <c r="BM69">
        <v>2525.8000000000002</v>
      </c>
      <c r="BN69">
        <v>2528</v>
      </c>
      <c r="BO69">
        <v>2530.1</v>
      </c>
      <c r="BP69">
        <v>2532.3000000000002</v>
      </c>
    </row>
    <row r="70" spans="2:68" x14ac:dyDescent="0.35">
      <c r="B70" s="937"/>
      <c r="C70" s="938"/>
      <c r="D70" s="967"/>
      <c r="E70" s="967"/>
      <c r="F70" s="967"/>
      <c r="G70" s="967"/>
      <c r="H70" s="967"/>
      <c r="I70" s="967"/>
      <c r="J70" s="967"/>
      <c r="K70" s="967"/>
      <c r="L70" s="967"/>
      <c r="M70" s="967"/>
      <c r="N70" s="967"/>
      <c r="O70" s="967"/>
      <c r="P70" s="967"/>
      <c r="Q70" s="967"/>
      <c r="R70" s="967"/>
      <c r="S70" s="967"/>
      <c r="T70" s="968" t="s">
        <v>1706</v>
      </c>
      <c r="U70" s="939"/>
      <c r="V70" s="939"/>
      <c r="W70" s="939"/>
      <c r="X70" s="939"/>
      <c r="Y70" s="939"/>
      <c r="Z70" s="939"/>
      <c r="AA70" s="939"/>
      <c r="AB70" s="939"/>
      <c r="AC70" s="939"/>
      <c r="AD70" s="939"/>
      <c r="AE70" s="939"/>
      <c r="AF70" s="940"/>
      <c r="AG70" s="240"/>
      <c r="AH70" s="240"/>
      <c r="AI70" s="240"/>
      <c r="AJ70" s="240"/>
      <c r="AK70" s="240"/>
      <c r="AL70" s="240"/>
      <c r="AM70" s="240"/>
      <c r="AN70" s="240"/>
      <c r="AO70" s="240"/>
      <c r="AP70" s="56"/>
      <c r="AQ70" s="56"/>
      <c r="AR70" s="56"/>
      <c r="AS70" s="56"/>
      <c r="AT70" s="56"/>
      <c r="AU70" s="56"/>
      <c r="AV70" s="56"/>
    </row>
    <row r="71" spans="2:68" x14ac:dyDescent="0.35">
      <c r="B71" s="956" t="s">
        <v>1710</v>
      </c>
      <c r="C71" s="449"/>
      <c r="D71" s="450"/>
      <c r="E71" s="450"/>
      <c r="F71" s="450"/>
      <c r="G71" s="450"/>
      <c r="H71" s="450"/>
      <c r="I71" s="450"/>
      <c r="J71" s="450"/>
      <c r="K71" s="450"/>
      <c r="L71" s="450"/>
      <c r="M71" s="450"/>
      <c r="N71" s="450"/>
      <c r="O71" s="450"/>
      <c r="P71" s="450"/>
      <c r="Q71" s="450"/>
      <c r="R71" s="450"/>
      <c r="S71" s="933">
        <f t="shared" ref="S71:AF71" si="33">S64/S67</f>
        <v>1.1690178087443976</v>
      </c>
      <c r="T71" s="933">
        <f t="shared" si="33"/>
        <v>1.1809720922261624</v>
      </c>
      <c r="U71" s="933">
        <f t="shared" si="33"/>
        <v>1.1930855683769892</v>
      </c>
      <c r="V71" s="933">
        <f>V64/V67</f>
        <v>1.2004353606715503</v>
      </c>
      <c r="W71" s="933">
        <f t="shared" si="33"/>
        <v>1.208137684815088</v>
      </c>
      <c r="X71" s="933">
        <f t="shared" si="33"/>
        <v>1.2135025374197232</v>
      </c>
      <c r="Y71" s="933">
        <f t="shared" si="33"/>
        <v>1.2236809385660088</v>
      </c>
      <c r="Z71" s="933">
        <f t="shared" si="33"/>
        <v>1.233275799935512</v>
      </c>
      <c r="AA71" s="933">
        <f t="shared" si="33"/>
        <v>1.2401475124550019</v>
      </c>
      <c r="AB71" s="933">
        <f t="shared" si="33"/>
        <v>1.246450659789168</v>
      </c>
      <c r="AC71" s="933">
        <f t="shared" si="33"/>
        <v>1.2531877614899707</v>
      </c>
      <c r="AD71" s="933">
        <f t="shared" si="33"/>
        <v>1.2598936725213026</v>
      </c>
      <c r="AE71" s="933">
        <f t="shared" si="33"/>
        <v>1.2663663310581259</v>
      </c>
      <c r="AF71" s="969">
        <f t="shared" si="33"/>
        <v>1.2726857847671909</v>
      </c>
      <c r="AG71" s="969">
        <f>AG64/AG67</f>
        <v>1.2789269673291086</v>
      </c>
      <c r="AH71" s="969"/>
      <c r="AI71" s="969"/>
      <c r="AJ71" s="969"/>
      <c r="AK71" s="930"/>
      <c r="AL71" s="930"/>
      <c r="AM71" s="930"/>
      <c r="AN71" s="930"/>
      <c r="AO71" s="930"/>
    </row>
    <row r="72" spans="2:68" x14ac:dyDescent="0.35">
      <c r="B72" s="68" t="s">
        <v>1711</v>
      </c>
      <c r="C72" s="224"/>
      <c r="D72" s="56"/>
      <c r="E72" s="56"/>
      <c r="F72" s="56"/>
      <c r="G72" s="56"/>
      <c r="H72" s="56"/>
      <c r="I72" s="56"/>
      <c r="J72" s="56"/>
      <c r="K72" s="56"/>
      <c r="L72" s="56"/>
      <c r="M72" s="56"/>
      <c r="N72" s="56"/>
      <c r="O72" s="56"/>
      <c r="P72" s="56"/>
      <c r="Q72" s="56"/>
      <c r="R72" s="56"/>
      <c r="S72" s="929">
        <f t="shared" ref="S72:AF72" si="34">S65/S68</f>
        <v>1.1595096371882085</v>
      </c>
      <c r="T72" s="929">
        <f t="shared" si="34"/>
        <v>1.1712011076497058</v>
      </c>
      <c r="U72" s="929">
        <f t="shared" si="34"/>
        <v>1.1830735575608422</v>
      </c>
      <c r="V72" s="929">
        <f t="shared" si="34"/>
        <v>1.1891062785465947</v>
      </c>
      <c r="W72" s="929">
        <f t="shared" si="34"/>
        <v>1.2007639214635129</v>
      </c>
      <c r="X72" s="929">
        <f t="shared" si="34"/>
        <v>1.2125249833444371</v>
      </c>
      <c r="Y72" s="929">
        <f t="shared" si="34"/>
        <v>1.224785014332378</v>
      </c>
      <c r="Z72" s="929">
        <f t="shared" si="34"/>
        <v>1.2347649644910381</v>
      </c>
      <c r="AA72" s="929">
        <f t="shared" si="34"/>
        <v>1.2431695850650677</v>
      </c>
      <c r="AB72" s="929">
        <f t="shared" si="34"/>
        <v>1.2510014257587072</v>
      </c>
      <c r="AC72" s="929">
        <f t="shared" si="34"/>
        <v>1.258556673192466</v>
      </c>
      <c r="AD72" s="929">
        <f t="shared" si="34"/>
        <v>1.2659510231465951</v>
      </c>
      <c r="AE72" s="929">
        <f t="shared" si="34"/>
        <v>1.273315112325845</v>
      </c>
      <c r="AF72" s="934">
        <f t="shared" si="34"/>
        <v>1.2807402969176487</v>
      </c>
      <c r="AG72" s="934">
        <f>AG65/AG68</f>
        <v>1.2864451827242525</v>
      </c>
      <c r="AH72" s="931"/>
      <c r="AI72" s="931"/>
      <c r="AJ72" s="931"/>
      <c r="AK72" s="931"/>
      <c r="AL72" s="931"/>
      <c r="AM72" s="931"/>
      <c r="AN72" s="931"/>
      <c r="AO72" s="931"/>
    </row>
    <row r="73" spans="2:68" x14ac:dyDescent="0.35">
      <c r="B73" s="319" t="s">
        <v>1712</v>
      </c>
      <c r="C73" s="225"/>
      <c r="D73" s="57"/>
      <c r="E73" s="57"/>
      <c r="F73" s="57"/>
      <c r="G73" s="57"/>
      <c r="H73" s="57"/>
      <c r="I73" s="57"/>
      <c r="J73" s="57"/>
      <c r="K73" s="57"/>
      <c r="L73" s="57"/>
      <c r="M73" s="57"/>
      <c r="N73" s="57"/>
      <c r="O73" s="57"/>
      <c r="P73" s="57"/>
      <c r="Q73" s="57"/>
      <c r="R73" s="57"/>
      <c r="S73" s="932">
        <f t="shared" ref="S73:AF73" si="35">S66/S69</f>
        <v>1.2600328145093345</v>
      </c>
      <c r="T73" s="932">
        <f t="shared" si="35"/>
        <v>1.268539721683988</v>
      </c>
      <c r="U73" s="932">
        <f t="shared" si="35"/>
        <v>1.2685390812105377</v>
      </c>
      <c r="V73" s="932">
        <f t="shared" si="35"/>
        <v>1.2593628928110203</v>
      </c>
      <c r="W73" s="932">
        <f t="shared" si="35"/>
        <v>1.2770689801820192</v>
      </c>
      <c r="X73" s="932">
        <f t="shared" si="35"/>
        <v>1.2790980342847562</v>
      </c>
      <c r="Y73" s="932">
        <f t="shared" si="35"/>
        <v>1.2905875974811292</v>
      </c>
      <c r="Z73" s="932">
        <f t="shared" si="35"/>
        <v>1.303388560486221</v>
      </c>
      <c r="AA73" s="932">
        <f t="shared" si="35"/>
        <v>1.3113712791132146</v>
      </c>
      <c r="AB73" s="932">
        <f t="shared" si="35"/>
        <v>1.3190194210940411</v>
      </c>
      <c r="AC73" s="932">
        <f t="shared" si="35"/>
        <v>1.3274530055773599</v>
      </c>
      <c r="AD73" s="932">
        <f t="shared" si="35"/>
        <v>1.3358338141950377</v>
      </c>
      <c r="AE73" s="932">
        <f t="shared" si="35"/>
        <v>1.3441368815037222</v>
      </c>
      <c r="AF73" s="935">
        <f t="shared" si="35"/>
        <v>1.3524196527521242</v>
      </c>
      <c r="AG73" s="935">
        <f t="shared" ref="AG73" si="36">AG66/AG69</f>
        <v>1.3607698607698608</v>
      </c>
      <c r="AH73" s="931"/>
      <c r="AI73" s="931"/>
      <c r="AJ73" s="931"/>
      <c r="AK73" s="931"/>
      <c r="AL73" s="931"/>
      <c r="AM73" s="931"/>
      <c r="AN73" s="931"/>
      <c r="AO73" s="931"/>
    </row>
    <row r="74" spans="2:68" x14ac:dyDescent="0.35">
      <c r="B74" s="928"/>
      <c r="C74" s="928"/>
      <c r="D74" s="240"/>
      <c r="E74" s="240"/>
      <c r="F74" s="240"/>
      <c r="G74" s="240"/>
      <c r="H74" s="240"/>
      <c r="I74" s="240"/>
      <c r="J74" s="240"/>
      <c r="K74" s="240"/>
      <c r="L74" s="240"/>
      <c r="M74" s="240"/>
      <c r="N74" s="240"/>
      <c r="O74" s="240"/>
      <c r="P74" s="240"/>
      <c r="Q74" s="240"/>
      <c r="R74" s="240"/>
      <c r="S74" s="240"/>
      <c r="T74" s="240"/>
      <c r="U74" s="240"/>
      <c r="V74" s="240"/>
      <c r="W74" s="240"/>
      <c r="X74" s="240"/>
      <c r="Y74" s="240"/>
      <c r="Z74" s="56"/>
      <c r="AA74" s="56"/>
      <c r="AB74" s="56"/>
      <c r="AC74" s="56"/>
      <c r="AD74" s="56"/>
      <c r="AE74" s="56"/>
      <c r="AF74" s="56"/>
    </row>
    <row r="75" spans="2:68" x14ac:dyDescent="0.35">
      <c r="B75" s="928"/>
      <c r="C75" s="928"/>
      <c r="D75" s="240"/>
      <c r="E75" s="240"/>
      <c r="F75" s="240"/>
      <c r="G75" s="240"/>
      <c r="H75" s="240"/>
      <c r="I75" s="240"/>
      <c r="J75" s="240"/>
      <c r="K75" s="240"/>
      <c r="L75" s="240"/>
      <c r="M75" s="240"/>
      <c r="N75" s="240"/>
      <c r="O75" s="240"/>
      <c r="P75" s="240"/>
      <c r="Q75" s="240"/>
      <c r="R75" s="240"/>
      <c r="S75" s="240"/>
      <c r="T75" s="862"/>
      <c r="U75" s="862"/>
      <c r="V75" s="862"/>
      <c r="W75" s="862"/>
      <c r="X75" s="862"/>
      <c r="Y75" s="862"/>
      <c r="Z75" s="862"/>
      <c r="AA75" s="862"/>
      <c r="AB75" s="862"/>
      <c r="AC75" s="862"/>
      <c r="AD75" s="862"/>
      <c r="AE75" s="862"/>
      <c r="AF75" s="862"/>
    </row>
    <row r="77" spans="2:68" x14ac:dyDescent="0.35">
      <c r="C77" s="30"/>
      <c r="D77" s="970"/>
      <c r="E77" s="970"/>
      <c r="F77" s="970"/>
      <c r="G77" s="970"/>
    </row>
    <row r="81" spans="3:13" x14ac:dyDescent="0.35">
      <c r="C81" s="14"/>
      <c r="D81" s="74"/>
      <c r="E81" s="74"/>
      <c r="F81" s="74"/>
      <c r="G81" s="74"/>
      <c r="H81" s="74"/>
      <c r="I81" s="74"/>
      <c r="J81" s="74"/>
      <c r="K81" s="74"/>
      <c r="L81" s="74"/>
      <c r="M81" s="74"/>
    </row>
    <row r="82" spans="3:13" x14ac:dyDescent="0.35">
      <c r="C82" s="30"/>
      <c r="D82" s="973"/>
      <c r="E82" s="973"/>
      <c r="F82" s="973"/>
      <c r="G82" s="973"/>
      <c r="H82" s="973"/>
      <c r="I82" s="973"/>
      <c r="J82" s="973"/>
      <c r="K82" s="973"/>
      <c r="L82" s="973"/>
      <c r="M82" s="973"/>
    </row>
    <row r="83" spans="3:13" x14ac:dyDescent="0.35">
      <c r="C83" s="970"/>
      <c r="D83" s="973"/>
      <c r="E83" s="973"/>
      <c r="F83" s="973"/>
      <c r="G83" s="973"/>
      <c r="H83" s="973"/>
      <c r="I83" s="973"/>
      <c r="J83" s="973"/>
      <c r="K83" s="973"/>
      <c r="L83" s="973"/>
      <c r="M83" s="973"/>
    </row>
    <row r="84" spans="3:13" x14ac:dyDescent="0.35">
      <c r="C84" s="970"/>
      <c r="D84" s="973"/>
      <c r="E84" s="973"/>
      <c r="F84" s="973"/>
      <c r="G84" s="973"/>
      <c r="H84" s="973"/>
      <c r="I84" s="973"/>
      <c r="J84" s="973"/>
      <c r="K84" s="973"/>
      <c r="L84" s="973"/>
      <c r="M84" s="973"/>
    </row>
    <row r="85" spans="3:13" x14ac:dyDescent="0.35">
      <c r="C85" s="970"/>
      <c r="D85" s="973"/>
      <c r="E85" s="973"/>
      <c r="F85" s="973"/>
      <c r="G85" s="973"/>
      <c r="H85" s="973"/>
      <c r="I85" s="973"/>
      <c r="J85" s="973"/>
      <c r="K85" s="973"/>
      <c r="L85" s="973"/>
      <c r="M85" s="973"/>
    </row>
    <row r="86" spans="3:13" x14ac:dyDescent="0.35">
      <c r="C86" s="970"/>
      <c r="D86" s="973"/>
      <c r="E86" s="973"/>
      <c r="F86" s="973"/>
      <c r="G86" s="973"/>
      <c r="H86" s="973"/>
      <c r="I86" s="973"/>
      <c r="J86" s="973"/>
      <c r="K86" s="973"/>
      <c r="L86" s="973"/>
      <c r="M86" s="973"/>
    </row>
  </sheetData>
  <mergeCells count="31">
    <mergeCell ref="B22:AJ2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62:AB62"/>
    <mergeCell ref="AC43:AF43"/>
    <mergeCell ref="Y9:AB9"/>
    <mergeCell ref="Y43:AB43"/>
    <mergeCell ref="B61:E61"/>
    <mergeCell ref="Q62:R62"/>
    <mergeCell ref="M9:P9"/>
    <mergeCell ref="Q9:R9"/>
    <mergeCell ref="E62:H62"/>
    <mergeCell ref="I62:L62"/>
    <mergeCell ref="M62:P62"/>
    <mergeCell ref="E9:H9"/>
    <mergeCell ref="I9:L9"/>
    <mergeCell ref="AC62:AF62"/>
    <mergeCell ref="W42:AG42"/>
    <mergeCell ref="AG9:AJ9"/>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5" zoomScale="61" zoomScaleNormal="143" workbookViewId="0">
      <selection activeCell="AB52" sqref="AB52"/>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77" t="s">
        <v>316</v>
      </c>
      <c r="I1" s="1277"/>
      <c r="J1" s="1277"/>
      <c r="K1" s="1277"/>
      <c r="L1" s="1277"/>
      <c r="M1" s="1277"/>
      <c r="N1" s="1277"/>
      <c r="O1" s="1277"/>
      <c r="P1" s="1277"/>
      <c r="Q1" s="1277"/>
      <c r="R1" s="1277"/>
      <c r="S1" s="1277"/>
    </row>
    <row r="2" spans="8:22" x14ac:dyDescent="0.35">
      <c r="H2" s="1314" t="s">
        <v>317</v>
      </c>
      <c r="I2" s="1314"/>
      <c r="J2" s="1314"/>
      <c r="K2" s="1314"/>
      <c r="L2" s="1314"/>
      <c r="M2" s="1314"/>
      <c r="N2" s="1314"/>
      <c r="O2" s="1314"/>
      <c r="P2" s="1314"/>
      <c r="Q2" s="1314"/>
      <c r="R2" s="1314"/>
      <c r="S2" s="1314"/>
    </row>
    <row r="3" spans="8:22" x14ac:dyDescent="0.35">
      <c r="H3" s="1314"/>
      <c r="I3" s="1314"/>
      <c r="J3" s="1314"/>
      <c r="K3" s="1314"/>
      <c r="L3" s="1314"/>
      <c r="M3" s="1314"/>
      <c r="N3" s="1314"/>
      <c r="O3" s="1314"/>
      <c r="P3" s="1314"/>
      <c r="Q3" s="1314"/>
      <c r="R3" s="1314"/>
      <c r="S3" s="1314"/>
    </row>
    <row r="4" spans="8:22" x14ac:dyDescent="0.35">
      <c r="H4" s="1314"/>
      <c r="I4" s="1314"/>
      <c r="J4" s="1314"/>
      <c r="K4" s="1314"/>
      <c r="L4" s="1314"/>
      <c r="M4" s="1314"/>
      <c r="N4" s="1314"/>
      <c r="O4" s="1314"/>
      <c r="P4" s="1314"/>
      <c r="Q4" s="1314"/>
      <c r="R4" s="1314"/>
      <c r="S4" s="1314"/>
    </row>
    <row r="5" spans="8:22" ht="54.75" customHeight="1" x14ac:dyDescent="0.35">
      <c r="H5" s="1314"/>
      <c r="I5" s="1314"/>
      <c r="J5" s="1314"/>
      <c r="K5" s="1314"/>
      <c r="L5" s="1314"/>
      <c r="M5" s="1314"/>
      <c r="N5" s="1314"/>
      <c r="O5" s="1314"/>
      <c r="P5" s="1314"/>
      <c r="Q5" s="1314"/>
      <c r="R5" s="1314"/>
      <c r="S5" s="1314"/>
    </row>
    <row r="6" spans="8:22" x14ac:dyDescent="0.35">
      <c r="H6" s="472"/>
      <c r="I6" s="472"/>
      <c r="J6" s="472"/>
      <c r="K6" s="472"/>
      <c r="L6" s="472"/>
      <c r="M6" s="472"/>
      <c r="N6" s="472"/>
      <c r="O6" s="472"/>
      <c r="P6" s="472"/>
      <c r="Q6" s="472"/>
      <c r="R6" s="472"/>
      <c r="S6" s="472"/>
    </row>
    <row r="7" spans="8:22" x14ac:dyDescent="0.35">
      <c r="H7" s="987" t="s">
        <v>318</v>
      </c>
    </row>
    <row r="8" spans="8:22" ht="16.399999999999999" customHeight="1" x14ac:dyDescent="0.35"/>
    <row r="9" spans="8:22" ht="15.75" customHeight="1" x14ac:dyDescent="0.35">
      <c r="L9" s="1291">
        <v>2020</v>
      </c>
      <c r="M9" s="1292"/>
      <c r="N9" s="1292"/>
      <c r="O9" s="560">
        <v>2021</v>
      </c>
      <c r="P9" s="560"/>
      <c r="Q9" s="560"/>
      <c r="R9" s="340"/>
    </row>
    <row r="10" spans="8:22" ht="41.9" customHeight="1" x14ac:dyDescent="0.35">
      <c r="H10" s="982" t="s">
        <v>319</v>
      </c>
      <c r="I10" s="982" t="s">
        <v>320</v>
      </c>
      <c r="J10" s="983" t="s">
        <v>321</v>
      </c>
      <c r="K10" s="230"/>
      <c r="L10" s="994" t="s">
        <v>284</v>
      </c>
      <c r="M10" s="995" t="s">
        <v>238</v>
      </c>
      <c r="N10" s="995" t="s">
        <v>282</v>
      </c>
      <c r="O10" s="995" t="s">
        <v>283</v>
      </c>
      <c r="P10" s="995" t="s">
        <v>284</v>
      </c>
      <c r="Q10" s="995" t="s">
        <v>238</v>
      </c>
      <c r="R10" s="981" t="s">
        <v>282</v>
      </c>
      <c r="S10" s="472" t="s">
        <v>322</v>
      </c>
      <c r="T10" s="230"/>
      <c r="U10" s="230"/>
      <c r="V10" s="230"/>
    </row>
    <row r="11" spans="8:22" x14ac:dyDescent="0.35">
      <c r="H11" s="984">
        <v>43934</v>
      </c>
      <c r="I11" s="234">
        <v>248</v>
      </c>
      <c r="J11" s="572">
        <f>I11</f>
        <v>248</v>
      </c>
      <c r="K11" s="234"/>
      <c r="L11" s="978">
        <f>S11/26*J11</f>
        <v>95.384615384615387</v>
      </c>
      <c r="M11" s="853">
        <f>13/26*J11</f>
        <v>124</v>
      </c>
      <c r="N11" s="853">
        <f>J11-SUM(L11:M11)</f>
        <v>28.615384615384613</v>
      </c>
      <c r="O11" s="853"/>
      <c r="P11" s="853"/>
      <c r="Q11" s="853"/>
      <c r="R11" s="992"/>
      <c r="S11" s="234">
        <v>10</v>
      </c>
      <c r="T11" s="234"/>
      <c r="U11" s="989"/>
      <c r="V11" s="234"/>
    </row>
    <row r="12" spans="8:22" x14ac:dyDescent="0.35">
      <c r="H12" s="990">
        <v>43937</v>
      </c>
      <c r="I12" s="234">
        <v>342</v>
      </c>
      <c r="J12" s="572">
        <f>I12-I11</f>
        <v>94</v>
      </c>
      <c r="K12" s="234"/>
      <c r="L12" s="978">
        <f t="shared" ref="L12:L20" si="0">S12/26*J12</f>
        <v>36.153846153846153</v>
      </c>
      <c r="M12" s="853">
        <f t="shared" ref="M12:M20" si="1">13/26*J12</f>
        <v>47</v>
      </c>
      <c r="N12" s="853">
        <f t="shared" ref="N12:N21" si="2">J12-SUM(L12:M12)</f>
        <v>10.84615384615384</v>
      </c>
      <c r="O12" s="853"/>
      <c r="P12" s="853"/>
      <c r="Q12" s="853"/>
      <c r="R12" s="992"/>
      <c r="S12" s="234">
        <v>10</v>
      </c>
      <c r="T12" s="234"/>
      <c r="U12" s="234"/>
      <c r="V12" s="234"/>
    </row>
    <row r="13" spans="8:22" x14ac:dyDescent="0.35">
      <c r="H13" s="990">
        <v>43952</v>
      </c>
      <c r="I13" s="234">
        <v>518</v>
      </c>
      <c r="J13" s="572">
        <f>I13-I12</f>
        <v>176</v>
      </c>
      <c r="K13" s="234"/>
      <c r="L13" s="978">
        <f t="shared" si="0"/>
        <v>54.15384615384616</v>
      </c>
      <c r="M13" s="853">
        <f t="shared" si="1"/>
        <v>88</v>
      </c>
      <c r="N13" s="853">
        <f t="shared" si="2"/>
        <v>33.84615384615384</v>
      </c>
      <c r="O13" s="853"/>
      <c r="P13" s="853"/>
      <c r="Q13" s="853"/>
      <c r="R13" s="992"/>
      <c r="S13" s="234">
        <v>8</v>
      </c>
      <c r="T13" s="234"/>
      <c r="U13" s="234"/>
      <c r="V13" s="234"/>
    </row>
    <row r="14" spans="8:22" x14ac:dyDescent="0.35">
      <c r="H14" s="990">
        <v>43959</v>
      </c>
      <c r="I14" s="234">
        <v>531</v>
      </c>
      <c r="J14" s="572">
        <f t="shared" ref="J14:J45" si="3">I14-I13</f>
        <v>13</v>
      </c>
      <c r="K14" s="234"/>
      <c r="L14" s="978">
        <f t="shared" si="0"/>
        <v>3.5</v>
      </c>
      <c r="M14" s="853">
        <f t="shared" si="1"/>
        <v>6.5</v>
      </c>
      <c r="N14" s="853">
        <f t="shared" si="2"/>
        <v>3</v>
      </c>
      <c r="O14" s="853"/>
      <c r="P14" s="853"/>
      <c r="Q14" s="853"/>
      <c r="R14" s="992"/>
      <c r="S14" s="234">
        <f t="shared" ref="S14:S20" si="4">S13-1</f>
        <v>7</v>
      </c>
      <c r="T14" s="234"/>
      <c r="U14" s="234"/>
      <c r="V14" s="234"/>
    </row>
    <row r="15" spans="8:22" x14ac:dyDescent="0.35">
      <c r="H15" s="990">
        <v>43967</v>
      </c>
      <c r="I15" s="234">
        <v>513</v>
      </c>
      <c r="J15" s="572">
        <f t="shared" si="3"/>
        <v>-18</v>
      </c>
      <c r="K15" s="234"/>
      <c r="L15" s="978">
        <f t="shared" ref="L15:L17" si="5">S15/26*J15</f>
        <v>-4.1538461538461542</v>
      </c>
      <c r="M15" s="853">
        <f t="shared" ref="M15:M17" si="6">13/26*J15</f>
        <v>-9</v>
      </c>
      <c r="N15" s="853">
        <f t="shared" ref="N15:N17" si="7">J15-SUM(L15:M15)</f>
        <v>-4.8461538461538467</v>
      </c>
      <c r="O15" s="853"/>
      <c r="P15" s="853"/>
      <c r="Q15" s="853"/>
      <c r="R15" s="992"/>
      <c r="S15" s="234">
        <f t="shared" si="4"/>
        <v>6</v>
      </c>
      <c r="T15" s="234"/>
      <c r="U15" s="234"/>
      <c r="V15" s="234"/>
    </row>
    <row r="16" spans="8:22" x14ac:dyDescent="0.35">
      <c r="H16" s="990">
        <v>43974</v>
      </c>
      <c r="I16" s="234">
        <v>511</v>
      </c>
      <c r="J16" s="572">
        <f t="shared" si="3"/>
        <v>-2</v>
      </c>
      <c r="K16" s="234"/>
      <c r="L16" s="978">
        <f t="shared" si="5"/>
        <v>-0.38461538461538464</v>
      </c>
      <c r="M16" s="853">
        <f t="shared" si="6"/>
        <v>-1</v>
      </c>
      <c r="N16" s="853">
        <f t="shared" si="7"/>
        <v>-0.61538461538461542</v>
      </c>
      <c r="O16" s="853"/>
      <c r="P16" s="853"/>
      <c r="Q16" s="853"/>
      <c r="R16" s="992"/>
      <c r="S16" s="234">
        <f t="shared" si="4"/>
        <v>5</v>
      </c>
      <c r="T16" s="234"/>
      <c r="U16" s="234"/>
      <c r="V16" s="234"/>
    </row>
    <row r="17" spans="8:22" x14ac:dyDescent="0.35">
      <c r="H17" s="990">
        <v>43981</v>
      </c>
      <c r="I17" s="234">
        <v>510</v>
      </c>
      <c r="J17" s="572">
        <f t="shared" si="3"/>
        <v>-1</v>
      </c>
      <c r="K17" s="234"/>
      <c r="L17" s="978">
        <f t="shared" si="5"/>
        <v>-0.15384615384615385</v>
      </c>
      <c r="M17" s="853">
        <f t="shared" si="6"/>
        <v>-0.5</v>
      </c>
      <c r="N17" s="853">
        <f t="shared" si="7"/>
        <v>-0.34615384615384615</v>
      </c>
      <c r="O17" s="853"/>
      <c r="P17" s="853"/>
      <c r="Q17" s="853"/>
      <c r="R17" s="992"/>
      <c r="S17" s="234">
        <f t="shared" si="4"/>
        <v>4</v>
      </c>
      <c r="T17" s="234"/>
      <c r="U17" s="234"/>
      <c r="V17" s="234"/>
    </row>
    <row r="18" spans="8:22" x14ac:dyDescent="0.35">
      <c r="H18" s="990">
        <v>43988</v>
      </c>
      <c r="I18" s="234">
        <v>511</v>
      </c>
      <c r="J18" s="572">
        <f t="shared" si="3"/>
        <v>1</v>
      </c>
      <c r="K18" s="234"/>
      <c r="L18" s="978">
        <f t="shared" si="0"/>
        <v>0.11538461538461539</v>
      </c>
      <c r="M18" s="853">
        <f t="shared" si="1"/>
        <v>0.5</v>
      </c>
      <c r="N18" s="853">
        <f t="shared" si="2"/>
        <v>0.38461538461538458</v>
      </c>
      <c r="O18" s="853"/>
      <c r="P18" s="853"/>
      <c r="Q18" s="853"/>
      <c r="R18" s="992"/>
      <c r="S18" s="234">
        <f t="shared" si="4"/>
        <v>3</v>
      </c>
      <c r="T18" s="234"/>
      <c r="U18" s="234"/>
      <c r="V18" s="234"/>
    </row>
    <row r="19" spans="8:22" x14ac:dyDescent="0.35">
      <c r="H19" s="990">
        <v>43994</v>
      </c>
      <c r="I19" s="234">
        <v>512</v>
      </c>
      <c r="J19" s="572">
        <f t="shared" si="3"/>
        <v>1</v>
      </c>
      <c r="K19" s="234"/>
      <c r="L19" s="978">
        <f t="shared" si="0"/>
        <v>7.6923076923076927E-2</v>
      </c>
      <c r="M19" s="853">
        <f t="shared" si="1"/>
        <v>0.5</v>
      </c>
      <c r="N19" s="853">
        <f t="shared" si="2"/>
        <v>0.42307692307692313</v>
      </c>
      <c r="O19" s="853"/>
      <c r="P19" s="853"/>
      <c r="Q19" s="853"/>
      <c r="R19" s="992"/>
      <c r="S19" s="234">
        <f t="shared" si="4"/>
        <v>2</v>
      </c>
      <c r="T19" s="234"/>
      <c r="U19" s="234"/>
      <c r="V19" s="234"/>
    </row>
    <row r="20" spans="8:22" x14ac:dyDescent="0.35">
      <c r="H20" s="990">
        <v>44002</v>
      </c>
      <c r="I20" s="234">
        <v>515</v>
      </c>
      <c r="J20" s="572">
        <f t="shared" si="3"/>
        <v>3</v>
      </c>
      <c r="K20" s="234"/>
      <c r="L20" s="978">
        <f t="shared" si="0"/>
        <v>0.11538461538461539</v>
      </c>
      <c r="M20" s="853">
        <f t="shared" si="1"/>
        <v>1.5</v>
      </c>
      <c r="N20" s="853">
        <f t="shared" si="2"/>
        <v>1.3846153846153846</v>
      </c>
      <c r="O20" s="853"/>
      <c r="P20" s="853"/>
      <c r="Q20" s="853"/>
      <c r="R20" s="992"/>
      <c r="S20" s="234">
        <f t="shared" si="4"/>
        <v>1</v>
      </c>
      <c r="T20" s="234"/>
      <c r="U20" s="234"/>
      <c r="V20" s="234"/>
    </row>
    <row r="21" spans="8:22" x14ac:dyDescent="0.35">
      <c r="H21" s="990">
        <v>44009</v>
      </c>
      <c r="I21" s="234">
        <v>519</v>
      </c>
      <c r="J21" s="572">
        <f t="shared" si="3"/>
        <v>4</v>
      </c>
      <c r="K21" s="234"/>
      <c r="L21" s="978"/>
      <c r="M21" s="853">
        <f>S21/26*J21</f>
        <v>2</v>
      </c>
      <c r="N21" s="853">
        <f t="shared" si="2"/>
        <v>2</v>
      </c>
      <c r="O21" s="853"/>
      <c r="P21" s="853"/>
      <c r="Q21" s="853"/>
      <c r="R21" s="992"/>
      <c r="S21" s="234">
        <v>13</v>
      </c>
      <c r="T21" s="234"/>
      <c r="U21" s="234"/>
      <c r="V21" s="234"/>
    </row>
    <row r="22" spans="8:22" x14ac:dyDescent="0.35">
      <c r="H22" s="990">
        <v>44012</v>
      </c>
      <c r="I22" s="234">
        <v>521</v>
      </c>
      <c r="J22" s="572">
        <f t="shared" si="3"/>
        <v>2</v>
      </c>
      <c r="K22" s="234"/>
      <c r="L22" s="978"/>
      <c r="M22" s="853">
        <f t="shared" ref="M22:M26" si="8">S22/26*J22</f>
        <v>1</v>
      </c>
      <c r="N22" s="853">
        <f>J22-SUM(L22:M22)</f>
        <v>1</v>
      </c>
      <c r="O22" s="853"/>
      <c r="P22" s="853"/>
      <c r="Q22" s="853"/>
      <c r="R22" s="992"/>
      <c r="S22" s="234">
        <v>13</v>
      </c>
      <c r="T22" s="234"/>
      <c r="U22" s="234"/>
      <c r="V22" s="234"/>
    </row>
    <row r="23" spans="8:22" x14ac:dyDescent="0.35">
      <c r="H23" s="990">
        <v>44029</v>
      </c>
      <c r="I23" s="234">
        <v>518</v>
      </c>
      <c r="J23" s="572">
        <f t="shared" si="3"/>
        <v>-3</v>
      </c>
      <c r="K23" s="234"/>
      <c r="L23" s="978"/>
      <c r="M23" s="853">
        <f t="shared" ref="M23" si="9">S23/26*J23</f>
        <v>-1.153846153846154</v>
      </c>
      <c r="N23" s="853">
        <f t="shared" ref="N23" si="10">13/26*J23</f>
        <v>-1.5</v>
      </c>
      <c r="O23" s="853">
        <f t="shared" ref="O23" si="11">J23-N23-M23</f>
        <v>-0.34615384615384603</v>
      </c>
      <c r="P23" s="853"/>
      <c r="Q23" s="853"/>
      <c r="R23" s="992"/>
      <c r="S23" s="234">
        <f>S22-3</f>
        <v>10</v>
      </c>
      <c r="T23" s="234"/>
      <c r="U23" s="234"/>
      <c r="V23" s="234"/>
    </row>
    <row r="24" spans="8:22" x14ac:dyDescent="0.35">
      <c r="H24" s="990">
        <v>44036</v>
      </c>
      <c r="I24" s="234">
        <v>520</v>
      </c>
      <c r="J24" s="572">
        <f t="shared" si="3"/>
        <v>2</v>
      </c>
      <c r="K24" s="234"/>
      <c r="L24" s="978"/>
      <c r="M24" s="853">
        <f t="shared" si="8"/>
        <v>0.69230769230769229</v>
      </c>
      <c r="N24" s="853">
        <f t="shared" ref="N24:N26" si="12">13/26*J24</f>
        <v>1</v>
      </c>
      <c r="O24" s="853">
        <f t="shared" ref="O24:O26" si="13">J24-N24-M24</f>
        <v>0.30769230769230771</v>
      </c>
      <c r="P24" s="853"/>
      <c r="Q24" s="853"/>
      <c r="R24" s="992"/>
      <c r="S24" s="234">
        <f>S23-1</f>
        <v>9</v>
      </c>
      <c r="T24" s="234"/>
      <c r="U24" s="234"/>
      <c r="V24" s="234"/>
    </row>
    <row r="25" spans="8:22" x14ac:dyDescent="0.35">
      <c r="H25" s="990">
        <v>44043</v>
      </c>
      <c r="I25" s="234">
        <v>521</v>
      </c>
      <c r="J25" s="572">
        <f t="shared" si="3"/>
        <v>1</v>
      </c>
      <c r="K25" s="234"/>
      <c r="L25" s="978"/>
      <c r="M25" s="853">
        <f t="shared" si="8"/>
        <v>0.30769230769230771</v>
      </c>
      <c r="N25" s="853">
        <f t="shared" si="12"/>
        <v>0.5</v>
      </c>
      <c r="O25" s="853">
        <f t="shared" si="13"/>
        <v>0.19230769230769229</v>
      </c>
      <c r="P25" s="853"/>
      <c r="Q25" s="853"/>
      <c r="R25" s="992"/>
      <c r="S25" s="234">
        <f>S24-1</f>
        <v>8</v>
      </c>
      <c r="T25" s="234"/>
      <c r="U25" s="234"/>
      <c r="V25" s="234"/>
    </row>
    <row r="26" spans="8:22" x14ac:dyDescent="0.35">
      <c r="H26" s="990">
        <v>44051</v>
      </c>
      <c r="I26" s="234">
        <v>525</v>
      </c>
      <c r="J26" s="572">
        <f t="shared" si="3"/>
        <v>4</v>
      </c>
      <c r="K26" s="234"/>
      <c r="L26" s="978"/>
      <c r="M26" s="853">
        <f t="shared" si="8"/>
        <v>1.0769230769230769</v>
      </c>
      <c r="N26" s="853">
        <f t="shared" si="12"/>
        <v>2</v>
      </c>
      <c r="O26" s="853">
        <f t="shared" si="13"/>
        <v>0.92307692307692313</v>
      </c>
      <c r="P26" s="853"/>
      <c r="Q26" s="853"/>
      <c r="R26" s="992"/>
      <c r="S26" s="234">
        <f>S25-1</f>
        <v>7</v>
      </c>
      <c r="T26" s="234"/>
      <c r="U26" s="234"/>
      <c r="V26" s="234"/>
    </row>
    <row r="27" spans="8:22" x14ac:dyDescent="0.35">
      <c r="H27" s="990">
        <v>44220</v>
      </c>
      <c r="I27" s="234">
        <v>558</v>
      </c>
      <c r="J27" s="572">
        <f t="shared" si="3"/>
        <v>33</v>
      </c>
      <c r="K27" s="234"/>
      <c r="L27" s="978"/>
      <c r="M27" s="853"/>
      <c r="N27" s="853"/>
      <c r="O27" s="853">
        <f>S27/26*J27</f>
        <v>12.692307692307693</v>
      </c>
      <c r="P27" s="853">
        <f>J27/2</f>
        <v>16.5</v>
      </c>
      <c r="Q27" s="853">
        <f>J27-P27-O27</f>
        <v>3.8076923076923066</v>
      </c>
      <c r="R27" s="992"/>
      <c r="S27" s="234">
        <v>10</v>
      </c>
      <c r="T27" s="234">
        <v>10</v>
      </c>
      <c r="U27" s="234"/>
      <c r="V27" s="234"/>
    </row>
    <row r="28" spans="8:22" x14ac:dyDescent="0.35">
      <c r="H28" s="990">
        <v>44227</v>
      </c>
      <c r="I28" s="234">
        <v>596</v>
      </c>
      <c r="J28" s="572">
        <f t="shared" si="3"/>
        <v>38</v>
      </c>
      <c r="K28" s="234"/>
      <c r="L28" s="978"/>
      <c r="M28" s="853"/>
      <c r="N28" s="853"/>
      <c r="O28" s="853">
        <f t="shared" ref="O28:O36" si="14">S28/26*J28</f>
        <v>13.153846153846153</v>
      </c>
      <c r="P28" s="853">
        <f t="shared" ref="P28:P36" si="15">J28/2</f>
        <v>19</v>
      </c>
      <c r="Q28" s="853">
        <f t="shared" ref="Q28:Q36" si="16">J28-P28-O28</f>
        <v>5.8461538461538467</v>
      </c>
      <c r="R28" s="992"/>
      <c r="S28" s="234">
        <f>S27-1</f>
        <v>9</v>
      </c>
      <c r="T28" s="234">
        <f>T27-1</f>
        <v>9</v>
      </c>
      <c r="U28" s="234"/>
      <c r="V28" s="234"/>
    </row>
    <row r="29" spans="8:22" x14ac:dyDescent="0.35">
      <c r="H29" s="990">
        <v>44234</v>
      </c>
      <c r="I29" s="234">
        <v>623</v>
      </c>
      <c r="J29" s="572">
        <f t="shared" si="3"/>
        <v>27</v>
      </c>
      <c r="K29" s="234"/>
      <c r="L29" s="978"/>
      <c r="M29" s="853"/>
      <c r="N29" s="853"/>
      <c r="O29" s="853">
        <f t="shared" si="14"/>
        <v>8.3076923076923084</v>
      </c>
      <c r="P29" s="853">
        <f t="shared" si="15"/>
        <v>13.5</v>
      </c>
      <c r="Q29" s="853">
        <f t="shared" si="16"/>
        <v>5.1923076923076916</v>
      </c>
      <c r="R29" s="992"/>
      <c r="S29" s="234">
        <f t="shared" ref="S29:S36" si="17">S28-1</f>
        <v>8</v>
      </c>
      <c r="T29" s="234">
        <f t="shared" ref="T29:T36" si="18">T28-1</f>
        <v>8</v>
      </c>
      <c r="U29" s="234"/>
      <c r="V29" s="234"/>
    </row>
    <row r="30" spans="8:22" x14ac:dyDescent="0.35">
      <c r="H30" s="990">
        <v>44242</v>
      </c>
      <c r="I30" s="234">
        <v>648</v>
      </c>
      <c r="J30" s="572">
        <f t="shared" si="3"/>
        <v>25</v>
      </c>
      <c r="K30" s="234"/>
      <c r="L30" s="978"/>
      <c r="M30" s="853"/>
      <c r="N30" s="853"/>
      <c r="O30" s="853">
        <f t="shared" si="14"/>
        <v>6.7307692307692308</v>
      </c>
      <c r="P30" s="853">
        <f t="shared" si="15"/>
        <v>12.5</v>
      </c>
      <c r="Q30" s="853">
        <f t="shared" si="16"/>
        <v>5.7692307692307692</v>
      </c>
      <c r="R30" s="992"/>
      <c r="S30" s="234">
        <f t="shared" si="17"/>
        <v>7</v>
      </c>
      <c r="T30" s="234">
        <f t="shared" si="18"/>
        <v>7</v>
      </c>
      <c r="U30" s="234"/>
      <c r="V30" s="234"/>
    </row>
    <row r="31" spans="8:22" x14ac:dyDescent="0.35">
      <c r="H31" s="990">
        <v>44248</v>
      </c>
      <c r="I31" s="234">
        <v>663</v>
      </c>
      <c r="J31" s="572">
        <f t="shared" si="3"/>
        <v>15</v>
      </c>
      <c r="K31" s="234"/>
      <c r="L31" s="978"/>
      <c r="M31" s="853"/>
      <c r="N31" s="853"/>
      <c r="O31" s="853">
        <f t="shared" si="14"/>
        <v>3.4615384615384617</v>
      </c>
      <c r="P31" s="853">
        <f t="shared" si="15"/>
        <v>7.5</v>
      </c>
      <c r="Q31" s="853">
        <f t="shared" si="16"/>
        <v>4.0384615384615383</v>
      </c>
      <c r="R31" s="992"/>
      <c r="S31" s="234">
        <f t="shared" si="17"/>
        <v>6</v>
      </c>
      <c r="T31" s="234">
        <f t="shared" si="18"/>
        <v>6</v>
      </c>
      <c r="U31" s="234"/>
      <c r="V31" s="234"/>
    </row>
    <row r="32" spans="8:22" x14ac:dyDescent="0.35">
      <c r="H32" s="990">
        <v>44255</v>
      </c>
      <c r="I32" s="234">
        <v>679</v>
      </c>
      <c r="J32" s="572">
        <f t="shared" si="3"/>
        <v>16</v>
      </c>
      <c r="K32" s="234"/>
      <c r="L32" s="978"/>
      <c r="M32" s="853"/>
      <c r="N32" s="853"/>
      <c r="O32" s="853">
        <f t="shared" si="14"/>
        <v>3.0769230769230771</v>
      </c>
      <c r="P32" s="853">
        <f t="shared" si="15"/>
        <v>8</v>
      </c>
      <c r="Q32" s="853">
        <f t="shared" si="16"/>
        <v>4.9230769230769234</v>
      </c>
      <c r="R32" s="992"/>
      <c r="S32" s="234">
        <f t="shared" si="17"/>
        <v>5</v>
      </c>
      <c r="T32" s="234">
        <f t="shared" si="18"/>
        <v>5</v>
      </c>
      <c r="U32" s="234"/>
      <c r="V32" s="234"/>
    </row>
    <row r="33" spans="8:22" x14ac:dyDescent="0.35">
      <c r="H33" s="990">
        <v>44262</v>
      </c>
      <c r="I33" s="234">
        <v>687</v>
      </c>
      <c r="J33" s="572">
        <f t="shared" si="3"/>
        <v>8</v>
      </c>
      <c r="K33" s="234"/>
      <c r="L33" s="978"/>
      <c r="M33" s="853"/>
      <c r="N33" s="853"/>
      <c r="O33" s="853">
        <f t="shared" si="14"/>
        <v>1.2307692307692308</v>
      </c>
      <c r="P33" s="853">
        <f t="shared" si="15"/>
        <v>4</v>
      </c>
      <c r="Q33" s="853">
        <f t="shared" si="16"/>
        <v>2.7692307692307692</v>
      </c>
      <c r="R33" s="992"/>
      <c r="S33" s="234">
        <f t="shared" si="17"/>
        <v>4</v>
      </c>
      <c r="T33" s="234">
        <f t="shared" si="18"/>
        <v>4</v>
      </c>
      <c r="U33" s="234"/>
      <c r="V33" s="234"/>
    </row>
    <row r="34" spans="8:22" x14ac:dyDescent="0.35">
      <c r="H34" s="990">
        <v>44269</v>
      </c>
      <c r="I34" s="234">
        <v>704</v>
      </c>
      <c r="J34" s="572">
        <f t="shared" si="3"/>
        <v>17</v>
      </c>
      <c r="K34" s="234"/>
      <c r="L34" s="978"/>
      <c r="M34" s="853"/>
      <c r="N34" s="853"/>
      <c r="O34" s="853">
        <f t="shared" si="14"/>
        <v>1.9615384615384617</v>
      </c>
      <c r="P34" s="853">
        <f t="shared" si="15"/>
        <v>8.5</v>
      </c>
      <c r="Q34" s="853">
        <f t="shared" si="16"/>
        <v>6.5384615384615383</v>
      </c>
      <c r="R34" s="992"/>
      <c r="S34" s="234">
        <f t="shared" si="17"/>
        <v>3</v>
      </c>
      <c r="T34" s="234">
        <f t="shared" si="18"/>
        <v>3</v>
      </c>
      <c r="U34" s="234"/>
      <c r="V34" s="234"/>
    </row>
    <row r="35" spans="8:22" x14ac:dyDescent="0.35">
      <c r="H35" s="990">
        <v>44276</v>
      </c>
      <c r="I35" s="234">
        <v>718</v>
      </c>
      <c r="J35" s="572">
        <f t="shared" si="3"/>
        <v>14</v>
      </c>
      <c r="K35" s="234"/>
      <c r="L35" s="978"/>
      <c r="M35" s="853"/>
      <c r="N35" s="853"/>
      <c r="O35" s="853">
        <f t="shared" si="14"/>
        <v>1.0769230769230771</v>
      </c>
      <c r="P35" s="853">
        <f t="shared" si="15"/>
        <v>7</v>
      </c>
      <c r="Q35" s="853">
        <f t="shared" si="16"/>
        <v>5.9230769230769234</v>
      </c>
      <c r="R35" s="992"/>
      <c r="S35" s="234">
        <f t="shared" si="17"/>
        <v>2</v>
      </c>
      <c r="T35" s="234">
        <f t="shared" si="18"/>
        <v>2</v>
      </c>
      <c r="U35" s="234"/>
      <c r="V35" s="234"/>
    </row>
    <row r="36" spans="8:22" x14ac:dyDescent="0.35">
      <c r="H36" s="990">
        <v>44283</v>
      </c>
      <c r="I36" s="234">
        <v>734</v>
      </c>
      <c r="J36" s="572">
        <f t="shared" si="3"/>
        <v>16</v>
      </c>
      <c r="K36" s="234"/>
      <c r="L36" s="978"/>
      <c r="M36" s="853"/>
      <c r="N36" s="853"/>
      <c r="O36" s="853">
        <f t="shared" si="14"/>
        <v>0.61538461538461542</v>
      </c>
      <c r="P36" s="853">
        <f t="shared" si="15"/>
        <v>8</v>
      </c>
      <c r="Q36" s="853">
        <f t="shared" si="16"/>
        <v>7.384615384615385</v>
      </c>
      <c r="R36" s="992"/>
      <c r="S36" s="234">
        <f t="shared" si="17"/>
        <v>1</v>
      </c>
      <c r="T36" s="234">
        <f t="shared" si="18"/>
        <v>1</v>
      </c>
      <c r="U36" s="234"/>
      <c r="V36" s="234"/>
    </row>
    <row r="37" spans="8:22" x14ac:dyDescent="0.35">
      <c r="H37" s="990">
        <v>44290</v>
      </c>
      <c r="I37" s="234">
        <v>746</v>
      </c>
      <c r="J37" s="572">
        <f t="shared" si="3"/>
        <v>12</v>
      </c>
      <c r="K37" s="234"/>
      <c r="L37" s="978"/>
      <c r="M37" s="853"/>
      <c r="N37" s="853"/>
      <c r="O37" s="853"/>
      <c r="P37" s="853">
        <f>T37/26*J37</f>
        <v>6</v>
      </c>
      <c r="Q37" s="853">
        <f>J37/2</f>
        <v>6</v>
      </c>
      <c r="R37" s="992">
        <f>J37-Q37-P37</f>
        <v>0</v>
      </c>
      <c r="S37" s="234">
        <v>13</v>
      </c>
      <c r="T37" s="234">
        <v>13</v>
      </c>
      <c r="U37" s="234"/>
      <c r="V37" s="234"/>
    </row>
    <row r="38" spans="8:22" x14ac:dyDescent="0.35">
      <c r="H38" s="990">
        <v>44297</v>
      </c>
      <c r="I38" s="234">
        <v>755</v>
      </c>
      <c r="J38" s="572">
        <f t="shared" si="3"/>
        <v>9</v>
      </c>
      <c r="K38" s="234"/>
      <c r="L38" s="978"/>
      <c r="M38" s="853"/>
      <c r="N38" s="853"/>
      <c r="O38" s="853"/>
      <c r="P38" s="853">
        <f t="shared" ref="P38:P45" si="19">T38/26*J38</f>
        <v>4.1538461538461542</v>
      </c>
      <c r="Q38" s="853">
        <f t="shared" ref="Q38:Q45" si="20">J38/2</f>
        <v>4.5</v>
      </c>
      <c r="R38" s="992">
        <f t="shared" ref="R38:R45" si="21">J38-Q38-P38</f>
        <v>0.34615384615384581</v>
      </c>
      <c r="S38" s="234">
        <f>S37-1</f>
        <v>12</v>
      </c>
      <c r="T38" s="234">
        <f>T37-1</f>
        <v>12</v>
      </c>
      <c r="U38" s="234"/>
      <c r="V38" s="234"/>
    </row>
    <row r="39" spans="8:22" x14ac:dyDescent="0.35">
      <c r="H39" s="990">
        <v>44304</v>
      </c>
      <c r="I39" s="234">
        <v>762</v>
      </c>
      <c r="J39" s="572">
        <f t="shared" si="3"/>
        <v>7</v>
      </c>
      <c r="K39" s="234"/>
      <c r="L39" s="978"/>
      <c r="M39" s="853"/>
      <c r="N39" s="853"/>
      <c r="O39" s="853"/>
      <c r="P39" s="853">
        <f t="shared" si="19"/>
        <v>2.9615384615384617</v>
      </c>
      <c r="Q39" s="853">
        <f t="shared" si="20"/>
        <v>3.5</v>
      </c>
      <c r="R39" s="992">
        <f t="shared" si="21"/>
        <v>0.53846153846153832</v>
      </c>
      <c r="S39" s="234">
        <f t="shared" ref="S39:S45" si="22">S38-1</f>
        <v>11</v>
      </c>
      <c r="T39" s="234">
        <f t="shared" ref="T39:T45" si="23">T38-1</f>
        <v>11</v>
      </c>
      <c r="U39" s="234"/>
      <c r="V39" s="234"/>
    </row>
    <row r="40" spans="8:22" x14ac:dyDescent="0.35">
      <c r="H40" s="990">
        <v>44311</v>
      </c>
      <c r="I40" s="234">
        <v>771</v>
      </c>
      <c r="J40" s="572">
        <f t="shared" si="3"/>
        <v>9</v>
      </c>
      <c r="K40" s="234"/>
      <c r="L40" s="978"/>
      <c r="M40" s="853"/>
      <c r="N40" s="853"/>
      <c r="O40" s="853"/>
      <c r="P40" s="853">
        <f t="shared" si="19"/>
        <v>3.4615384615384617</v>
      </c>
      <c r="Q40" s="853">
        <f t="shared" si="20"/>
        <v>4.5</v>
      </c>
      <c r="R40" s="992">
        <f t="shared" si="21"/>
        <v>1.0384615384615383</v>
      </c>
      <c r="S40" s="234">
        <f t="shared" si="22"/>
        <v>10</v>
      </c>
      <c r="T40" s="234">
        <f t="shared" si="23"/>
        <v>10</v>
      </c>
      <c r="U40" s="234"/>
      <c r="V40" s="234"/>
    </row>
    <row r="41" spans="8:22" x14ac:dyDescent="0.35">
      <c r="H41" s="990">
        <v>44318</v>
      </c>
      <c r="I41" s="234">
        <v>780</v>
      </c>
      <c r="J41" s="572">
        <f t="shared" si="3"/>
        <v>9</v>
      </c>
      <c r="K41" s="234"/>
      <c r="L41" s="978"/>
      <c r="M41" s="853"/>
      <c r="N41" s="853"/>
      <c r="O41" s="853"/>
      <c r="P41" s="853">
        <f t="shared" si="19"/>
        <v>3.1153846153846154</v>
      </c>
      <c r="Q41" s="853">
        <f t="shared" si="20"/>
        <v>4.5</v>
      </c>
      <c r="R41" s="992">
        <f t="shared" si="21"/>
        <v>1.3846153846153846</v>
      </c>
      <c r="S41" s="234">
        <f t="shared" si="22"/>
        <v>9</v>
      </c>
      <c r="T41" s="234">
        <f t="shared" si="23"/>
        <v>9</v>
      </c>
      <c r="U41" s="234"/>
      <c r="V41" s="234"/>
    </row>
    <row r="42" spans="8:22" x14ac:dyDescent="0.35">
      <c r="H42" s="990">
        <v>44325</v>
      </c>
      <c r="I42" s="234">
        <v>782</v>
      </c>
      <c r="J42" s="572">
        <f t="shared" si="3"/>
        <v>2</v>
      </c>
      <c r="K42" s="234"/>
      <c r="L42" s="978"/>
      <c r="M42" s="853"/>
      <c r="N42" s="853"/>
      <c r="O42" s="853"/>
      <c r="P42" s="853">
        <f t="shared" si="19"/>
        <v>0.61538461538461542</v>
      </c>
      <c r="Q42" s="853">
        <f t="shared" si="20"/>
        <v>1</v>
      </c>
      <c r="R42" s="992">
        <f t="shared" si="21"/>
        <v>0.38461538461538458</v>
      </c>
      <c r="S42" s="234">
        <f t="shared" si="22"/>
        <v>8</v>
      </c>
      <c r="T42" s="234">
        <f t="shared" si="23"/>
        <v>8</v>
      </c>
      <c r="U42" s="234"/>
      <c r="V42" s="234"/>
    </row>
    <row r="43" spans="8:22" x14ac:dyDescent="0.35">
      <c r="H43" s="990">
        <v>44332</v>
      </c>
      <c r="I43" s="234">
        <v>788</v>
      </c>
      <c r="J43" s="572">
        <f t="shared" si="3"/>
        <v>6</v>
      </c>
      <c r="K43" s="234"/>
      <c r="L43" s="978"/>
      <c r="M43" s="853"/>
      <c r="N43" s="853"/>
      <c r="O43" s="853"/>
      <c r="P43" s="853">
        <f t="shared" si="19"/>
        <v>1.6153846153846154</v>
      </c>
      <c r="Q43" s="853">
        <f t="shared" si="20"/>
        <v>3</v>
      </c>
      <c r="R43" s="992">
        <f t="shared" si="21"/>
        <v>1.3846153846153846</v>
      </c>
      <c r="S43" s="234">
        <f t="shared" si="22"/>
        <v>7</v>
      </c>
      <c r="T43" s="234">
        <f t="shared" si="23"/>
        <v>7</v>
      </c>
      <c r="U43" s="234"/>
      <c r="V43" s="234"/>
    </row>
    <row r="44" spans="8:22" x14ac:dyDescent="0.35">
      <c r="H44" s="990">
        <v>44339</v>
      </c>
      <c r="I44" s="234">
        <v>796</v>
      </c>
      <c r="J44" s="572">
        <f t="shared" si="3"/>
        <v>8</v>
      </c>
      <c r="K44" s="234"/>
      <c r="L44" s="978"/>
      <c r="M44" s="853"/>
      <c r="N44" s="853"/>
      <c r="O44" s="853"/>
      <c r="P44" s="853">
        <f t="shared" si="19"/>
        <v>1.8461538461538463</v>
      </c>
      <c r="Q44" s="853">
        <f t="shared" si="20"/>
        <v>4</v>
      </c>
      <c r="R44" s="992">
        <f t="shared" si="21"/>
        <v>2.1538461538461537</v>
      </c>
      <c r="S44" s="234">
        <f t="shared" si="22"/>
        <v>6</v>
      </c>
      <c r="T44" s="234">
        <f t="shared" si="23"/>
        <v>6</v>
      </c>
      <c r="U44" s="234"/>
      <c r="V44" s="234"/>
    </row>
    <row r="45" spans="8:22" x14ac:dyDescent="0.35">
      <c r="H45" s="991">
        <v>44347</v>
      </c>
      <c r="I45" s="566">
        <v>800</v>
      </c>
      <c r="J45" s="573">
        <f t="shared" si="3"/>
        <v>4</v>
      </c>
      <c r="K45" s="234"/>
      <c r="L45" s="978"/>
      <c r="M45" s="853"/>
      <c r="N45" s="853"/>
      <c r="O45" s="853"/>
      <c r="P45" s="853">
        <f t="shared" si="19"/>
        <v>0.76923076923076927</v>
      </c>
      <c r="Q45" s="853">
        <f t="shared" si="20"/>
        <v>2</v>
      </c>
      <c r="R45" s="992">
        <f t="shared" si="21"/>
        <v>1.2307692307692308</v>
      </c>
      <c r="S45" s="234">
        <f t="shared" si="22"/>
        <v>5</v>
      </c>
      <c r="T45" s="234">
        <f t="shared" si="23"/>
        <v>5</v>
      </c>
      <c r="U45" s="234"/>
      <c r="V45" s="234"/>
    </row>
    <row r="46" spans="8:22" x14ac:dyDescent="0.35">
      <c r="H46" s="234"/>
      <c r="I46" s="234"/>
      <c r="J46" s="234"/>
      <c r="K46" s="234"/>
      <c r="L46" s="978">
        <f>SUM(L11:L45)</f>
        <v>184.80769230769229</v>
      </c>
      <c r="M46" s="853">
        <f t="shared" ref="M46:R46" si="24">SUM(M11:M45)</f>
        <v>261.42307692307696</v>
      </c>
      <c r="N46" s="853">
        <f t="shared" si="24"/>
        <v>77.692307692307693</v>
      </c>
      <c r="O46" s="853">
        <f t="shared" si="24"/>
        <v>53.384615384615394</v>
      </c>
      <c r="P46" s="853">
        <f t="shared" si="24"/>
        <v>129.03846153846155</v>
      </c>
      <c r="Q46" s="853">
        <f t="shared" si="24"/>
        <v>85.192307692307693</v>
      </c>
      <c r="R46" s="992">
        <f t="shared" si="24"/>
        <v>8.4615384615384599</v>
      </c>
      <c r="S46" s="234"/>
      <c r="T46" s="234"/>
      <c r="U46" s="234"/>
      <c r="V46" s="234"/>
    </row>
    <row r="47" spans="8:22" x14ac:dyDescent="0.35">
      <c r="H47" s="234"/>
      <c r="I47" s="234"/>
      <c r="J47" s="234"/>
      <c r="K47" s="234"/>
      <c r="L47" s="979">
        <f>L46*4</f>
        <v>739.23076923076917</v>
      </c>
      <c r="M47" s="865">
        <f t="shared" ref="M47:R47" si="25">M46*4</f>
        <v>1045.6923076923078</v>
      </c>
      <c r="N47" s="865">
        <f t="shared" si="25"/>
        <v>310.76923076923077</v>
      </c>
      <c r="O47" s="865">
        <f t="shared" si="25"/>
        <v>213.53846153846158</v>
      </c>
      <c r="P47" s="865">
        <f t="shared" si="25"/>
        <v>516.15384615384619</v>
      </c>
      <c r="Q47" s="865">
        <f t="shared" si="25"/>
        <v>340.76923076923077</v>
      </c>
      <c r="R47" s="993">
        <f t="shared" si="25"/>
        <v>33.84615384615384</v>
      </c>
      <c r="S47" s="234" t="s">
        <v>323</v>
      </c>
      <c r="T47" s="234"/>
      <c r="U47" s="234"/>
      <c r="V47" s="234"/>
    </row>
    <row r="48" spans="8:22" x14ac:dyDescent="0.35">
      <c r="J48" s="240" t="s">
        <v>324</v>
      </c>
      <c r="L48" s="240">
        <v>634</v>
      </c>
      <c r="M48" s="721">
        <f>K55</f>
        <v>900.7</v>
      </c>
      <c r="N48" s="721">
        <f t="shared" ref="N48:P48" si="26">L55</f>
        <v>270.7</v>
      </c>
      <c r="O48" s="721">
        <f t="shared" si="26"/>
        <v>208.7</v>
      </c>
      <c r="P48" s="721">
        <f t="shared" si="26"/>
        <v>469.7</v>
      </c>
      <c r="Q48" s="721">
        <v>279</v>
      </c>
      <c r="R48" s="721"/>
    </row>
    <row r="50" spans="8:29" x14ac:dyDescent="0.35">
      <c r="H50" s="1376" t="s">
        <v>325</v>
      </c>
      <c r="I50" s="1377"/>
      <c r="J50" s="1348" t="s">
        <v>280</v>
      </c>
      <c r="K50" s="1349"/>
      <c r="L50" s="1349"/>
      <c r="M50" s="1332"/>
      <c r="N50" s="1332"/>
      <c r="O50" s="1332"/>
      <c r="P50" s="1283"/>
      <c r="Q50" s="517"/>
      <c r="R50" s="517"/>
      <c r="S50" s="517"/>
      <c r="T50" s="517"/>
      <c r="U50" s="517"/>
      <c r="V50" s="517"/>
      <c r="W50" s="517"/>
      <c r="X50" s="517"/>
      <c r="Y50" s="517"/>
    </row>
    <row r="51" spans="8:29" x14ac:dyDescent="0.35">
      <c r="H51" s="1378"/>
      <c r="I51" s="1379"/>
      <c r="J51" s="1291">
        <v>2020</v>
      </c>
      <c r="K51" s="1292"/>
      <c r="L51" s="1292"/>
      <c r="M51" s="1291">
        <v>2021</v>
      </c>
      <c r="N51" s="1292"/>
      <c r="O51" s="1292"/>
      <c r="P51" s="1293"/>
      <c r="Q51" s="1320"/>
      <c r="R51" s="1320"/>
      <c r="S51" s="1320"/>
      <c r="T51" s="1320"/>
      <c r="U51" s="1320"/>
      <c r="V51" s="1320"/>
      <c r="W51" s="1320"/>
      <c r="X51" s="1320"/>
    </row>
    <row r="52" spans="8:29" x14ac:dyDescent="0.35">
      <c r="H52" s="1386"/>
      <c r="I52" s="1387"/>
      <c r="J52" s="214" t="s">
        <v>284</v>
      </c>
      <c r="K52" s="215" t="s">
        <v>238</v>
      </c>
      <c r="L52" s="215" t="s">
        <v>282</v>
      </c>
      <c r="M52" s="285" t="s">
        <v>283</v>
      </c>
      <c r="N52" s="286" t="s">
        <v>284</v>
      </c>
      <c r="O52" s="286" t="s">
        <v>238</v>
      </c>
      <c r="P52" s="284" t="s">
        <v>282</v>
      </c>
      <c r="Q52" s="234"/>
      <c r="S52" s="240"/>
      <c r="T52" s="240"/>
      <c r="U52" s="234"/>
      <c r="V52" s="240"/>
      <c r="W52" s="240"/>
      <c r="X52" s="240"/>
      <c r="Y52" s="240"/>
      <c r="Z52" s="240"/>
      <c r="AA52" s="240"/>
    </row>
    <row r="53" spans="8:29" ht="32.9" customHeight="1" x14ac:dyDescent="0.35">
      <c r="H53" s="481" t="s">
        <v>326</v>
      </c>
      <c r="I53" s="234" t="s">
        <v>327</v>
      </c>
      <c r="J53" s="985">
        <f>'Haver Pivoted'!GU47</f>
        <v>57.2</v>
      </c>
      <c r="K53" s="451">
        <f>'Haver Pivoted'!GV47</f>
        <v>81.2</v>
      </c>
      <c r="L53" s="451">
        <f>'Haver Pivoted'!GW47</f>
        <v>24.4</v>
      </c>
      <c r="M53" s="231">
        <f>'Haver Pivoted'!GX47</f>
        <v>11.7</v>
      </c>
      <c r="N53" s="231">
        <f>'Haver Pivoted'!GY47</f>
        <v>28.5</v>
      </c>
      <c r="O53" s="364">
        <f>'Haver Pivoted'!GZ47</f>
        <v>18.8</v>
      </c>
      <c r="P53" s="364">
        <f>'Haver Pivoted'!HA47</f>
        <v>1.6</v>
      </c>
      <c r="Q53" s="231"/>
      <c r="S53" s="240"/>
      <c r="T53" s="240"/>
      <c r="U53" s="240"/>
      <c r="V53" s="240"/>
      <c r="W53" s="240"/>
      <c r="X53" s="240"/>
      <c r="Y53" s="240"/>
      <c r="Z53" s="240"/>
      <c r="AA53" s="240"/>
    </row>
    <row r="54" spans="8:29" ht="33.75" customHeight="1" x14ac:dyDescent="0.35">
      <c r="H54" s="481" t="s">
        <v>328</v>
      </c>
      <c r="I54" s="226" t="s">
        <v>329</v>
      </c>
      <c r="J54" s="977">
        <f>'Haver Pivoted'!GU49</f>
        <v>576.9</v>
      </c>
      <c r="K54" s="231">
        <f>'Haver Pivoted'!GV49</f>
        <v>819.5</v>
      </c>
      <c r="L54" s="231">
        <f>'Haver Pivoted'!GW49</f>
        <v>246.3</v>
      </c>
      <c r="M54" s="231">
        <f>'Haver Pivoted'!GX49</f>
        <v>197</v>
      </c>
      <c r="N54" s="231">
        <f>'Haver Pivoted'!GY49</f>
        <v>441.2</v>
      </c>
      <c r="O54" s="364">
        <f>'Haver Pivoted'!GZ49</f>
        <v>276.7</v>
      </c>
      <c r="P54" s="364">
        <f>'Haver Pivoted'!HA49</f>
        <v>28.2</v>
      </c>
      <c r="Q54" s="231"/>
      <c r="R54" s="231"/>
    </row>
    <row r="55" spans="8:29" x14ac:dyDescent="0.35">
      <c r="H55" s="551" t="s">
        <v>312</v>
      </c>
      <c r="I55" s="234"/>
      <c r="J55" s="977">
        <f>J54+J53</f>
        <v>634.1</v>
      </c>
      <c r="K55" s="231">
        <f t="shared" ref="K55:M55" si="27">K54+K53</f>
        <v>900.7</v>
      </c>
      <c r="L55" s="231">
        <f t="shared" si="27"/>
        <v>270.7</v>
      </c>
      <c r="M55" s="231">
        <f t="shared" si="27"/>
        <v>208.7</v>
      </c>
      <c r="N55" s="231">
        <f t="shared" ref="N55:P55" si="28">N54+N53</f>
        <v>469.7</v>
      </c>
      <c r="O55" s="364">
        <f t="shared" si="28"/>
        <v>295.5</v>
      </c>
      <c r="P55" s="364">
        <f t="shared" si="28"/>
        <v>29.8</v>
      </c>
      <c r="Q55" s="231"/>
      <c r="R55" s="231"/>
    </row>
    <row r="56" spans="8:29" x14ac:dyDescent="0.35">
      <c r="H56" s="357" t="s">
        <v>330</v>
      </c>
      <c r="I56" s="566"/>
      <c r="J56" s="866">
        <f t="shared" ref="J56:P56" si="29">J53/J55</f>
        <v>9.0206592020186091E-2</v>
      </c>
      <c r="K56" s="867">
        <f t="shared" si="29"/>
        <v>9.015210391917397E-2</v>
      </c>
      <c r="L56" s="867">
        <f t="shared" si="29"/>
        <v>9.0136682674547469E-2</v>
      </c>
      <c r="M56" s="867">
        <f t="shared" si="29"/>
        <v>5.6061332055582176E-2</v>
      </c>
      <c r="N56" s="867">
        <f t="shared" si="29"/>
        <v>6.0677027890142649E-2</v>
      </c>
      <c r="O56" s="980">
        <f t="shared" si="29"/>
        <v>6.3620981387478848E-2</v>
      </c>
      <c r="P56" s="980">
        <f t="shared" si="29"/>
        <v>5.3691275167785234E-2</v>
      </c>
      <c r="Q56" s="988"/>
      <c r="R56" s="900"/>
    </row>
    <row r="58" spans="8:29" x14ac:dyDescent="0.35">
      <c r="H58" s="240" t="s">
        <v>817</v>
      </c>
    </row>
    <row r="59" spans="8:29" x14ac:dyDescent="0.35">
      <c r="H59" s="283"/>
      <c r="I59" s="234"/>
      <c r="J59" s="231"/>
      <c r="K59" s="231"/>
      <c r="L59" s="231"/>
      <c r="M59" s="231"/>
      <c r="N59" s="231"/>
      <c r="O59" s="231"/>
      <c r="P59" s="503"/>
      <c r="Q59" s="231"/>
      <c r="R59" s="231"/>
      <c r="S59" s="231"/>
      <c r="T59" s="240"/>
      <c r="U59" s="240"/>
      <c r="V59" s="240"/>
      <c r="W59" s="240"/>
      <c r="X59" s="240"/>
      <c r="Y59" s="240"/>
      <c r="Z59" s="240"/>
      <c r="AA59" s="240"/>
      <c r="AB59" s="240"/>
      <c r="AC59" s="240"/>
    </row>
    <row r="60" spans="8:29" x14ac:dyDescent="0.35">
      <c r="P60" s="231"/>
      <c r="Q60" s="240"/>
      <c r="R60" s="240"/>
      <c r="S60" s="240"/>
      <c r="T60" s="240"/>
      <c r="U60" s="240"/>
      <c r="V60" s="240"/>
      <c r="W60" s="240"/>
      <c r="X60" s="240"/>
      <c r="Y60" s="240"/>
      <c r="Z60" s="240"/>
      <c r="AA60" s="240"/>
      <c r="AB60" s="240"/>
      <c r="AC60" s="240"/>
    </row>
    <row r="61" spans="8:29" x14ac:dyDescent="0.35">
      <c r="P61" s="231"/>
      <c r="Q61" s="986"/>
      <c r="R61" s="986"/>
      <c r="S61" s="986"/>
      <c r="T61" s="986"/>
      <c r="U61" s="986"/>
      <c r="V61" s="986"/>
      <c r="W61" s="986"/>
      <c r="X61" s="986"/>
      <c r="Y61" s="986"/>
      <c r="Z61" s="986"/>
      <c r="AA61" s="986"/>
      <c r="AB61" s="986"/>
      <c r="AC61" s="240"/>
    </row>
    <row r="62" spans="8:29" x14ac:dyDescent="0.35">
      <c r="P62" s="231"/>
      <c r="Q62" s="986"/>
      <c r="R62" s="986"/>
      <c r="S62" s="986"/>
      <c r="T62" s="986"/>
      <c r="U62" s="986"/>
      <c r="V62" s="986"/>
      <c r="W62" s="986"/>
      <c r="X62" s="986"/>
      <c r="Y62" s="986"/>
      <c r="Z62" s="986"/>
      <c r="AA62" s="986"/>
      <c r="AB62" s="986"/>
      <c r="AC62" s="240"/>
    </row>
    <row r="63" spans="8:29" x14ac:dyDescent="0.35">
      <c r="I63" s="240" t="s">
        <v>283</v>
      </c>
      <c r="J63" s="240" t="s">
        <v>284</v>
      </c>
      <c r="K63" s="240" t="s">
        <v>238</v>
      </c>
      <c r="L63" s="240" t="s">
        <v>282</v>
      </c>
      <c r="P63" s="900"/>
      <c r="Q63" s="986"/>
      <c r="R63" s="986"/>
      <c r="S63" s="986"/>
      <c r="T63" s="986"/>
      <c r="U63" s="986"/>
      <c r="V63" s="986"/>
      <c r="W63" s="986"/>
      <c r="X63" s="986"/>
      <c r="Y63" s="986"/>
      <c r="Z63" s="986"/>
      <c r="AA63" s="986"/>
      <c r="AB63" s="986"/>
      <c r="AC63" s="240"/>
    </row>
    <row r="64" spans="8:29" x14ac:dyDescent="0.35">
      <c r="H64" s="240" t="s">
        <v>818</v>
      </c>
      <c r="I64" s="240">
        <v>81.599999999999994</v>
      </c>
      <c r="J64" s="240">
        <v>188.9</v>
      </c>
      <c r="K64" s="240">
        <v>117.2</v>
      </c>
      <c r="L64" s="240" t="e">
        <f>#REF!+#REF!</f>
        <v>#REF!</v>
      </c>
      <c r="P64" s="240"/>
      <c r="Q64" s="240"/>
      <c r="R64" s="240"/>
      <c r="S64" s="240"/>
      <c r="T64" s="240"/>
      <c r="U64" s="240"/>
      <c r="V64" s="240"/>
      <c r="W64" s="240"/>
      <c r="X64" s="240"/>
      <c r="Y64" s="240"/>
      <c r="Z64" s="240"/>
      <c r="AA64" s="240"/>
      <c r="AB64" s="240"/>
      <c r="AC64" s="240"/>
    </row>
    <row r="65" spans="7:29" x14ac:dyDescent="0.35">
      <c r="H65" s="240" t="s">
        <v>470</v>
      </c>
      <c r="I65" s="721">
        <f>M53</f>
        <v>11.7</v>
      </c>
      <c r="J65" s="721">
        <f t="shared" ref="J65:K65" si="30">N53</f>
        <v>28.5</v>
      </c>
      <c r="K65" s="721">
        <f t="shared" si="30"/>
        <v>18.8</v>
      </c>
      <c r="L65" s="240" t="e">
        <f>#REF!</f>
        <v>#REF!</v>
      </c>
      <c r="P65" s="240"/>
      <c r="Q65" s="240"/>
      <c r="R65" s="240"/>
      <c r="S65" s="240"/>
      <c r="T65" s="240"/>
      <c r="U65" s="240"/>
      <c r="V65" s="240"/>
      <c r="W65" s="240"/>
      <c r="X65" s="240"/>
      <c r="Y65" s="240"/>
      <c r="Z65" s="240"/>
      <c r="AA65" s="240"/>
      <c r="AB65" s="240"/>
      <c r="AC65" s="240"/>
    </row>
    <row r="66" spans="7:29" x14ac:dyDescent="0.35">
      <c r="H66" s="240" t="s">
        <v>819</v>
      </c>
      <c r="I66" s="721">
        <f>I67-SUM(I64:I65)</f>
        <v>115.39999999999999</v>
      </c>
      <c r="J66" s="721">
        <f t="shared" ref="J66:K66" si="31">J67-SUM(J64:J65)</f>
        <v>252.29999999999998</v>
      </c>
      <c r="K66" s="721">
        <f t="shared" si="31"/>
        <v>159.5</v>
      </c>
      <c r="L66" s="721" t="e">
        <f>1.26*L64</f>
        <v>#REF!</v>
      </c>
      <c r="P66" s="240"/>
      <c r="Q66" s="240"/>
      <c r="R66" s="240"/>
      <c r="S66" s="240"/>
      <c r="T66" s="240"/>
      <c r="U66" s="240"/>
      <c r="V66" s="240"/>
      <c r="W66" s="240"/>
      <c r="X66" s="240"/>
      <c r="Y66" s="240"/>
      <c r="Z66" s="240"/>
      <c r="AA66" s="240"/>
      <c r="AB66" s="240"/>
      <c r="AC66" s="240"/>
    </row>
    <row r="67" spans="7:29" x14ac:dyDescent="0.35">
      <c r="H67" s="240" t="s">
        <v>312</v>
      </c>
      <c r="I67" s="721">
        <f>M55</f>
        <v>208.7</v>
      </c>
      <c r="J67" s="721">
        <f>N55</f>
        <v>469.7</v>
      </c>
      <c r="K67" s="721">
        <f>O55</f>
        <v>295.5</v>
      </c>
      <c r="L67" s="721" t="e">
        <f>SUM(L64:L66)</f>
        <v>#REF!</v>
      </c>
    </row>
    <row r="68" spans="7:29" x14ac:dyDescent="0.35">
      <c r="G68" s="240" t="s">
        <v>820</v>
      </c>
    </row>
    <row r="69" spans="7:29" x14ac:dyDescent="0.35">
      <c r="H69" s="240" t="s">
        <v>818</v>
      </c>
      <c r="I69" s="610">
        <f>I64/I$67</f>
        <v>0.39099185433636796</v>
      </c>
      <c r="J69" s="610">
        <f t="shared" ref="J69:L69" si="32">J64/J$67</f>
        <v>0.40217159889291038</v>
      </c>
      <c r="K69" s="610">
        <f t="shared" si="32"/>
        <v>0.3966159052453469</v>
      </c>
      <c r="L69" s="610" t="e">
        <f t="shared" si="32"/>
        <v>#REF!</v>
      </c>
    </row>
    <row r="70" spans="7:29" x14ac:dyDescent="0.35">
      <c r="H70" s="240" t="s">
        <v>470</v>
      </c>
      <c r="I70" s="610">
        <f t="shared" ref="I70:L71" si="33">I65/I$67</f>
        <v>5.6061332055582176E-2</v>
      </c>
      <c r="J70" s="610">
        <f t="shared" si="33"/>
        <v>6.0677027890142649E-2</v>
      </c>
      <c r="K70" s="610">
        <f t="shared" si="33"/>
        <v>6.3620981387478848E-2</v>
      </c>
      <c r="L70" s="610" t="e">
        <f t="shared" si="33"/>
        <v>#REF!</v>
      </c>
    </row>
    <row r="71" spans="7:29" x14ac:dyDescent="0.35">
      <c r="H71" s="240" t="s">
        <v>819</v>
      </c>
      <c r="I71" s="610">
        <f t="shared" si="33"/>
        <v>0.55294681360804987</v>
      </c>
      <c r="J71" s="610">
        <f t="shared" si="33"/>
        <v>0.53715137321694695</v>
      </c>
      <c r="K71" s="610">
        <f t="shared" si="33"/>
        <v>0.53976311336717431</v>
      </c>
      <c r="L71" s="610" t="e">
        <f t="shared" si="33"/>
        <v>#REF!</v>
      </c>
    </row>
    <row r="73" spans="7:29" x14ac:dyDescent="0.35">
      <c r="H73" s="240" t="s">
        <v>821</v>
      </c>
      <c r="I73" s="240">
        <f>I66/I64</f>
        <v>1.4142156862745099</v>
      </c>
      <c r="J73" s="240">
        <f t="shared" ref="J73:K73" si="34">J66/J64</f>
        <v>1.3356273160402328</v>
      </c>
      <c r="K73" s="24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4" t="s">
        <v>152</v>
      </c>
      <c r="C1" s="1254"/>
      <c r="D1" s="1254"/>
      <c r="E1" s="1254"/>
      <c r="F1" s="1254"/>
      <c r="G1" s="1254"/>
      <c r="H1" s="1254"/>
      <c r="I1" s="1254"/>
      <c r="J1" s="1254"/>
      <c r="K1" s="1254"/>
      <c r="L1" s="1254"/>
      <c r="M1" s="1254"/>
      <c r="N1" s="1254"/>
      <c r="O1" s="1254"/>
      <c r="P1" s="1254"/>
      <c r="Q1" s="1254"/>
      <c r="R1" s="1254"/>
      <c r="S1" s="1254"/>
      <c r="T1" s="1254"/>
    </row>
    <row r="2" spans="1:22" x14ac:dyDescent="0.35">
      <c r="B2" s="1401" t="s">
        <v>857</v>
      </c>
      <c r="C2" s="1401"/>
      <c r="D2" s="1401"/>
      <c r="E2" s="1401"/>
      <c r="F2" s="1401"/>
      <c r="G2" s="1401"/>
      <c r="H2" s="1401"/>
      <c r="I2" s="1401"/>
      <c r="J2" s="1401"/>
      <c r="K2" s="1401"/>
      <c r="L2" s="1401"/>
      <c r="M2" s="1401"/>
      <c r="N2" s="1401"/>
      <c r="O2" s="1401"/>
      <c r="P2" s="1401"/>
      <c r="Q2" s="1401"/>
      <c r="R2" s="1401"/>
      <c r="S2" s="1401"/>
      <c r="T2" s="1401"/>
    </row>
    <row r="3" spans="1:22" x14ac:dyDescent="0.35">
      <c r="B3" s="1401"/>
      <c r="C3" s="1401"/>
      <c r="D3" s="1401"/>
      <c r="E3" s="1401"/>
      <c r="F3" s="1401"/>
      <c r="G3" s="1401"/>
      <c r="H3" s="1401"/>
      <c r="I3" s="1401"/>
      <c r="J3" s="1401"/>
      <c r="K3" s="1401"/>
      <c r="L3" s="1401"/>
      <c r="M3" s="1401"/>
      <c r="N3" s="1401"/>
      <c r="O3" s="1401"/>
      <c r="P3" s="1401"/>
      <c r="Q3" s="1401"/>
      <c r="R3" s="1401"/>
      <c r="S3" s="1401"/>
      <c r="T3" s="1401"/>
    </row>
    <row r="4" spans="1:22" x14ac:dyDescent="0.35">
      <c r="B4" s="1401"/>
      <c r="C4" s="1401"/>
      <c r="D4" s="1401"/>
      <c r="E4" s="1401"/>
      <c r="F4" s="1401"/>
      <c r="G4" s="1401"/>
      <c r="H4" s="1401"/>
      <c r="I4" s="1401"/>
      <c r="J4" s="1401"/>
      <c r="K4" s="1401"/>
      <c r="L4" s="1401"/>
      <c r="M4" s="1401"/>
      <c r="N4" s="1401"/>
      <c r="O4" s="1401"/>
      <c r="P4" s="1401"/>
      <c r="Q4" s="1401"/>
      <c r="R4" s="1401"/>
      <c r="S4" s="1401"/>
      <c r="T4" s="1401"/>
    </row>
    <row r="5" spans="1:22" x14ac:dyDescent="0.35">
      <c r="B5" s="1401"/>
      <c r="C5" s="1401"/>
      <c r="D5" s="1401"/>
      <c r="E5" s="1401"/>
      <c r="F5" s="1401"/>
      <c r="G5" s="1401"/>
      <c r="H5" s="1401"/>
      <c r="I5" s="1401"/>
      <c r="J5" s="1401"/>
      <c r="K5" s="1401"/>
      <c r="L5" s="1401"/>
      <c r="M5" s="1401"/>
      <c r="N5" s="1401"/>
      <c r="O5" s="1401"/>
      <c r="P5" s="1401"/>
      <c r="Q5" s="1401"/>
      <c r="R5" s="1401"/>
      <c r="S5" s="1401"/>
      <c r="T5" s="1401"/>
    </row>
    <row r="6" spans="1:22" x14ac:dyDescent="0.35">
      <c r="B6" s="1401"/>
      <c r="C6" s="1401"/>
      <c r="D6" s="1401"/>
      <c r="E6" s="1401"/>
      <c r="F6" s="1401"/>
      <c r="G6" s="1401"/>
      <c r="H6" s="1401"/>
      <c r="I6" s="1401"/>
      <c r="J6" s="1401"/>
      <c r="K6" s="1401"/>
      <c r="L6" s="1401"/>
      <c r="M6" s="1401"/>
      <c r="N6" s="1401"/>
      <c r="O6" s="1401"/>
      <c r="P6" s="1401"/>
      <c r="Q6" s="1401"/>
      <c r="R6" s="1401"/>
      <c r="S6" s="1401"/>
      <c r="T6" s="1401"/>
    </row>
    <row r="7" spans="1:22" x14ac:dyDescent="0.35">
      <c r="J7" s="201"/>
      <c r="K7" s="201"/>
      <c r="M7" s="201"/>
    </row>
    <row r="9" spans="1:22" ht="14.9" customHeight="1" x14ac:dyDescent="0.35">
      <c r="A9" s="636"/>
      <c r="B9" s="1402" t="s">
        <v>304</v>
      </c>
      <c r="C9" s="1403"/>
      <c r="D9" s="1002">
        <v>2018</v>
      </c>
      <c r="E9" s="1408">
        <v>2019</v>
      </c>
      <c r="F9" s="1409"/>
      <c r="G9" s="1409"/>
      <c r="H9" s="1410"/>
      <c r="I9" s="1406">
        <v>2020</v>
      </c>
      <c r="J9" s="1407"/>
      <c r="K9" s="1407"/>
      <c r="L9" s="1407"/>
      <c r="M9" s="1411">
        <v>2021</v>
      </c>
      <c r="N9" s="1412"/>
      <c r="O9" s="1412"/>
      <c r="P9" s="1413"/>
      <c r="Q9" s="1406">
        <v>2022</v>
      </c>
      <c r="R9" s="1414"/>
      <c r="S9" s="1414"/>
      <c r="T9" s="1415"/>
    </row>
    <row r="10" spans="1:22" x14ac:dyDescent="0.35">
      <c r="B10" s="1404"/>
      <c r="C10" s="1405"/>
      <c r="D10" s="1006" t="s">
        <v>282</v>
      </c>
      <c r="E10" s="1007" t="s">
        <v>283</v>
      </c>
      <c r="F10" s="666" t="s">
        <v>284</v>
      </c>
      <c r="G10" s="666" t="s">
        <v>238</v>
      </c>
      <c r="H10" s="1008" t="s">
        <v>282</v>
      </c>
      <c r="I10" s="1007" t="s">
        <v>283</v>
      </c>
      <c r="J10" s="666" t="s">
        <v>284</v>
      </c>
      <c r="K10" s="666" t="s">
        <v>238</v>
      </c>
      <c r="L10" s="666" t="s">
        <v>282</v>
      </c>
      <c r="M10" s="214" t="s">
        <v>283</v>
      </c>
      <c r="N10" s="215" t="s">
        <v>284</v>
      </c>
      <c r="O10" s="215" t="s">
        <v>238</v>
      </c>
      <c r="P10" s="216" t="s">
        <v>282</v>
      </c>
      <c r="Q10" s="666" t="s">
        <v>283</v>
      </c>
      <c r="R10" s="666" t="s">
        <v>284</v>
      </c>
      <c r="S10" s="666" t="s">
        <v>238</v>
      </c>
      <c r="T10" s="1008" t="s">
        <v>282</v>
      </c>
    </row>
    <row r="11" spans="1:22" ht="29.15" customHeight="1" x14ac:dyDescent="0.35">
      <c r="A11" s="1000"/>
      <c r="B11" s="1010" t="s">
        <v>139</v>
      </c>
      <c r="C11" s="1005" t="s">
        <v>305</v>
      </c>
      <c r="D11" s="1019"/>
      <c r="E11" s="1020"/>
      <c r="F11" s="1020"/>
      <c r="G11" s="1020"/>
      <c r="H11" s="1020"/>
      <c r="I11" s="1020"/>
      <c r="J11" s="1012">
        <f>'Haver Pivoted'!GU48</f>
        <v>160.9</v>
      </c>
      <c r="K11" s="1012">
        <f>'Haver Pivoted'!GV48</f>
        <v>58.4</v>
      </c>
      <c r="L11" s="1012">
        <f>'Haver Pivoted'!GW48</f>
        <v>34.5</v>
      </c>
      <c r="M11" s="1012">
        <f>'Haver Pivoted'!GX48</f>
        <v>21.4</v>
      </c>
      <c r="N11" s="1012">
        <f>'Haver Pivoted'!GY48</f>
        <v>13.3</v>
      </c>
      <c r="O11" s="1012">
        <f>'Haver Pivoted'!GZ48</f>
        <v>18.7</v>
      </c>
      <c r="P11" s="1012">
        <f>'Haver Pivoted'!HA48</f>
        <v>32.200000000000003</v>
      </c>
      <c r="Q11" s="1012">
        <f>'Haver Pivoted'!HB48</f>
        <v>26.9</v>
      </c>
      <c r="R11" s="1012">
        <f>'Haver Pivoted'!HC48</f>
        <v>20</v>
      </c>
      <c r="S11" s="1018">
        <f>'Haver Pivoted'!HD48</f>
        <v>8.1</v>
      </c>
      <c r="T11" s="1013">
        <f>'Haver Pivoted'!HE48</f>
        <v>4.9000000000000004</v>
      </c>
    </row>
    <row r="12" spans="1:22" ht="29.15" customHeight="1" x14ac:dyDescent="0.35">
      <c r="A12" s="1000"/>
      <c r="B12" s="998" t="s">
        <v>306</v>
      </c>
      <c r="C12" s="132" t="s">
        <v>307</v>
      </c>
      <c r="D12" s="998"/>
      <c r="E12" s="132"/>
      <c r="F12" s="132"/>
      <c r="G12" s="132"/>
      <c r="H12" s="132"/>
      <c r="I12" s="132"/>
      <c r="J12" s="1014">
        <f>'Haver Pivoted'!GU58</f>
        <v>64.400000000000006</v>
      </c>
      <c r="K12" s="1014">
        <f>'Haver Pivoted'!GV58</f>
        <v>23.4</v>
      </c>
      <c r="L12" s="1014">
        <f>'Haver Pivoted'!GW58</f>
        <v>13.8</v>
      </c>
      <c r="M12" s="1014">
        <f>'Haver Pivoted'!GX58</f>
        <v>12</v>
      </c>
      <c r="N12" s="1014">
        <f>'Haver Pivoted'!GY58</f>
        <v>7.5</v>
      </c>
      <c r="O12" s="1014">
        <f>'Haver Pivoted'!GZ58</f>
        <v>10.5</v>
      </c>
      <c r="P12" s="1014">
        <f>'Haver Pivoted'!HA58</f>
        <v>18</v>
      </c>
      <c r="Q12" s="1014">
        <f>'Haver Pivoted'!HB58</f>
        <v>15</v>
      </c>
      <c r="R12" s="1014">
        <f>'Haver Pivoted'!HC58</f>
        <v>11.2</v>
      </c>
      <c r="S12" s="1017">
        <f>'Haver Pivoted'!HD58</f>
        <v>7.5</v>
      </c>
      <c r="T12" s="996">
        <f>'Haver Pivoted'!HE58</f>
        <v>6.2</v>
      </c>
    </row>
    <row r="13" spans="1:22" ht="47.15" customHeight="1" x14ac:dyDescent="0.35">
      <c r="A13" s="1000"/>
      <c r="B13" s="998" t="s">
        <v>308</v>
      </c>
      <c r="C13" s="132" t="s">
        <v>309</v>
      </c>
      <c r="D13" s="998"/>
      <c r="E13" s="132"/>
      <c r="F13" s="132"/>
      <c r="G13" s="132"/>
      <c r="H13" s="132"/>
      <c r="I13" s="132"/>
      <c r="J13" s="1014">
        <f>'Haver Pivoted'!GU54</f>
        <v>96.6</v>
      </c>
      <c r="K13" s="1014">
        <f>'Haver Pivoted'!GV54</f>
        <v>35.1</v>
      </c>
      <c r="L13" s="1014">
        <f>'Haver Pivoted'!GW54</f>
        <v>20.7</v>
      </c>
      <c r="M13" s="1014">
        <f>'Haver Pivoted'!GX54</f>
        <v>15.4</v>
      </c>
      <c r="N13" s="1014">
        <f>'Haver Pivoted'!GY54</f>
        <v>9.6</v>
      </c>
      <c r="O13" s="1014">
        <f>'Haver Pivoted'!GZ54</f>
        <v>13.5</v>
      </c>
      <c r="P13" s="1014">
        <f>'Haver Pivoted'!HA54</f>
        <v>23.2</v>
      </c>
      <c r="Q13" s="1014">
        <f>'Haver Pivoted'!HB54</f>
        <v>19.3</v>
      </c>
      <c r="R13" s="1014">
        <f>'Haver Pivoted'!HC54</f>
        <v>14.4</v>
      </c>
      <c r="S13" s="1017">
        <f>'Haver Pivoted'!HD54</f>
        <v>5.9</v>
      </c>
      <c r="T13" s="996">
        <f>'Haver Pivoted'!HE54</f>
        <v>3.6</v>
      </c>
      <c r="U13" s="1015" t="s">
        <v>310</v>
      </c>
      <c r="V13" s="1003" t="s">
        <v>311</v>
      </c>
    </row>
    <row r="14" spans="1:22" x14ac:dyDescent="0.35">
      <c r="B14" s="40" t="s">
        <v>312</v>
      </c>
      <c r="C14" s="42"/>
      <c r="D14" s="40"/>
      <c r="E14" s="42"/>
      <c r="F14" s="42"/>
      <c r="G14" s="42"/>
      <c r="H14" s="42"/>
      <c r="I14" s="42"/>
      <c r="J14" s="1014">
        <f t="shared" ref="J14:T14" si="0">J13+J12+J11</f>
        <v>321.89999999999998</v>
      </c>
      <c r="K14" s="1014">
        <f t="shared" si="0"/>
        <v>116.9</v>
      </c>
      <c r="L14" s="1014">
        <f t="shared" si="0"/>
        <v>69</v>
      </c>
      <c r="M14" s="1014">
        <f t="shared" si="0"/>
        <v>48.8</v>
      </c>
      <c r="N14" s="1014">
        <f t="shared" si="0"/>
        <v>30.400000000000002</v>
      </c>
      <c r="O14" s="1014">
        <f t="shared" si="0"/>
        <v>42.7</v>
      </c>
      <c r="P14" s="1014">
        <f t="shared" si="0"/>
        <v>73.400000000000006</v>
      </c>
      <c r="Q14" s="1014">
        <f t="shared" si="0"/>
        <v>61.199999999999996</v>
      </c>
      <c r="R14" s="1014">
        <f t="shared" si="0"/>
        <v>45.6</v>
      </c>
      <c r="S14" s="1017">
        <f t="shared" si="0"/>
        <v>21.5</v>
      </c>
      <c r="T14" s="996">
        <f t="shared" si="0"/>
        <v>14.700000000000001</v>
      </c>
      <c r="U14" s="1016">
        <v>236</v>
      </c>
      <c r="V14" s="1009">
        <f>SUM(J14:S14)/4</f>
        <v>207.85</v>
      </c>
    </row>
    <row r="15" spans="1:22" x14ac:dyDescent="0.35">
      <c r="B15" s="999" t="s">
        <v>313</v>
      </c>
      <c r="C15" s="44"/>
      <c r="D15" s="999"/>
      <c r="E15" s="44"/>
      <c r="F15" s="44"/>
      <c r="G15" s="44"/>
      <c r="H15" s="44"/>
      <c r="I15" s="44"/>
      <c r="J15" s="636">
        <f t="shared" ref="J15:N17" si="1">J11/J$14</f>
        <v>0.49984467225846541</v>
      </c>
      <c r="K15" s="636">
        <f t="shared" si="1"/>
        <v>0.49957228400342168</v>
      </c>
      <c r="L15" s="636">
        <f t="shared" si="1"/>
        <v>0.5</v>
      </c>
      <c r="M15" s="636">
        <f t="shared" si="1"/>
        <v>0.43852459016393441</v>
      </c>
      <c r="N15" s="636">
        <f t="shared" si="1"/>
        <v>0.4375</v>
      </c>
      <c r="O15" s="636">
        <f>O11/O$14</f>
        <v>0.43793911007025754</v>
      </c>
      <c r="P15" s="636">
        <f t="shared" ref="P15:T15" si="2">P11/P$14</f>
        <v>0.43869209809264303</v>
      </c>
      <c r="Q15" s="636">
        <f t="shared" si="2"/>
        <v>0.43954248366013071</v>
      </c>
      <c r="R15" s="636">
        <f t="shared" si="2"/>
        <v>0.43859649122807015</v>
      </c>
      <c r="S15" s="666">
        <f t="shared" si="2"/>
        <v>0.37674418604651161</v>
      </c>
      <c r="T15" s="1008">
        <f t="shared" si="2"/>
        <v>0.33333333333333331</v>
      </c>
    </row>
    <row r="16" spans="1:22" x14ac:dyDescent="0.35">
      <c r="B16" s="999" t="s">
        <v>314</v>
      </c>
      <c r="C16" s="44"/>
      <c r="D16" s="999"/>
      <c r="E16" s="44"/>
      <c r="F16" s="44"/>
      <c r="G16" s="44"/>
      <c r="H16" s="44"/>
      <c r="I16" s="44"/>
      <c r="J16" s="636">
        <f t="shared" si="1"/>
        <v>0.20006213109661389</v>
      </c>
      <c r="K16" s="636">
        <f t="shared" si="1"/>
        <v>0.20017108639863129</v>
      </c>
      <c r="L16" s="636">
        <f t="shared" si="1"/>
        <v>0.2</v>
      </c>
      <c r="M16" s="636">
        <f t="shared" si="1"/>
        <v>0.24590163934426232</v>
      </c>
      <c r="N16" s="636">
        <f t="shared" si="1"/>
        <v>0.24671052631578946</v>
      </c>
      <c r="O16" s="636">
        <f t="shared" ref="O16:T16" si="3">O12/O$14</f>
        <v>0.24590163934426229</v>
      </c>
      <c r="P16" s="636">
        <f t="shared" si="3"/>
        <v>0.24523160762942778</v>
      </c>
      <c r="Q16" s="636">
        <f t="shared" si="3"/>
        <v>0.24509803921568629</v>
      </c>
      <c r="R16" s="636">
        <f t="shared" si="3"/>
        <v>0.24561403508771928</v>
      </c>
      <c r="S16" s="666">
        <f t="shared" si="3"/>
        <v>0.34883720930232559</v>
      </c>
      <c r="T16" s="1008">
        <f t="shared" si="3"/>
        <v>0.42176870748299317</v>
      </c>
      <c r="U16" s="94"/>
    </row>
    <row r="17" spans="2:21" x14ac:dyDescent="0.35">
      <c r="B17" s="1001" t="s">
        <v>315</v>
      </c>
      <c r="C17" s="1004"/>
      <c r="D17" s="1001"/>
      <c r="E17" s="1004"/>
      <c r="F17" s="1004"/>
      <c r="G17" s="1004"/>
      <c r="H17" s="1004"/>
      <c r="I17" s="1004"/>
      <c r="J17" s="656">
        <f t="shared" si="1"/>
        <v>0.30009319664492079</v>
      </c>
      <c r="K17" s="656">
        <f t="shared" si="1"/>
        <v>0.30025662959794697</v>
      </c>
      <c r="L17" s="656">
        <f t="shared" si="1"/>
        <v>0.3</v>
      </c>
      <c r="M17" s="656">
        <f t="shared" si="1"/>
        <v>0.3155737704918033</v>
      </c>
      <c r="N17" s="656">
        <f t="shared" si="1"/>
        <v>0.31578947368421051</v>
      </c>
      <c r="O17" s="656">
        <f t="shared" ref="O17:T17" si="4">O13/O$14</f>
        <v>0.31615925058548006</v>
      </c>
      <c r="P17" s="656">
        <f t="shared" si="4"/>
        <v>0.3160762942779291</v>
      </c>
      <c r="Q17" s="656">
        <f t="shared" si="4"/>
        <v>0.31535947712418305</v>
      </c>
      <c r="R17" s="656">
        <f t="shared" si="4"/>
        <v>0.31578947368421051</v>
      </c>
      <c r="S17" s="1011">
        <f t="shared" si="4"/>
        <v>0.2744186046511628</v>
      </c>
      <c r="T17" s="997">
        <f t="shared" si="4"/>
        <v>0.24489795918367346</v>
      </c>
    </row>
    <row r="18" spans="2:21" x14ac:dyDescent="0.35">
      <c r="B18" s="44"/>
      <c r="C18" s="44"/>
      <c r="D18" s="44"/>
      <c r="E18" s="44"/>
      <c r="F18" s="44"/>
      <c r="G18" s="44"/>
      <c r="H18" s="44"/>
      <c r="I18" s="44"/>
      <c r="J18" s="636"/>
      <c r="K18" s="636"/>
      <c r="L18" s="636"/>
      <c r="M18" s="636"/>
      <c r="N18" s="636"/>
      <c r="O18" s="636"/>
    </row>
    <row r="19" spans="2:21" ht="15.75" customHeight="1" x14ac:dyDescent="0.35"/>
    <row r="21" spans="2:21" ht="30" customHeight="1" x14ac:dyDescent="0.35"/>
    <row r="22" spans="2:21" ht="27" customHeight="1" x14ac:dyDescent="0.35">
      <c r="M22" s="56"/>
      <c r="N22" s="56"/>
      <c r="O22" s="56"/>
      <c r="P22" s="14"/>
      <c r="Q22" s="14"/>
      <c r="R22" s="14"/>
      <c r="S22" s="14"/>
      <c r="T22" s="14"/>
      <c r="U22" s="56"/>
    </row>
    <row r="23" spans="2:21" ht="31.5" customHeight="1" x14ac:dyDescent="0.35">
      <c r="M23" s="56"/>
      <c r="N23" s="56"/>
      <c r="O23" s="56"/>
      <c r="P23" s="14"/>
      <c r="Q23" s="14"/>
      <c r="R23" s="14"/>
      <c r="S23" s="14"/>
      <c r="T23" s="14"/>
      <c r="U23" s="56"/>
    </row>
    <row r="24" spans="2:21" ht="24.65" customHeight="1" x14ac:dyDescent="0.35">
      <c r="M24" s="56"/>
      <c r="N24" s="56"/>
      <c r="O24" s="56"/>
      <c r="P24" s="14"/>
      <c r="Q24" s="14"/>
      <c r="R24" s="14"/>
      <c r="S24" s="14"/>
      <c r="T24" s="14"/>
      <c r="U24" s="56"/>
    </row>
    <row r="25" spans="2:21" x14ac:dyDescent="0.35">
      <c r="M25" s="56"/>
      <c r="N25" s="56"/>
      <c r="O25" s="56"/>
      <c r="P25" s="56"/>
      <c r="Q25" s="56"/>
      <c r="R25" s="56"/>
      <c r="S25" s="56"/>
      <c r="T25" s="56"/>
      <c r="U25" s="56"/>
    </row>
    <row r="26" spans="2:21" x14ac:dyDescent="0.35">
      <c r="M26" s="56"/>
      <c r="N26" s="56"/>
      <c r="O26" s="56"/>
      <c r="P26" s="56"/>
      <c r="Q26" s="56"/>
      <c r="R26" s="56"/>
      <c r="S26" s="56"/>
      <c r="T26" s="56"/>
      <c r="U26" s="56"/>
    </row>
    <row r="27" spans="2:21" x14ac:dyDescent="0.35">
      <c r="M27" s="56"/>
      <c r="N27" s="56"/>
      <c r="O27" s="56"/>
      <c r="P27" s="56"/>
      <c r="Q27" s="56"/>
      <c r="R27" s="56"/>
      <c r="S27" s="56"/>
      <c r="T27" s="56"/>
      <c r="U27" s="56"/>
    </row>
    <row r="28" spans="2:21" x14ac:dyDescent="0.35">
      <c r="M28" s="56"/>
      <c r="N28" s="56"/>
      <c r="O28" s="56"/>
      <c r="P28" s="56"/>
      <c r="Q28" s="56"/>
      <c r="R28" s="56"/>
      <c r="S28" s="56"/>
      <c r="T28" s="56"/>
      <c r="U28" s="56"/>
    </row>
    <row r="29" spans="2:21" x14ac:dyDescent="0.35">
      <c r="M29" s="56"/>
      <c r="N29" s="56"/>
      <c r="O29" s="56"/>
      <c r="P29" s="56"/>
      <c r="Q29" s="56"/>
      <c r="R29" s="56"/>
      <c r="S29" s="56"/>
      <c r="T29" s="56"/>
      <c r="U29" s="56"/>
    </row>
    <row r="30" spans="2:21" x14ac:dyDescent="0.35">
      <c r="M30" s="56"/>
      <c r="N30" s="56"/>
      <c r="O30" s="56"/>
      <c r="P30" s="56"/>
      <c r="Q30" s="56"/>
      <c r="R30" s="56"/>
      <c r="S30" s="56"/>
      <c r="T30" s="56"/>
      <c r="U30" s="56"/>
    </row>
    <row r="31" spans="2:21" x14ac:dyDescent="0.35">
      <c r="M31" s="56"/>
      <c r="N31" s="56"/>
      <c r="O31" s="56"/>
      <c r="P31" s="56"/>
      <c r="Q31" s="56"/>
      <c r="R31" s="56"/>
      <c r="S31" s="56"/>
      <c r="T31" s="56"/>
      <c r="U31" s="56"/>
    </row>
    <row r="32" spans="2:21" x14ac:dyDescent="0.35">
      <c r="M32" s="56"/>
      <c r="N32" s="56"/>
      <c r="O32" s="56"/>
      <c r="P32" s="56"/>
      <c r="Q32" s="56"/>
      <c r="R32" s="56"/>
      <c r="S32" s="56"/>
      <c r="T32" s="56"/>
      <c r="U32" s="56"/>
    </row>
    <row r="33" spans="13:21" x14ac:dyDescent="0.35">
      <c r="M33" s="56"/>
      <c r="N33" s="56"/>
      <c r="O33" s="56"/>
      <c r="P33" s="56"/>
      <c r="Q33" s="56"/>
      <c r="R33" s="56"/>
      <c r="S33" s="56"/>
      <c r="T33" s="56"/>
      <c r="U33" s="56"/>
    </row>
    <row r="34" spans="13:21" x14ac:dyDescent="0.35">
      <c r="M34" s="56"/>
      <c r="N34" s="56"/>
      <c r="O34" s="56"/>
      <c r="P34" s="56"/>
      <c r="Q34" s="56"/>
      <c r="R34" s="56"/>
      <c r="S34" s="56"/>
      <c r="T34" s="56"/>
      <c r="U34" s="56"/>
    </row>
    <row r="35" spans="13:21" x14ac:dyDescent="0.35">
      <c r="M35" s="56"/>
      <c r="N35" s="56"/>
      <c r="O35" s="56"/>
      <c r="P35" s="56"/>
      <c r="Q35" s="56"/>
      <c r="R35" s="56"/>
      <c r="S35" s="56"/>
      <c r="T35" s="56"/>
      <c r="U35" s="56"/>
    </row>
    <row r="36" spans="13:21" x14ac:dyDescent="0.35">
      <c r="M36" s="56"/>
      <c r="N36" s="56"/>
      <c r="O36" s="56"/>
      <c r="P36" s="56"/>
      <c r="Q36" s="56"/>
      <c r="R36" s="56"/>
      <c r="S36" s="56"/>
      <c r="T36" s="56"/>
      <c r="U36" s="56"/>
    </row>
    <row r="37" spans="13:21" x14ac:dyDescent="0.35">
      <c r="M37" s="56"/>
      <c r="N37" s="56"/>
      <c r="O37" s="56"/>
      <c r="P37" s="56"/>
      <c r="Q37" s="56"/>
      <c r="R37" s="56"/>
      <c r="S37" s="56"/>
      <c r="T37" s="56"/>
      <c r="U37" s="56"/>
    </row>
    <row r="38" spans="13:21" x14ac:dyDescent="0.35">
      <c r="M38" s="56"/>
      <c r="N38" s="56"/>
      <c r="O38" s="56"/>
      <c r="P38" s="56"/>
      <c r="Q38" s="56"/>
      <c r="R38" s="56"/>
      <c r="S38" s="56"/>
      <c r="T38" s="56"/>
      <c r="U38" s="56"/>
    </row>
    <row r="39" spans="13:21" x14ac:dyDescent="0.35">
      <c r="M39" s="56"/>
      <c r="N39" s="56"/>
      <c r="O39" s="56"/>
      <c r="P39" s="56"/>
      <c r="Q39" s="56"/>
      <c r="R39" s="56"/>
      <c r="S39" s="56"/>
      <c r="T39" s="56"/>
      <c r="U39" s="56"/>
    </row>
    <row r="40" spans="13:21" x14ac:dyDescent="0.35">
      <c r="M40" s="56"/>
      <c r="N40" s="56"/>
      <c r="O40" s="56"/>
      <c r="P40" s="56"/>
      <c r="Q40" s="56"/>
      <c r="R40" s="56"/>
      <c r="S40" s="56"/>
      <c r="T40" s="56"/>
      <c r="U40" s="56"/>
    </row>
    <row r="41" spans="13:21" x14ac:dyDescent="0.35">
      <c r="M41" s="56"/>
      <c r="N41" s="56"/>
      <c r="O41" s="56"/>
      <c r="P41" s="56"/>
      <c r="Q41" s="56"/>
      <c r="R41" s="56"/>
      <c r="S41" s="56"/>
      <c r="T41" s="56"/>
      <c r="U41" s="56"/>
    </row>
    <row r="42" spans="13:21" x14ac:dyDescent="0.35">
      <c r="M42" s="56"/>
      <c r="N42" s="56"/>
      <c r="O42" s="56"/>
      <c r="P42" s="56"/>
      <c r="Q42" s="56"/>
      <c r="R42" s="56"/>
      <c r="S42" s="56"/>
      <c r="T42" s="56"/>
      <c r="U42" s="56"/>
    </row>
    <row r="43" spans="13:21" x14ac:dyDescent="0.35">
      <c r="M43" s="56"/>
      <c r="N43" s="56"/>
      <c r="O43" s="56"/>
      <c r="P43" s="56"/>
      <c r="Q43" s="56"/>
      <c r="R43" s="56"/>
      <c r="S43" s="56"/>
      <c r="T43" s="56"/>
      <c r="U43" s="56"/>
    </row>
    <row r="44" spans="13:21" x14ac:dyDescent="0.35">
      <c r="M44" s="56"/>
      <c r="N44" s="56"/>
      <c r="O44" s="56"/>
      <c r="P44" s="56"/>
      <c r="Q44" s="56"/>
      <c r="R44" s="56"/>
      <c r="S44" s="56"/>
      <c r="T44" s="56"/>
      <c r="U44" s="56"/>
    </row>
    <row r="45" spans="13:21" x14ac:dyDescent="0.35">
      <c r="M45" s="56"/>
      <c r="N45" s="56"/>
      <c r="O45" s="56"/>
      <c r="P45" s="56"/>
      <c r="Q45" s="56"/>
      <c r="R45" s="56"/>
      <c r="S45" s="56"/>
      <c r="T45" s="56"/>
      <c r="U45" s="5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zoomScale="90" zoomScaleNormal="90" workbookViewId="0">
      <selection activeCell="T9" sqref="T9"/>
    </sheetView>
  </sheetViews>
  <sheetFormatPr defaultColWidth="10.90625" defaultRowHeight="14.5" x14ac:dyDescent="0.35"/>
  <cols>
    <col min="1" max="1" width="6" customWidth="1"/>
    <col min="2" max="2" width="29.453125" customWidth="1"/>
    <col min="3" max="7" width="10.453125" customWidth="1"/>
  </cols>
  <sheetData>
    <row r="1" spans="1:29" x14ac:dyDescent="0.35">
      <c r="B1" s="1277" t="s">
        <v>56</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1:29" ht="14.9" customHeight="1" x14ac:dyDescent="0.35">
      <c r="B2" s="1278" t="s">
        <v>459</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1:29"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1:29"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1:29" x14ac:dyDescent="0.35">
      <c r="B5" s="399"/>
      <c r="C5" s="240"/>
      <c r="D5" s="240"/>
      <c r="E5" s="240"/>
      <c r="F5" s="240"/>
      <c r="G5" s="240"/>
      <c r="H5" s="240"/>
      <c r="I5" s="240"/>
      <c r="J5" s="240"/>
      <c r="K5" s="240"/>
      <c r="L5" s="240"/>
      <c r="M5" s="240"/>
      <c r="N5" s="240"/>
      <c r="O5" s="240"/>
      <c r="P5" s="240"/>
      <c r="Q5" s="240"/>
      <c r="R5" s="240"/>
      <c r="S5" s="240"/>
      <c r="T5" s="240"/>
      <c r="U5" s="240"/>
      <c r="V5" s="240"/>
      <c r="W5" s="240"/>
      <c r="X5" s="240"/>
      <c r="Y5" s="240"/>
    </row>
    <row r="6" spans="1:29" x14ac:dyDescent="0.35">
      <c r="B6" s="1282" t="s">
        <v>404</v>
      </c>
      <c r="C6" s="1283"/>
      <c r="D6" s="1302" t="s">
        <v>280</v>
      </c>
      <c r="E6" s="1303"/>
      <c r="F6" s="1303"/>
      <c r="G6" s="1303"/>
      <c r="H6" s="1303"/>
      <c r="I6" s="1303"/>
      <c r="J6" s="1303"/>
      <c r="K6" s="1303"/>
      <c r="L6" s="1303"/>
      <c r="M6" s="1303"/>
      <c r="N6" s="1303"/>
      <c r="O6" s="1303"/>
      <c r="P6" s="1303"/>
      <c r="Q6" s="1350"/>
      <c r="R6" s="1350"/>
      <c r="S6" s="1350"/>
      <c r="T6" s="1283"/>
      <c r="U6" s="1306" t="s">
        <v>281</v>
      </c>
      <c r="V6" s="1306"/>
      <c r="W6" s="1306"/>
      <c r="X6" s="1306"/>
      <c r="Y6" s="1306"/>
      <c r="Z6" s="1306"/>
      <c r="AA6" s="1306"/>
      <c r="AB6" s="1306"/>
      <c r="AC6" s="1307"/>
    </row>
    <row r="7" spans="1:29" x14ac:dyDescent="0.35">
      <c r="B7" s="1284"/>
      <c r="C7" s="1285"/>
      <c r="D7" s="219">
        <v>2018</v>
      </c>
      <c r="E7" s="1291">
        <v>2019</v>
      </c>
      <c r="F7" s="1292"/>
      <c r="G7" s="1292"/>
      <c r="H7" s="1293"/>
      <c r="I7" s="1291">
        <v>2020</v>
      </c>
      <c r="J7" s="1292"/>
      <c r="K7" s="1292"/>
      <c r="L7" s="1292"/>
      <c r="M7" s="1291">
        <v>2021</v>
      </c>
      <c r="N7" s="1292"/>
      <c r="O7" s="1292"/>
      <c r="P7" s="1292"/>
      <c r="Q7" s="1291">
        <v>2022</v>
      </c>
      <c r="R7" s="1321"/>
      <c r="S7" s="1321"/>
      <c r="T7" s="1293"/>
      <c r="U7" s="1289">
        <v>2023</v>
      </c>
      <c r="V7" s="1301"/>
      <c r="W7" s="1301"/>
      <c r="X7" s="1301"/>
      <c r="Y7" s="1288">
        <v>2024</v>
      </c>
      <c r="Z7" s="1301"/>
      <c r="AA7" s="1301"/>
      <c r="AB7" s="1290"/>
      <c r="AC7" s="251">
        <v>2025</v>
      </c>
    </row>
    <row r="8" spans="1:29" x14ac:dyDescent="0.35">
      <c r="B8" s="1286"/>
      <c r="C8" s="1287"/>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14" t="s">
        <v>283</v>
      </c>
      <c r="R8" s="215" t="s">
        <v>284</v>
      </c>
      <c r="S8" s="215" t="s">
        <v>238</v>
      </c>
      <c r="T8" s="216" t="s">
        <v>282</v>
      </c>
      <c r="U8" s="326" t="s">
        <v>283</v>
      </c>
      <c r="V8" s="326" t="s">
        <v>284</v>
      </c>
      <c r="W8" s="326" t="s">
        <v>238</v>
      </c>
      <c r="X8" s="326" t="s">
        <v>282</v>
      </c>
      <c r="Y8" s="433" t="s">
        <v>283</v>
      </c>
      <c r="Z8" s="333" t="s">
        <v>284</v>
      </c>
      <c r="AA8" s="326" t="s">
        <v>238</v>
      </c>
      <c r="AB8" s="432" t="s">
        <v>282</v>
      </c>
      <c r="AC8" s="922" t="s">
        <v>283</v>
      </c>
    </row>
    <row r="9" spans="1:29" x14ac:dyDescent="0.35">
      <c r="B9" s="565" t="s">
        <v>56</v>
      </c>
      <c r="C9" s="443" t="s">
        <v>460</v>
      </c>
      <c r="D9" s="565"/>
      <c r="E9" s="717"/>
      <c r="F9" s="717"/>
      <c r="G9" s="717"/>
      <c r="H9" s="717"/>
      <c r="I9" s="717"/>
      <c r="J9" s="308">
        <f>'Haver Pivoted'!GU45</f>
        <v>1078.0999999999999</v>
      </c>
      <c r="K9" s="308">
        <f>'Haver Pivoted'!GV45</f>
        <v>15.6</v>
      </c>
      <c r="L9" s="308">
        <f>'Haver Pivoted'!GW45</f>
        <v>5</v>
      </c>
      <c r="M9" s="308">
        <f>'Haver Pivoted'!GX45</f>
        <v>1933.7</v>
      </c>
      <c r="N9" s="308">
        <f>'Haver Pivoted'!GY45</f>
        <v>290.10000000000002</v>
      </c>
      <c r="O9" s="308">
        <f>'Haver Pivoted'!GZ45</f>
        <v>38.9</v>
      </c>
      <c r="P9" s="308">
        <f>'Haver Pivoted'!HA45</f>
        <v>14.2</v>
      </c>
      <c r="Q9" s="308">
        <f>'Haver Pivoted'!HB45</f>
        <v>0</v>
      </c>
      <c r="R9" s="308">
        <f>'Haver Pivoted'!HC45</f>
        <v>0</v>
      </c>
      <c r="S9" s="292">
        <f>'Haver Pivoted'!HD45</f>
        <v>0</v>
      </c>
      <c r="T9" s="221">
        <f>'Haver Pivoted'!HE45</f>
        <v>0</v>
      </c>
      <c r="U9" s="291"/>
      <c r="V9" s="291"/>
      <c r="W9" s="291"/>
      <c r="X9" s="291"/>
      <c r="Y9" s="291"/>
      <c r="Z9" s="291"/>
      <c r="AA9" s="291"/>
      <c r="AB9" s="291"/>
      <c r="AC9" s="218"/>
    </row>
    <row r="10" spans="1:29" x14ac:dyDescent="0.35">
      <c r="B10" s="583" t="s">
        <v>214</v>
      </c>
      <c r="C10" s="263"/>
      <c r="D10" s="583"/>
      <c r="E10" s="263"/>
      <c r="F10" s="263"/>
      <c r="G10" s="263"/>
      <c r="H10" s="263"/>
      <c r="I10" s="263"/>
      <c r="J10" s="637"/>
      <c r="K10" s="637"/>
      <c r="L10" s="637"/>
      <c r="M10" s="637">
        <f t="shared" ref="M10:T10" si="0">M9-M11</f>
        <v>1348.1</v>
      </c>
      <c r="N10" s="637">
        <f t="shared" si="0"/>
        <v>290.10000000000002</v>
      </c>
      <c r="O10" s="637">
        <f t="shared" si="0"/>
        <v>38.9</v>
      </c>
      <c r="P10" s="637">
        <f t="shared" si="0"/>
        <v>14.2</v>
      </c>
      <c r="Q10" s="637">
        <f t="shared" si="0"/>
        <v>0</v>
      </c>
      <c r="R10" s="637">
        <f t="shared" si="0"/>
        <v>0</v>
      </c>
      <c r="S10" s="1031">
        <f t="shared" si="0"/>
        <v>0</v>
      </c>
      <c r="T10" s="1021">
        <f t="shared" si="0"/>
        <v>0</v>
      </c>
      <c r="U10" s="1029"/>
      <c r="V10" s="1029"/>
      <c r="W10" s="1029"/>
      <c r="X10" s="1029"/>
      <c r="Y10" s="1029"/>
      <c r="Z10" s="1029"/>
      <c r="AA10" s="1029"/>
      <c r="AB10" s="1029"/>
      <c r="AC10" s="1030"/>
    </row>
    <row r="11" spans="1:29" x14ac:dyDescent="0.35">
      <c r="B11" s="540" t="s">
        <v>461</v>
      </c>
      <c r="C11" s="541"/>
      <c r="D11" s="540"/>
      <c r="E11" s="541"/>
      <c r="F11" s="541"/>
      <c r="G11" s="541"/>
      <c r="H11" s="541"/>
      <c r="I11" s="541"/>
      <c r="J11" s="657">
        <f t="shared" ref="J11:L11" si="1">J9-J10</f>
        <v>1078.0999999999999</v>
      </c>
      <c r="K11" s="657">
        <f t="shared" si="1"/>
        <v>15.6</v>
      </c>
      <c r="L11" s="657">
        <f t="shared" si="1"/>
        <v>5</v>
      </c>
      <c r="M11" s="657">
        <f>SUM(C17:D17)/12*4</f>
        <v>585.6</v>
      </c>
      <c r="N11" s="657">
        <v>0</v>
      </c>
      <c r="O11" s="657">
        <v>0</v>
      </c>
      <c r="P11" s="657">
        <v>0</v>
      </c>
      <c r="Q11" s="657">
        <v>0</v>
      </c>
      <c r="R11" s="657">
        <v>0</v>
      </c>
      <c r="S11" s="657">
        <v>0</v>
      </c>
      <c r="T11" s="919"/>
      <c r="U11" s="1023"/>
      <c r="V11" s="1023"/>
      <c r="W11" s="1023"/>
      <c r="X11" s="1023"/>
      <c r="Y11" s="1023"/>
      <c r="Z11" s="1023"/>
      <c r="AA11" s="1023"/>
      <c r="AB11" s="1023"/>
      <c r="AC11" s="1024"/>
    </row>
    <row r="12" spans="1:29" x14ac:dyDescent="0.35">
      <c r="B12" s="240"/>
      <c r="C12" s="240"/>
      <c r="D12" s="240"/>
      <c r="E12" s="240"/>
      <c r="F12" s="240"/>
      <c r="G12" s="240"/>
      <c r="H12" s="240"/>
      <c r="I12" s="240"/>
      <c r="J12" s="240"/>
      <c r="K12" s="240"/>
      <c r="L12" s="240"/>
      <c r="M12" s="240"/>
      <c r="N12" s="240"/>
      <c r="O12" s="240"/>
      <c r="P12" s="240"/>
      <c r="Q12" s="240"/>
      <c r="R12" s="240"/>
      <c r="S12" s="240"/>
      <c r="T12" s="240"/>
      <c r="U12" s="240"/>
      <c r="V12" s="240"/>
      <c r="W12" s="240"/>
      <c r="X12" s="240"/>
      <c r="Y12" s="240"/>
      <c r="Z12" s="56"/>
      <c r="AA12" s="56"/>
      <c r="AB12" s="56"/>
      <c r="AC12" s="56"/>
    </row>
    <row r="13" spans="1:29" x14ac:dyDescent="0.35">
      <c r="A13" s="75"/>
      <c r="B13" s="75"/>
      <c r="C13" s="75"/>
      <c r="D13" s="75"/>
      <c r="E13" s="75"/>
      <c r="F13" s="75"/>
      <c r="G13" s="75"/>
      <c r="H13" s="75"/>
      <c r="I13" s="75"/>
      <c r="J13" s="75"/>
      <c r="K13" s="75"/>
      <c r="L13" s="80"/>
      <c r="M13" s="80"/>
      <c r="N13" s="80"/>
    </row>
    <row r="14" spans="1:29" x14ac:dyDescent="0.35">
      <c r="A14" s="75"/>
      <c r="N14" s="56"/>
    </row>
    <row r="15" spans="1:29" x14ac:dyDescent="0.35">
      <c r="A15" s="636"/>
      <c r="B15" s="1416" t="s">
        <v>462</v>
      </c>
      <c r="C15" s="1406">
        <v>2021</v>
      </c>
      <c r="D15" s="1407"/>
      <c r="E15" s="1407"/>
      <c r="F15" s="1407"/>
      <c r="G15" s="68"/>
      <c r="K15" s="1418"/>
      <c r="L15" s="1418"/>
      <c r="M15" s="56"/>
      <c r="N15" s="56"/>
    </row>
    <row r="16" spans="1:29" x14ac:dyDescent="0.35">
      <c r="B16" s="1417"/>
      <c r="C16" s="1026" t="s">
        <v>234</v>
      </c>
      <c r="D16" s="1011" t="s">
        <v>235</v>
      </c>
      <c r="E16" s="1011" t="s">
        <v>236</v>
      </c>
      <c r="F16" s="1011" t="s">
        <v>237</v>
      </c>
      <c r="G16" s="1022"/>
      <c r="H16" s="636"/>
      <c r="I16" s="636"/>
      <c r="J16" s="636"/>
      <c r="K16" s="636"/>
      <c r="L16" s="636"/>
      <c r="M16" s="636"/>
      <c r="N16" s="636"/>
    </row>
    <row r="17" spans="2:29" ht="16.399999999999999" customHeight="1" x14ac:dyDescent="0.35">
      <c r="B17" s="1025" t="s">
        <v>463</v>
      </c>
      <c r="C17" s="1027">
        <v>1660.9</v>
      </c>
      <c r="D17" s="1027">
        <v>95.9</v>
      </c>
      <c r="E17" s="1027">
        <v>4044.2</v>
      </c>
      <c r="F17" s="1028">
        <v>688</v>
      </c>
      <c r="G17" s="192"/>
      <c r="H17" s="192"/>
      <c r="I17" s="192"/>
      <c r="J17" s="192"/>
      <c r="K17" s="192"/>
      <c r="L17" s="192"/>
      <c r="M17" s="240"/>
      <c r="N17" s="240"/>
    </row>
    <row r="18" spans="2:29" x14ac:dyDescent="0.35">
      <c r="B18" s="987" t="s">
        <v>464</v>
      </c>
      <c r="C18" s="240"/>
      <c r="D18" s="240"/>
      <c r="E18" s="240"/>
      <c r="F18" s="240"/>
      <c r="G18" s="240"/>
      <c r="H18" s="240"/>
      <c r="I18" s="240"/>
      <c r="J18" s="240"/>
      <c r="K18" s="240"/>
      <c r="L18" s="240"/>
      <c r="M18" s="240"/>
      <c r="N18" s="240"/>
    </row>
    <row r="19" spans="2:29" x14ac:dyDescent="0.35">
      <c r="B19" s="240"/>
      <c r="C19" s="240"/>
      <c r="D19" s="240"/>
      <c r="E19" s="240"/>
      <c r="F19" s="240"/>
      <c r="G19" s="240"/>
      <c r="H19" s="240"/>
      <c r="I19" s="240"/>
      <c r="J19" s="240"/>
      <c r="K19" s="240"/>
      <c r="L19" s="240"/>
      <c r="M19" s="240"/>
      <c r="N19" s="240"/>
    </row>
    <row r="20" spans="2:29" x14ac:dyDescent="0.35">
      <c r="B20" s="987"/>
      <c r="C20" s="240"/>
      <c r="D20" s="240"/>
      <c r="E20" s="240"/>
      <c r="F20" s="240"/>
      <c r="G20" s="240"/>
      <c r="H20" s="240"/>
      <c r="I20" s="240"/>
      <c r="J20" s="240"/>
      <c r="K20" s="240"/>
      <c r="L20" s="240"/>
      <c r="M20" s="240"/>
      <c r="N20" s="240"/>
    </row>
    <row r="21" spans="2:29" x14ac:dyDescent="0.35">
      <c r="B21" s="240"/>
      <c r="C21" s="240"/>
      <c r="D21" s="240"/>
      <c r="E21" s="240"/>
      <c r="F21" s="240"/>
      <c r="G21" s="240"/>
      <c r="H21" s="240"/>
      <c r="I21" s="240"/>
      <c r="J21" s="240"/>
      <c r="K21" s="240"/>
      <c r="L21" s="240"/>
      <c r="M21" s="240"/>
      <c r="N21" s="240"/>
      <c r="O21" s="240"/>
      <c r="P21" s="240"/>
      <c r="Q21" s="240"/>
      <c r="R21" s="240"/>
      <c r="S21" s="240"/>
      <c r="T21" s="240"/>
      <c r="U21" s="240"/>
      <c r="V21" s="240"/>
      <c r="W21" s="240"/>
      <c r="X21" s="240"/>
      <c r="Y21" s="240"/>
      <c r="Z21" s="56"/>
      <c r="AA21" s="56"/>
      <c r="AB21" s="56"/>
      <c r="AC21" s="56"/>
    </row>
    <row r="22" spans="2:29" x14ac:dyDescent="0.35">
      <c r="B22" s="75"/>
      <c r="C22" s="75"/>
      <c r="D22" s="75"/>
      <c r="E22" s="75"/>
      <c r="F22" s="75"/>
      <c r="G22" s="75"/>
      <c r="H22" s="75"/>
      <c r="I22" s="75"/>
      <c r="J22" s="75"/>
      <c r="K22" s="75"/>
      <c r="L22" s="80"/>
      <c r="M22" s="80"/>
      <c r="N22" s="80"/>
    </row>
    <row r="23" spans="2:29" x14ac:dyDescent="0.35">
      <c r="B23" s="240"/>
      <c r="C23" s="240"/>
      <c r="D23" s="240"/>
      <c r="E23" s="240"/>
      <c r="F23" s="240"/>
      <c r="G23" s="240"/>
      <c r="H23" s="240"/>
      <c r="I23" s="240"/>
      <c r="J23" s="240"/>
      <c r="K23" s="240"/>
      <c r="L23" s="240"/>
      <c r="M23" s="240"/>
      <c r="N23" s="240"/>
      <c r="O23" s="240"/>
      <c r="P23" s="240"/>
      <c r="Q23" s="240"/>
      <c r="R23" s="240"/>
      <c r="S23" s="240"/>
      <c r="T23" s="240"/>
      <c r="U23" s="240"/>
      <c r="V23" s="240"/>
      <c r="W23" s="240"/>
      <c r="X23" s="240"/>
      <c r="Y23" s="240"/>
    </row>
    <row r="24" spans="2:29" x14ac:dyDescent="0.35">
      <c r="B24" s="240"/>
      <c r="C24" s="240"/>
      <c r="D24" s="240"/>
      <c r="E24" s="240"/>
      <c r="F24" s="240"/>
      <c r="G24" s="240"/>
      <c r="H24" s="240"/>
      <c r="I24" s="240"/>
      <c r="J24" s="240"/>
      <c r="K24" s="240"/>
      <c r="L24" s="240"/>
      <c r="M24" s="240"/>
      <c r="N24" s="240"/>
      <c r="O24" s="240"/>
      <c r="P24" s="240"/>
      <c r="Q24" s="240"/>
      <c r="R24" s="240"/>
      <c r="S24" s="240"/>
      <c r="T24" s="240"/>
      <c r="U24" s="240"/>
      <c r="V24" s="240"/>
      <c r="W24" s="240"/>
      <c r="X24" s="240"/>
      <c r="Y24" s="240"/>
    </row>
    <row r="25" spans="2:29" x14ac:dyDescent="0.35">
      <c r="B25" s="240"/>
      <c r="C25" s="240"/>
      <c r="D25" s="240"/>
      <c r="E25" s="240"/>
      <c r="F25" s="240"/>
      <c r="G25" s="240"/>
      <c r="H25" s="240"/>
      <c r="I25" s="240"/>
      <c r="J25" s="240"/>
      <c r="K25" s="240"/>
      <c r="L25" s="240"/>
      <c r="M25" s="240"/>
      <c r="N25" s="240"/>
      <c r="O25" s="240"/>
      <c r="P25" s="240"/>
      <c r="Q25" s="240"/>
      <c r="R25" s="240"/>
      <c r="S25" s="240"/>
      <c r="T25" s="240"/>
      <c r="U25" s="240"/>
      <c r="V25" s="240"/>
      <c r="W25" s="240"/>
      <c r="X25" s="240"/>
      <c r="Y25" s="240"/>
    </row>
    <row r="26" spans="2:29" x14ac:dyDescent="0.35">
      <c r="B26" s="240"/>
      <c r="C26" s="240"/>
      <c r="D26" s="240"/>
      <c r="E26" s="240"/>
      <c r="F26" s="240"/>
      <c r="G26" s="240"/>
      <c r="H26" s="240"/>
      <c r="I26" s="240"/>
      <c r="J26" s="240"/>
      <c r="K26" s="240"/>
      <c r="L26" s="240"/>
      <c r="M26" s="240"/>
      <c r="N26" s="240"/>
      <c r="O26" s="240"/>
      <c r="P26" s="240"/>
      <c r="Q26" s="240"/>
      <c r="R26" s="240"/>
      <c r="S26" s="240"/>
      <c r="T26" s="240"/>
      <c r="U26" s="240"/>
      <c r="V26" s="240"/>
      <c r="W26" s="240"/>
      <c r="X26" s="240"/>
      <c r="Y26" s="240"/>
    </row>
    <row r="27" spans="2:29" x14ac:dyDescent="0.35">
      <c r="B27" s="240"/>
      <c r="C27" s="240"/>
      <c r="D27" s="240"/>
      <c r="E27" s="240"/>
      <c r="F27" s="240"/>
      <c r="G27" s="240"/>
      <c r="H27" s="240"/>
      <c r="I27" s="240"/>
      <c r="J27" s="240"/>
      <c r="K27" s="240"/>
      <c r="L27" s="240"/>
      <c r="M27" s="240"/>
      <c r="N27" s="240"/>
      <c r="O27" s="240"/>
      <c r="P27" s="240"/>
      <c r="Q27" s="240"/>
      <c r="R27" s="240"/>
      <c r="S27" s="240"/>
      <c r="T27" s="240"/>
      <c r="U27" s="240"/>
      <c r="V27" s="240"/>
      <c r="W27" s="240"/>
      <c r="X27" s="240"/>
      <c r="Y27" s="240"/>
    </row>
    <row r="28" spans="2:29" x14ac:dyDescent="0.35">
      <c r="B28" s="240"/>
      <c r="C28" s="240"/>
      <c r="D28" s="240"/>
      <c r="E28" s="240"/>
      <c r="F28" s="240"/>
      <c r="G28" s="240"/>
      <c r="H28" s="240"/>
      <c r="I28" s="240"/>
      <c r="J28" s="240"/>
      <c r="K28" s="240"/>
      <c r="L28" s="240"/>
      <c r="M28" s="240"/>
      <c r="N28" s="240"/>
      <c r="O28" s="240"/>
      <c r="P28" s="240"/>
      <c r="Q28" s="240"/>
      <c r="R28" s="240"/>
      <c r="S28" s="240"/>
      <c r="T28" s="240"/>
      <c r="U28" s="240"/>
      <c r="V28" s="240"/>
      <c r="W28" s="240"/>
      <c r="X28" s="240"/>
      <c r="Y28" s="240"/>
    </row>
    <row r="29" spans="2:29" x14ac:dyDescent="0.35">
      <c r="B29" s="240"/>
      <c r="C29" s="240"/>
      <c r="D29" s="240"/>
      <c r="E29" s="240"/>
      <c r="F29" s="240"/>
      <c r="G29" s="240"/>
      <c r="H29" s="240"/>
      <c r="I29" s="240"/>
      <c r="J29" s="240"/>
      <c r="K29" s="240"/>
      <c r="L29" s="240"/>
      <c r="M29" s="240"/>
      <c r="N29" s="240"/>
      <c r="O29" s="240"/>
      <c r="P29" s="240"/>
      <c r="Q29" s="240"/>
      <c r="R29" s="240"/>
      <c r="S29" s="240"/>
      <c r="T29" s="240"/>
      <c r="U29" s="240"/>
      <c r="V29" s="240"/>
      <c r="W29" s="240"/>
      <c r="X29" s="240"/>
      <c r="Y29" s="240"/>
    </row>
    <row r="30" spans="2:29" x14ac:dyDescent="0.35">
      <c r="B30" s="240"/>
      <c r="C30" s="240"/>
      <c r="D30" s="240"/>
      <c r="E30" s="240"/>
      <c r="F30" s="240"/>
      <c r="G30" s="240"/>
      <c r="H30" s="240"/>
      <c r="I30" s="240"/>
      <c r="J30" s="240"/>
      <c r="K30" s="240"/>
      <c r="L30" s="240"/>
      <c r="M30" s="240"/>
      <c r="N30" s="240"/>
      <c r="O30" s="240"/>
      <c r="P30" s="240"/>
      <c r="Q30" s="240"/>
      <c r="R30" s="240"/>
      <c r="S30" s="240"/>
      <c r="T30" s="240"/>
      <c r="U30" s="240"/>
      <c r="V30" s="240"/>
      <c r="W30" s="240"/>
      <c r="X30" s="240"/>
      <c r="Y30" s="240"/>
    </row>
    <row r="31" spans="2:29" x14ac:dyDescent="0.35">
      <c r="B31" s="240"/>
      <c r="C31" s="240"/>
      <c r="D31" s="240"/>
      <c r="E31" s="240"/>
      <c r="F31" s="240"/>
      <c r="G31" s="240"/>
      <c r="H31" s="240"/>
      <c r="I31" s="240"/>
      <c r="J31" s="240"/>
      <c r="K31" s="240"/>
      <c r="L31" s="240"/>
      <c r="M31" s="240"/>
      <c r="N31" s="240"/>
      <c r="O31" s="240"/>
      <c r="P31" s="240"/>
      <c r="Q31" s="240"/>
      <c r="R31" s="240"/>
      <c r="S31" s="240"/>
      <c r="T31" s="240"/>
      <c r="U31" s="240"/>
      <c r="V31" s="240"/>
      <c r="W31" s="240"/>
      <c r="X31" s="240"/>
      <c r="Y31" s="240"/>
    </row>
    <row r="32" spans="2:29" x14ac:dyDescent="0.35">
      <c r="B32" s="240"/>
      <c r="C32" s="240"/>
      <c r="D32" s="240"/>
      <c r="E32" s="240"/>
      <c r="F32" s="240"/>
      <c r="G32" s="240"/>
      <c r="H32" s="240"/>
      <c r="I32" s="240"/>
      <c r="J32" s="240"/>
      <c r="K32" s="240"/>
      <c r="L32" s="240"/>
      <c r="M32" s="240"/>
      <c r="N32" s="240"/>
      <c r="O32" s="240"/>
      <c r="P32" s="240"/>
      <c r="Q32" s="240"/>
      <c r="R32" s="240"/>
      <c r="S32" s="240"/>
      <c r="T32" s="240"/>
      <c r="U32" s="240"/>
      <c r="V32" s="240"/>
      <c r="W32" s="240"/>
      <c r="X32" s="240"/>
      <c r="Y32" s="240"/>
    </row>
    <row r="33" spans="2:25" x14ac:dyDescent="0.35">
      <c r="B33" s="240"/>
      <c r="C33" s="240"/>
      <c r="D33" s="240"/>
      <c r="E33" s="240"/>
      <c r="F33" s="240"/>
      <c r="G33" s="240"/>
      <c r="H33" s="240"/>
      <c r="I33" s="240"/>
      <c r="J33" s="240"/>
      <c r="K33" s="240"/>
      <c r="L33" s="240"/>
      <c r="M33" s="240"/>
      <c r="N33" s="240"/>
      <c r="O33" s="240"/>
      <c r="P33" s="240"/>
      <c r="Q33" s="240"/>
      <c r="R33" s="240"/>
      <c r="S33" s="240"/>
      <c r="T33" s="240"/>
      <c r="U33" s="240"/>
      <c r="V33" s="240"/>
      <c r="W33" s="240"/>
      <c r="X33" s="240"/>
      <c r="Y33" s="240"/>
    </row>
    <row r="34" spans="2:25" x14ac:dyDescent="0.35">
      <c r="B34" s="240"/>
      <c r="C34" s="240"/>
      <c r="D34" s="240"/>
      <c r="E34" s="240"/>
      <c r="F34" s="240"/>
      <c r="G34" s="240"/>
      <c r="H34" s="240"/>
      <c r="I34" s="240"/>
      <c r="J34" s="240"/>
      <c r="K34" s="240"/>
      <c r="L34" s="240"/>
      <c r="M34" s="240"/>
      <c r="N34" s="240"/>
      <c r="O34" s="240"/>
      <c r="P34" s="240"/>
      <c r="Q34" s="240"/>
      <c r="R34" s="240"/>
      <c r="S34" s="240"/>
      <c r="T34" s="240"/>
      <c r="U34" s="240"/>
      <c r="V34" s="240"/>
      <c r="W34" s="240"/>
      <c r="X34" s="240"/>
      <c r="Y34" s="240"/>
    </row>
    <row r="35" spans="2:25" x14ac:dyDescent="0.35">
      <c r="B35" s="240"/>
      <c r="C35" s="240"/>
      <c r="D35" s="240"/>
      <c r="E35" s="240"/>
      <c r="F35" s="240"/>
      <c r="G35" s="240"/>
      <c r="H35" s="240"/>
      <c r="I35" s="240"/>
      <c r="J35" s="240"/>
      <c r="K35" s="240"/>
      <c r="L35" s="240"/>
      <c r="M35" s="240"/>
      <c r="N35" s="240"/>
      <c r="O35" s="240"/>
      <c r="P35" s="240"/>
      <c r="Q35" s="240"/>
      <c r="R35" s="240"/>
      <c r="S35" s="240"/>
      <c r="T35" s="240"/>
      <c r="U35" s="240"/>
      <c r="V35" s="240"/>
      <c r="W35" s="240"/>
      <c r="X35" s="240"/>
      <c r="Y35" s="240"/>
    </row>
    <row r="36" spans="2:25" x14ac:dyDescent="0.35">
      <c r="B36" s="240"/>
      <c r="C36" s="240"/>
      <c r="D36" s="240"/>
      <c r="E36" s="240"/>
      <c r="F36" s="240"/>
      <c r="G36" s="240"/>
      <c r="H36" s="240"/>
      <c r="I36" s="240"/>
      <c r="J36" s="240"/>
      <c r="K36" s="240"/>
      <c r="L36" s="240"/>
      <c r="M36" s="240"/>
      <c r="N36" s="240"/>
      <c r="O36" s="240"/>
      <c r="P36" s="240"/>
      <c r="Q36" s="240"/>
      <c r="R36" s="240"/>
      <c r="S36" s="240"/>
      <c r="T36" s="240"/>
      <c r="U36" s="240"/>
      <c r="V36" s="240"/>
      <c r="W36" s="240"/>
      <c r="X36" s="240"/>
      <c r="Y36" s="240"/>
    </row>
    <row r="37" spans="2:25" x14ac:dyDescent="0.35">
      <c r="B37" s="240"/>
      <c r="C37" s="240"/>
      <c r="D37" s="240"/>
      <c r="E37" s="240"/>
      <c r="F37" s="240"/>
      <c r="G37" s="240"/>
      <c r="H37" s="240"/>
      <c r="I37" s="240"/>
      <c r="J37" s="240"/>
      <c r="K37" s="240"/>
      <c r="L37" s="240"/>
      <c r="M37" s="240"/>
      <c r="N37" s="240"/>
      <c r="O37" s="240"/>
      <c r="P37" s="240"/>
      <c r="Q37" s="240"/>
      <c r="R37" s="240"/>
      <c r="S37" s="240"/>
      <c r="T37" s="240"/>
      <c r="U37" s="240"/>
      <c r="V37" s="240"/>
      <c r="W37" s="240"/>
      <c r="X37" s="240"/>
      <c r="Y37" s="240"/>
    </row>
    <row r="38" spans="2:25" x14ac:dyDescent="0.35">
      <c r="B38" s="240"/>
      <c r="C38" s="240"/>
      <c r="D38" s="240"/>
      <c r="E38" s="240"/>
      <c r="F38" s="240"/>
      <c r="G38" s="240"/>
      <c r="H38" s="240"/>
      <c r="I38" s="240"/>
      <c r="J38" s="240"/>
      <c r="K38" s="240"/>
      <c r="L38" s="240"/>
      <c r="M38" s="240"/>
      <c r="N38" s="240"/>
      <c r="O38" s="240"/>
      <c r="P38" s="240"/>
      <c r="Q38" s="240"/>
      <c r="R38" s="240"/>
      <c r="S38" s="240"/>
      <c r="T38" s="240"/>
      <c r="U38" s="240"/>
      <c r="V38" s="240"/>
      <c r="W38" s="240"/>
      <c r="X38" s="240"/>
      <c r="Y38" s="240"/>
    </row>
    <row r="39" spans="2:25" x14ac:dyDescent="0.35">
      <c r="B39" s="240"/>
      <c r="C39" s="240"/>
      <c r="D39" s="240"/>
      <c r="E39" s="240"/>
      <c r="F39" s="240"/>
      <c r="G39" s="240"/>
      <c r="H39" s="240"/>
      <c r="I39" s="240"/>
      <c r="J39" s="240"/>
      <c r="K39" s="240"/>
      <c r="L39" s="240"/>
      <c r="M39" s="240"/>
      <c r="N39" s="240"/>
      <c r="O39" s="240"/>
      <c r="P39" s="240"/>
      <c r="Q39" s="240"/>
      <c r="R39" s="240"/>
      <c r="S39" s="240"/>
      <c r="T39" s="240"/>
      <c r="U39" s="240"/>
      <c r="V39" s="240"/>
      <c r="W39" s="240"/>
      <c r="X39" s="240"/>
      <c r="Y39" s="240"/>
    </row>
    <row r="40" spans="2:25" x14ac:dyDescent="0.35">
      <c r="B40" s="240"/>
      <c r="C40" s="240"/>
      <c r="D40" s="240"/>
      <c r="E40" s="240"/>
      <c r="F40" s="240"/>
      <c r="G40" s="240"/>
      <c r="H40" s="240"/>
      <c r="I40" s="240"/>
      <c r="J40" s="240"/>
      <c r="K40" s="240"/>
      <c r="L40" s="240"/>
      <c r="M40" s="240"/>
      <c r="N40" s="240"/>
      <c r="O40" s="240"/>
      <c r="P40" s="240"/>
      <c r="Q40" s="240"/>
      <c r="R40" s="240"/>
      <c r="S40" s="240"/>
      <c r="T40" s="240"/>
      <c r="U40" s="240"/>
      <c r="V40" s="240"/>
      <c r="W40" s="240"/>
      <c r="X40" s="240"/>
      <c r="Y40" s="240"/>
    </row>
    <row r="41" spans="2:25" x14ac:dyDescent="0.35">
      <c r="B41" s="240"/>
      <c r="C41" s="240"/>
      <c r="D41" s="240"/>
      <c r="E41" s="240"/>
      <c r="F41" s="240"/>
      <c r="G41" s="240"/>
      <c r="H41" s="240"/>
      <c r="I41" s="240"/>
      <c r="J41" s="240"/>
      <c r="K41" s="240"/>
      <c r="L41" s="240"/>
      <c r="M41" s="240"/>
      <c r="N41" s="240"/>
      <c r="O41" s="240"/>
      <c r="P41" s="240"/>
      <c r="Q41" s="240"/>
      <c r="R41" s="240"/>
      <c r="S41" s="240"/>
      <c r="T41" s="240"/>
      <c r="U41" s="240"/>
      <c r="V41" s="240"/>
      <c r="W41" s="240"/>
      <c r="X41" s="240"/>
      <c r="Y41" s="240"/>
    </row>
    <row r="42" spans="2:25" x14ac:dyDescent="0.35">
      <c r="B42" s="240"/>
      <c r="C42" s="240"/>
      <c r="D42" s="240"/>
      <c r="E42" s="240"/>
      <c r="F42" s="240"/>
      <c r="G42" s="240"/>
      <c r="H42" s="240"/>
      <c r="I42" s="240"/>
      <c r="J42" s="240"/>
      <c r="K42" s="240"/>
      <c r="L42" s="240"/>
      <c r="M42" s="240"/>
      <c r="N42" s="240"/>
      <c r="O42" s="240"/>
      <c r="P42" s="240"/>
      <c r="Q42" s="240"/>
      <c r="R42" s="240"/>
      <c r="S42" s="240"/>
      <c r="T42" s="240"/>
      <c r="U42" s="240"/>
      <c r="V42" s="240"/>
      <c r="W42" s="240"/>
      <c r="X42" s="240"/>
      <c r="Y42" s="240"/>
    </row>
    <row r="43" spans="2:25" x14ac:dyDescent="0.35">
      <c r="B43" s="240"/>
      <c r="C43" s="240"/>
      <c r="D43" s="240"/>
      <c r="E43" s="240"/>
      <c r="F43" s="240"/>
      <c r="G43" s="240"/>
      <c r="H43" s="240"/>
      <c r="I43" s="240"/>
      <c r="J43" s="240"/>
      <c r="K43" s="240"/>
      <c r="L43" s="240"/>
      <c r="M43" s="240"/>
      <c r="N43" s="240"/>
      <c r="O43" s="240"/>
      <c r="P43" s="240"/>
      <c r="Q43" s="240"/>
      <c r="R43" s="240"/>
      <c r="S43" s="240"/>
      <c r="T43" s="240"/>
      <c r="U43" s="240"/>
      <c r="V43" s="240"/>
      <c r="W43" s="240"/>
      <c r="X43" s="240"/>
      <c r="Y43" s="240"/>
    </row>
    <row r="44" spans="2:25" x14ac:dyDescent="0.35">
      <c r="B44" s="240"/>
      <c r="C44" s="240"/>
      <c r="D44" s="240"/>
      <c r="E44" s="240"/>
      <c r="F44" s="240"/>
      <c r="G44" s="240"/>
      <c r="H44" s="240"/>
      <c r="I44" s="240"/>
      <c r="J44" s="240"/>
      <c r="K44" s="240"/>
      <c r="L44" s="240"/>
      <c r="M44" s="240"/>
      <c r="N44" s="240"/>
      <c r="O44" s="240"/>
      <c r="P44" s="240"/>
      <c r="Q44" s="240"/>
      <c r="R44" s="240"/>
      <c r="S44" s="240"/>
      <c r="T44" s="240"/>
      <c r="U44" s="240"/>
      <c r="V44" s="240"/>
      <c r="W44" s="240"/>
      <c r="X44" s="240"/>
      <c r="Y44" s="240"/>
    </row>
    <row r="45" spans="2:25" x14ac:dyDescent="0.35">
      <c r="B45" s="240"/>
      <c r="C45" s="240"/>
      <c r="D45" s="240"/>
      <c r="E45" s="240"/>
      <c r="F45" s="240"/>
      <c r="G45" s="240"/>
      <c r="H45" s="240"/>
      <c r="I45" s="240"/>
      <c r="J45" s="240"/>
      <c r="K45" s="240"/>
      <c r="L45" s="240"/>
      <c r="M45" s="240"/>
      <c r="N45" s="240"/>
      <c r="O45" s="240"/>
      <c r="P45" s="240"/>
      <c r="Q45" s="240"/>
      <c r="R45" s="240"/>
      <c r="S45" s="240"/>
      <c r="T45" s="240"/>
      <c r="U45" s="240"/>
      <c r="V45" s="240"/>
      <c r="W45" s="240"/>
      <c r="X45" s="240"/>
      <c r="Y45" s="240"/>
    </row>
    <row r="46" spans="2:25" x14ac:dyDescent="0.35">
      <c r="B46" s="240"/>
      <c r="C46" s="240"/>
      <c r="D46" s="240"/>
      <c r="E46" s="240"/>
      <c r="F46" s="240"/>
      <c r="G46" s="240"/>
      <c r="H46" s="240"/>
      <c r="I46" s="240"/>
      <c r="J46" s="240"/>
      <c r="K46" s="240"/>
      <c r="L46" s="240"/>
      <c r="M46" s="240"/>
      <c r="N46" s="240"/>
      <c r="O46" s="240"/>
      <c r="P46" s="240"/>
      <c r="Q46" s="240"/>
      <c r="R46" s="240"/>
      <c r="S46" s="240"/>
      <c r="T46" s="240"/>
      <c r="U46" s="240"/>
      <c r="V46" s="240"/>
      <c r="W46" s="240"/>
      <c r="X46" s="240"/>
      <c r="Y46" s="240"/>
    </row>
    <row r="47" spans="2:25" x14ac:dyDescent="0.35">
      <c r="B47" s="240"/>
      <c r="C47" s="240"/>
      <c r="D47" s="240"/>
      <c r="E47" s="240"/>
      <c r="F47" s="240"/>
      <c r="G47" s="240"/>
      <c r="H47" s="240"/>
      <c r="I47" s="240"/>
      <c r="J47" s="240"/>
      <c r="K47" s="240"/>
      <c r="L47" s="240"/>
      <c r="M47" s="240"/>
      <c r="N47" s="240"/>
      <c r="O47" s="240"/>
      <c r="P47" s="240"/>
      <c r="Q47" s="240"/>
      <c r="R47" s="240"/>
      <c r="S47" s="240"/>
      <c r="T47" s="240"/>
      <c r="U47" s="240"/>
      <c r="V47" s="240"/>
      <c r="W47" s="240"/>
      <c r="X47" s="240"/>
      <c r="Y47" s="240"/>
    </row>
    <row r="48" spans="2:25" x14ac:dyDescent="0.35">
      <c r="B48" s="240"/>
      <c r="C48" s="240"/>
      <c r="D48" s="240"/>
      <c r="E48" s="240"/>
      <c r="F48" s="240"/>
      <c r="G48" s="240"/>
      <c r="H48" s="240"/>
      <c r="I48" s="240"/>
      <c r="J48" s="240"/>
      <c r="K48" s="240"/>
      <c r="L48" s="240"/>
      <c r="M48" s="240"/>
      <c r="N48" s="240"/>
      <c r="O48" s="240"/>
      <c r="P48" s="240"/>
      <c r="Q48" s="240"/>
      <c r="R48" s="240"/>
      <c r="S48" s="240"/>
      <c r="T48" s="240"/>
      <c r="U48" s="240"/>
      <c r="V48" s="240"/>
      <c r="W48" s="240"/>
      <c r="X48" s="240"/>
      <c r="Y48" s="240"/>
    </row>
    <row r="49" spans="2:25" x14ac:dyDescent="0.35">
      <c r="B49" s="240"/>
      <c r="C49" s="240"/>
      <c r="D49" s="240"/>
      <c r="E49" s="240"/>
      <c r="F49" s="240"/>
      <c r="G49" s="240"/>
      <c r="H49" s="240"/>
      <c r="I49" s="240"/>
      <c r="J49" s="240"/>
      <c r="K49" s="240"/>
      <c r="L49" s="240"/>
      <c r="M49" s="240"/>
      <c r="N49" s="240"/>
      <c r="O49" s="240"/>
      <c r="P49" s="240"/>
      <c r="Q49" s="240"/>
      <c r="R49" s="240"/>
      <c r="S49" s="240"/>
      <c r="T49" s="240"/>
      <c r="U49" s="240"/>
      <c r="V49" s="240"/>
      <c r="W49" s="240"/>
      <c r="X49" s="240"/>
      <c r="Y49" s="240"/>
    </row>
    <row r="50" spans="2:25" x14ac:dyDescent="0.35">
      <c r="B50" s="240"/>
      <c r="C50" s="240"/>
      <c r="D50" s="240"/>
      <c r="E50" s="240"/>
      <c r="F50" s="240"/>
      <c r="G50" s="240"/>
      <c r="H50" s="240"/>
      <c r="I50" s="240"/>
      <c r="J50" s="240"/>
      <c r="K50" s="240"/>
      <c r="L50" s="240"/>
      <c r="M50" s="240"/>
      <c r="N50" s="240"/>
      <c r="O50" s="240"/>
      <c r="P50" s="240"/>
      <c r="Q50" s="240"/>
      <c r="R50" s="240"/>
      <c r="S50" s="240"/>
      <c r="T50" s="240"/>
      <c r="U50" s="240"/>
      <c r="V50" s="240"/>
      <c r="W50" s="240"/>
      <c r="X50" s="240"/>
      <c r="Y50" s="240"/>
    </row>
    <row r="51" spans="2:25" x14ac:dyDescent="0.35">
      <c r="B51" s="240"/>
      <c r="C51" s="240"/>
      <c r="D51" s="240"/>
      <c r="E51" s="240"/>
      <c r="F51" s="240"/>
      <c r="G51" s="240"/>
      <c r="H51" s="240"/>
      <c r="I51" s="240"/>
      <c r="J51" s="240"/>
      <c r="K51" s="240"/>
      <c r="L51" s="240"/>
      <c r="M51" s="240"/>
      <c r="N51" s="240"/>
      <c r="O51" s="240"/>
      <c r="P51" s="240"/>
      <c r="Q51" s="240"/>
      <c r="R51" s="240"/>
      <c r="S51" s="240"/>
      <c r="T51" s="240"/>
      <c r="U51" s="240"/>
      <c r="V51" s="240"/>
      <c r="W51" s="240"/>
      <c r="X51" s="240"/>
      <c r="Y51" s="240"/>
    </row>
    <row r="52" spans="2:25" x14ac:dyDescent="0.35">
      <c r="B52" s="240"/>
      <c r="C52" s="240"/>
      <c r="D52" s="240"/>
      <c r="E52" s="240"/>
      <c r="F52" s="240"/>
      <c r="G52" s="240"/>
      <c r="H52" s="240"/>
      <c r="I52" s="240"/>
      <c r="J52" s="240"/>
      <c r="K52" s="240"/>
      <c r="L52" s="240"/>
      <c r="M52" s="240"/>
      <c r="N52" s="240"/>
      <c r="O52" s="240"/>
      <c r="P52" s="240"/>
      <c r="Q52" s="240"/>
      <c r="R52" s="240"/>
      <c r="S52" s="240"/>
      <c r="T52" s="240"/>
      <c r="U52" s="240"/>
      <c r="V52" s="240"/>
      <c r="W52" s="240"/>
      <c r="X52" s="240"/>
      <c r="Y52" s="24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B9" sqref="B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39" t="s">
        <v>37</v>
      </c>
      <c r="B2" s="1240"/>
      <c r="C2" s="1240"/>
      <c r="D2" s="1241"/>
      <c r="E2" s="30"/>
      <c r="F2" s="30"/>
    </row>
    <row r="3" spans="1:6" ht="148.4" customHeight="1" x14ac:dyDescent="0.35">
      <c r="A3" s="19" t="s">
        <v>852</v>
      </c>
      <c r="B3" s="14" t="s">
        <v>851</v>
      </c>
      <c r="C3" s="14" t="s">
        <v>850</v>
      </c>
      <c r="D3" s="23" t="s">
        <v>1924</v>
      </c>
    </row>
    <row r="4" spans="1:6" ht="148.4" customHeight="1" x14ac:dyDescent="0.35">
      <c r="A4" s="19" t="s">
        <v>79</v>
      </c>
      <c r="B4" s="14" t="s">
        <v>40</v>
      </c>
      <c r="C4" s="14" t="s">
        <v>906</v>
      </c>
      <c r="D4" s="23" t="s">
        <v>1924</v>
      </c>
      <c r="E4" s="14"/>
      <c r="F4" s="14"/>
    </row>
    <row r="5" spans="1:6" ht="61.5" customHeight="1" x14ac:dyDescent="0.35">
      <c r="A5" s="19" t="s">
        <v>73</v>
      </c>
      <c r="B5" s="14" t="s">
        <v>74</v>
      </c>
      <c r="C5" s="32" t="s">
        <v>44</v>
      </c>
      <c r="D5" s="23" t="s">
        <v>919</v>
      </c>
    </row>
    <row r="6" spans="1:6" ht="78" customHeight="1" x14ac:dyDescent="0.35">
      <c r="A6" s="19" t="s">
        <v>45</v>
      </c>
      <c r="B6" s="14" t="s">
        <v>46</v>
      </c>
      <c r="C6" s="14" t="s">
        <v>869</v>
      </c>
      <c r="D6" s="23" t="s">
        <v>1925</v>
      </c>
      <c r="E6" s="14"/>
      <c r="F6" s="14"/>
    </row>
    <row r="7" spans="1:6" ht="50.9" customHeight="1" x14ac:dyDescent="0.35">
      <c r="A7" s="19" t="s">
        <v>816</v>
      </c>
      <c r="B7" s="14" t="s">
        <v>826</v>
      </c>
      <c r="C7" s="14" t="s">
        <v>1435</v>
      </c>
      <c r="D7" s="23" t="s">
        <v>919</v>
      </c>
      <c r="E7" s="16"/>
      <c r="F7" s="14"/>
    </row>
    <row r="8" spans="1:6" ht="78.650000000000006" customHeight="1" x14ac:dyDescent="0.35">
      <c r="A8" s="19" t="s">
        <v>75</v>
      </c>
      <c r="B8" s="14" t="s">
        <v>76</v>
      </c>
      <c r="C8" s="14" t="s">
        <v>77</v>
      </c>
      <c r="D8" s="23" t="s">
        <v>919</v>
      </c>
      <c r="E8" s="16"/>
      <c r="F8" s="14"/>
    </row>
    <row r="9" spans="1:6" ht="96.65" customHeight="1" x14ac:dyDescent="0.35">
      <c r="A9" s="19" t="s">
        <v>47</v>
      </c>
      <c r="B9" s="14" t="s">
        <v>48</v>
      </c>
      <c r="C9" s="14" t="s">
        <v>843</v>
      </c>
      <c r="D9" s="23" t="s">
        <v>919</v>
      </c>
      <c r="E9" s="16"/>
      <c r="F9" s="14"/>
    </row>
    <row r="10" spans="1:6" ht="22.5" customHeight="1" x14ac:dyDescent="0.35">
      <c r="A10" s="1239" t="s">
        <v>844</v>
      </c>
      <c r="B10" s="1240"/>
      <c r="C10" s="1240"/>
      <c r="D10" s="1241"/>
      <c r="E10" s="16"/>
      <c r="F10" s="14"/>
    </row>
    <row r="11" spans="1:6" ht="22.5" customHeight="1" x14ac:dyDescent="0.35">
      <c r="A11" s="20" t="s">
        <v>75</v>
      </c>
      <c r="B11" s="1252" t="s">
        <v>854</v>
      </c>
      <c r="C11" s="1253"/>
      <c r="D11" s="31"/>
      <c r="E11" s="16"/>
      <c r="F11" s="14"/>
    </row>
    <row r="12" spans="1:6" ht="33" customHeight="1" x14ac:dyDescent="0.35">
      <c r="A12" s="20" t="s">
        <v>853</v>
      </c>
      <c r="B12" s="1245" t="s">
        <v>855</v>
      </c>
      <c r="C12" s="1245"/>
      <c r="D12" s="23"/>
      <c r="E12" s="14"/>
      <c r="F12" s="14"/>
    </row>
    <row r="13" spans="1:6" ht="39.65" customHeight="1" x14ac:dyDescent="0.35">
      <c r="A13" s="18" t="s">
        <v>845</v>
      </c>
      <c r="B13" s="1245" t="s">
        <v>856</v>
      </c>
      <c r="C13" s="1245"/>
      <c r="D13" s="23"/>
    </row>
    <row r="14" spans="1:6" ht="38.9" customHeight="1" x14ac:dyDescent="0.35">
      <c r="A14" s="18" t="s">
        <v>847</v>
      </c>
      <c r="B14" s="1245" t="s">
        <v>848</v>
      </c>
      <c r="C14" s="1245"/>
      <c r="D14" s="23"/>
    </row>
    <row r="15" spans="1:6" ht="20.149999999999999" customHeight="1" x14ac:dyDescent="0.35">
      <c r="A15" s="1242" t="s">
        <v>59</v>
      </c>
      <c r="B15" s="1243"/>
      <c r="C15" s="1243"/>
      <c r="D15" s="1244"/>
    </row>
    <row r="16" spans="1:6" ht="24.65" customHeight="1" x14ac:dyDescent="0.35">
      <c r="A16" s="1246" t="s">
        <v>824</v>
      </c>
      <c r="B16" s="1247"/>
      <c r="C16" s="1248"/>
      <c r="D16" s="23"/>
    </row>
    <row r="17" spans="1:7" ht="101.9" customHeight="1" x14ac:dyDescent="0.35">
      <c r="A17" s="18" t="s">
        <v>60</v>
      </c>
      <c r="B17" s="33" t="s">
        <v>870</v>
      </c>
      <c r="C17" s="33" t="s">
        <v>877</v>
      </c>
      <c r="D17" s="34"/>
      <c r="E17" s="33"/>
      <c r="F17" s="33"/>
      <c r="G17" s="33"/>
    </row>
    <row r="18" spans="1:7" ht="101.15" customHeight="1" x14ac:dyDescent="0.35">
      <c r="A18" s="18" t="s">
        <v>61</v>
      </c>
      <c r="B18" s="33" t="s">
        <v>871</v>
      </c>
      <c r="C18" s="33" t="s">
        <v>872</v>
      </c>
      <c r="D18" s="34"/>
      <c r="E18" s="33"/>
      <c r="F18" s="33"/>
      <c r="G18" s="33"/>
    </row>
    <row r="19" spans="1:7" ht="57.65" customHeight="1" x14ac:dyDescent="0.35">
      <c r="A19" s="18" t="s">
        <v>873</v>
      </c>
      <c r="B19" s="33" t="s">
        <v>874</v>
      </c>
      <c r="C19" s="33" t="s">
        <v>875</v>
      </c>
      <c r="D19" s="34"/>
      <c r="E19" s="33"/>
      <c r="F19" s="33"/>
      <c r="G19" s="33"/>
    </row>
    <row r="20" spans="1:7" ht="37.5" customHeight="1" x14ac:dyDescent="0.35">
      <c r="A20" s="1249" t="s">
        <v>823</v>
      </c>
      <c r="B20" s="1250"/>
      <c r="C20" s="1251"/>
      <c r="D20" s="23"/>
    </row>
    <row r="21" spans="1:7" x14ac:dyDescent="0.35">
      <c r="A21" s="1242" t="s">
        <v>62</v>
      </c>
      <c r="B21" s="1243"/>
      <c r="C21" s="1243"/>
      <c r="D21" s="1244"/>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862</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5" priority="6" operator="containsText" text="Yes">
      <formula>NOT(ISERROR(SEARCH("Yes",D3)))</formula>
    </cfRule>
  </conditionalFormatting>
  <conditionalFormatting sqref="D6">
    <cfRule type="containsText" dxfId="74" priority="1" operator="containsText" text="Yes">
      <formula>NOT(ISERROR(SEARCH("Yes",D6)))</formula>
    </cfRule>
  </conditionalFormatting>
  <conditionalFormatting sqref="D12:D14">
    <cfRule type="containsText" dxfId="73" priority="3" operator="containsText" text="Yes">
      <formula>NOT(ISERROR(SEARCH("Yes",D12)))</formula>
    </cfRule>
  </conditionalFormatting>
  <conditionalFormatting sqref="D16 D20 D22:D137">
    <cfRule type="containsText" dxfId="72"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16" zoomScale="95" workbookViewId="0">
      <selection activeCell="K19" sqref="K19"/>
    </sheetView>
  </sheetViews>
  <sheetFormatPr defaultColWidth="10.90625" defaultRowHeight="14.5" x14ac:dyDescent="0.35"/>
  <cols>
    <col min="1" max="1" width="26.54296875" customWidth="1"/>
  </cols>
  <sheetData>
    <row r="1" spans="1:22" x14ac:dyDescent="0.35">
      <c r="A1" s="759" t="s">
        <v>1856</v>
      </c>
      <c r="B1" s="759"/>
      <c r="C1" s="759"/>
      <c r="D1" s="759"/>
      <c r="E1" s="759"/>
      <c r="F1" s="759"/>
      <c r="G1" s="759"/>
      <c r="H1" s="759"/>
      <c r="I1" s="759"/>
      <c r="J1" s="759"/>
      <c r="K1" s="759"/>
      <c r="L1" s="759"/>
      <c r="M1" s="759"/>
      <c r="N1" s="759"/>
      <c r="O1" s="759"/>
      <c r="P1" s="759"/>
      <c r="Q1" s="759"/>
      <c r="R1" s="759"/>
      <c r="S1" s="759"/>
      <c r="T1" s="759"/>
      <c r="U1" s="759"/>
      <c r="V1" s="759"/>
    </row>
    <row r="2" spans="1:22" x14ac:dyDescent="0.35">
      <c r="A2" s="759" t="s">
        <v>1857</v>
      </c>
      <c r="B2" s="759"/>
      <c r="C2" s="759"/>
      <c r="D2" s="759"/>
      <c r="E2" s="759"/>
      <c r="F2" s="759"/>
      <c r="G2" s="759"/>
      <c r="H2" s="759"/>
      <c r="I2" s="759"/>
      <c r="J2" s="759"/>
      <c r="K2" s="759"/>
      <c r="L2" s="759"/>
      <c r="M2" s="759"/>
      <c r="N2" s="759"/>
      <c r="O2" s="759"/>
      <c r="P2" s="759"/>
      <c r="Q2" s="759"/>
      <c r="R2" s="759"/>
      <c r="S2" s="759"/>
      <c r="T2" s="759"/>
      <c r="U2" s="759"/>
      <c r="V2" s="759"/>
    </row>
    <row r="3" spans="1:22" x14ac:dyDescent="0.35">
      <c r="A3" s="759"/>
      <c r="B3" s="759"/>
      <c r="C3" s="759"/>
      <c r="D3" s="759"/>
      <c r="E3" s="759"/>
      <c r="F3" s="759"/>
      <c r="G3" s="759"/>
      <c r="H3" s="759"/>
      <c r="I3" s="759"/>
      <c r="J3" s="759"/>
      <c r="K3" s="759"/>
      <c r="L3" s="759"/>
      <c r="M3" s="759"/>
      <c r="N3" s="759"/>
      <c r="O3" s="759"/>
      <c r="P3" s="759"/>
      <c r="Q3" s="759"/>
      <c r="R3" s="759"/>
      <c r="S3" s="759"/>
      <c r="T3" s="759"/>
      <c r="U3" s="759"/>
      <c r="V3" s="759"/>
    </row>
    <row r="4" spans="1:22" x14ac:dyDescent="0.35">
      <c r="A4" s="759" t="s">
        <v>1858</v>
      </c>
      <c r="B4" s="759"/>
      <c r="C4" s="759"/>
      <c r="D4" s="759"/>
      <c r="E4" s="759"/>
      <c r="F4" s="759"/>
      <c r="G4" s="759"/>
      <c r="H4" s="759"/>
      <c r="I4" s="759"/>
      <c r="J4" s="759"/>
      <c r="K4" s="759"/>
      <c r="L4" s="759"/>
      <c r="M4" s="759"/>
      <c r="N4" s="759"/>
      <c r="O4" s="759"/>
      <c r="P4" s="759"/>
      <c r="Q4" s="759"/>
      <c r="R4" s="759"/>
      <c r="S4" s="759"/>
      <c r="T4" s="759"/>
      <c r="U4" s="759"/>
      <c r="V4" s="759"/>
    </row>
    <row r="5" spans="1:22" x14ac:dyDescent="0.35">
      <c r="A5" s="759" t="s">
        <v>1859</v>
      </c>
      <c r="B5" s="759" t="s">
        <v>1860</v>
      </c>
      <c r="C5" s="759"/>
      <c r="D5" s="759"/>
      <c r="E5" s="759"/>
      <c r="F5" s="759"/>
      <c r="G5" s="759"/>
      <c r="H5" s="759"/>
      <c r="I5" s="759"/>
      <c r="J5" s="759"/>
      <c r="K5" s="759"/>
      <c r="L5" s="759"/>
      <c r="M5" s="759"/>
      <c r="N5" s="759"/>
      <c r="O5" s="759"/>
      <c r="P5" s="759"/>
      <c r="Q5" s="759"/>
      <c r="R5" s="759"/>
      <c r="S5" s="759"/>
      <c r="T5" s="759"/>
      <c r="U5" s="759"/>
      <c r="V5" s="759"/>
    </row>
    <row r="6" spans="1:22" x14ac:dyDescent="0.35">
      <c r="A6" s="759" t="s">
        <v>1861</v>
      </c>
      <c r="B6" s="759"/>
      <c r="C6" s="759"/>
      <c r="D6" s="759"/>
      <c r="E6" s="759"/>
      <c r="F6" s="759"/>
      <c r="G6" s="759"/>
      <c r="H6" s="759"/>
      <c r="I6" s="759"/>
      <c r="J6" s="759"/>
      <c r="K6" s="759"/>
      <c r="L6" s="759"/>
      <c r="M6" s="759"/>
      <c r="N6" s="759"/>
      <c r="O6" s="759"/>
      <c r="P6" s="759"/>
      <c r="Q6" s="759"/>
      <c r="R6" s="759"/>
      <c r="S6" s="759"/>
      <c r="T6" s="759"/>
      <c r="U6" s="759"/>
      <c r="V6" s="759"/>
    </row>
    <row r="7" spans="1:22" x14ac:dyDescent="0.35">
      <c r="A7" s="759" t="s">
        <v>1862</v>
      </c>
      <c r="B7" s="759"/>
      <c r="C7" s="759"/>
      <c r="D7" s="759"/>
      <c r="E7" s="759"/>
      <c r="F7" s="759"/>
      <c r="G7" s="759"/>
      <c r="H7" s="759"/>
      <c r="I7" s="759"/>
      <c r="J7" s="759"/>
      <c r="K7" s="759"/>
      <c r="L7" s="759"/>
      <c r="M7" s="759"/>
      <c r="N7" s="759"/>
      <c r="O7" s="759"/>
      <c r="P7" s="759"/>
      <c r="Q7" s="759"/>
      <c r="R7" s="759"/>
      <c r="S7" s="759"/>
      <c r="T7" s="759"/>
      <c r="U7" s="759"/>
      <c r="V7" s="759"/>
    </row>
    <row r="8" spans="1:22" x14ac:dyDescent="0.35">
      <c r="A8" s="759"/>
      <c r="B8" s="759"/>
      <c r="C8" s="759"/>
      <c r="D8" s="759"/>
      <c r="E8" s="759"/>
      <c r="F8" s="759"/>
      <c r="G8" s="759"/>
      <c r="H8" s="759"/>
      <c r="I8" s="759"/>
      <c r="J8" s="759"/>
      <c r="K8" s="759"/>
      <c r="L8" s="759"/>
      <c r="M8" s="759"/>
      <c r="N8" s="759"/>
      <c r="O8" s="759"/>
      <c r="P8" s="759"/>
      <c r="Q8" s="759"/>
      <c r="R8" s="759"/>
      <c r="S8" s="759"/>
      <c r="T8" s="759"/>
      <c r="U8" s="759"/>
      <c r="V8" s="759"/>
    </row>
    <row r="9" spans="1:22" x14ac:dyDescent="0.35">
      <c r="A9" s="759"/>
      <c r="B9" s="759"/>
      <c r="C9" s="759"/>
      <c r="D9" s="759"/>
      <c r="E9" s="759"/>
      <c r="F9" s="759"/>
      <c r="G9" s="759"/>
      <c r="H9" s="759"/>
      <c r="I9" s="759"/>
      <c r="J9" s="759"/>
      <c r="K9" s="759"/>
      <c r="L9" s="759"/>
      <c r="M9" s="759"/>
      <c r="N9" s="759"/>
      <c r="O9" s="759"/>
      <c r="P9" s="759"/>
      <c r="Q9" s="759"/>
      <c r="R9" s="759"/>
      <c r="S9" s="759"/>
      <c r="T9" s="759"/>
      <c r="U9" s="759"/>
      <c r="V9" s="759"/>
    </row>
    <row r="10" spans="1:22" x14ac:dyDescent="0.35">
      <c r="A10" s="759"/>
      <c r="B10" s="760" t="s">
        <v>184</v>
      </c>
      <c r="C10" s="760" t="s">
        <v>185</v>
      </c>
      <c r="D10" s="760" t="s">
        <v>186</v>
      </c>
      <c r="E10" s="760" t="s">
        <v>187</v>
      </c>
      <c r="F10" s="760" t="s">
        <v>188</v>
      </c>
      <c r="G10" s="760" t="s">
        <v>189</v>
      </c>
      <c r="H10" s="760" t="s">
        <v>190</v>
      </c>
      <c r="I10" s="760" t="s">
        <v>191</v>
      </c>
      <c r="J10" s="760" t="s">
        <v>175</v>
      </c>
      <c r="K10" s="760" t="s">
        <v>176</v>
      </c>
      <c r="L10" s="760" t="s">
        <v>177</v>
      </c>
      <c r="M10" s="760" t="s">
        <v>765</v>
      </c>
      <c r="N10" s="760" t="s">
        <v>766</v>
      </c>
      <c r="O10" s="760" t="s">
        <v>767</v>
      </c>
      <c r="P10" s="760" t="s">
        <v>1157</v>
      </c>
      <c r="Q10" s="760" t="s">
        <v>1158</v>
      </c>
      <c r="R10" s="760"/>
      <c r="S10" s="760"/>
      <c r="T10" s="760"/>
      <c r="U10" s="760"/>
      <c r="V10" s="759"/>
    </row>
    <row r="11" spans="1:22" x14ac:dyDescent="0.35">
      <c r="A11" s="759"/>
      <c r="B11" s="759"/>
      <c r="C11" s="759"/>
      <c r="D11" s="759"/>
      <c r="E11" s="759"/>
      <c r="F11" s="759"/>
      <c r="G11" s="759"/>
      <c r="H11" s="759"/>
      <c r="I11" s="759"/>
      <c r="J11" s="759"/>
      <c r="K11" s="759"/>
      <c r="L11" s="759"/>
      <c r="M11" s="759"/>
      <c r="N11" s="759"/>
      <c r="O11" s="759"/>
      <c r="P11" s="759"/>
      <c r="Q11" s="759"/>
      <c r="R11" s="759"/>
      <c r="S11" s="759"/>
      <c r="T11" s="759"/>
      <c r="U11" s="759"/>
      <c r="V11" s="759"/>
    </row>
    <row r="12" spans="1:22" x14ac:dyDescent="0.35">
      <c r="A12" s="759" t="s">
        <v>1863</v>
      </c>
      <c r="B12" s="1040">
        <v>9.1428571428571441</v>
      </c>
      <c r="C12" s="1040">
        <v>9.1428571428571441</v>
      </c>
      <c r="D12" s="1040">
        <v>28.342857142857145</v>
      </c>
      <c r="E12" s="1040">
        <v>45.714285714285722</v>
      </c>
      <c r="F12" s="1040">
        <v>77</v>
      </c>
      <c r="G12" s="1040">
        <v>86</v>
      </c>
      <c r="H12" s="1040">
        <v>95</v>
      </c>
      <c r="I12" s="1040">
        <v>91.428571428571445</v>
      </c>
      <c r="J12" s="1040">
        <v>81.676190476190499</v>
      </c>
      <c r="K12" s="1040">
        <v>72.228571428571442</v>
      </c>
      <c r="L12" s="1040">
        <v>59</v>
      </c>
      <c r="M12" s="1040">
        <v>48</v>
      </c>
      <c r="N12" s="1040">
        <v>40</v>
      </c>
      <c r="O12" s="759">
        <v>40</v>
      </c>
      <c r="P12" s="759">
        <v>40</v>
      </c>
      <c r="Q12" s="759">
        <v>40</v>
      </c>
      <c r="R12" s="759"/>
      <c r="S12" s="759"/>
      <c r="T12" s="759"/>
      <c r="U12" s="759"/>
      <c r="V12" s="759"/>
    </row>
    <row r="13" spans="1:22" x14ac:dyDescent="0.35">
      <c r="A13" s="759" t="s">
        <v>1864</v>
      </c>
      <c r="B13" s="1044">
        <v>1.2372660206226285</v>
      </c>
      <c r="C13" s="1044">
        <f>B13*(1+Deflators!T45)^(1/4)</f>
        <v>1.2498921560539855</v>
      </c>
      <c r="D13" s="1044">
        <f>C13*(1+Deflators!U45)^(1/4)</f>
        <v>1.2627087947860671</v>
      </c>
      <c r="E13" s="1044">
        <f>D13*(1+Deflators!V45)^(1/4)</f>
        <v>1.2704876795656541</v>
      </c>
      <c r="F13" s="1044">
        <f>E13*(1+Deflators!W45)^(1/4)</f>
        <v>1.2786369874299834</v>
      </c>
      <c r="G13" s="1044">
        <f>F13*(1+Deflators!X45)^(1/4)</f>
        <v>1.2843203359016002</v>
      </c>
      <c r="H13" s="1044">
        <f>G13*(1+Deflators!Y45)^(1/4)</f>
        <v>1.2951155229426599</v>
      </c>
      <c r="I13" s="1044">
        <f>H13*(1+Deflators!Z45)^(1/4)</f>
        <v>1.3093628625351559</v>
      </c>
      <c r="J13" s="1044">
        <f>I13*(1+Deflators!AA45)^(1/4)</f>
        <v>1.3187460969345937</v>
      </c>
      <c r="K13" s="1044">
        <f>J13*(1+Deflators!AB45)^(1/4)</f>
        <v>1.3264217863653061</v>
      </c>
      <c r="L13" s="1044">
        <f>K13*(1+Deflators!AC45)^(1/4)</f>
        <v>1.3335911343075784</v>
      </c>
      <c r="M13" s="1044">
        <f>L13*(1+Deflators!AD45)^(1/4)</f>
        <v>1.3407272904157477</v>
      </c>
      <c r="N13" s="1044">
        <f>M13*(1+Deflators!AE45)^(1/4)</f>
        <v>1.3476152287641441</v>
      </c>
      <c r="O13" s="1044">
        <f>N13*(1+Deflators!AF45)^(1/4)</f>
        <v>1.3543401328041071</v>
      </c>
      <c r="P13" s="1032">
        <v>0</v>
      </c>
      <c r="Q13" s="1032">
        <v>0</v>
      </c>
      <c r="V13" s="759"/>
    </row>
    <row r="14" spans="1:22" x14ac:dyDescent="0.35">
      <c r="A14" s="759" t="s">
        <v>1865</v>
      </c>
      <c r="B14" s="759">
        <f>B12*B13</f>
        <v>11.312146474264033</v>
      </c>
      <c r="C14" s="759">
        <f t="shared" ref="C14:Q14" si="0">C12*C13</f>
        <v>11.427585426779297</v>
      </c>
      <c r="D14" s="759">
        <f t="shared" si="0"/>
        <v>35.788774983650818</v>
      </c>
      <c r="E14" s="759">
        <f t="shared" si="0"/>
        <v>58.079436780144199</v>
      </c>
      <c r="F14" s="759">
        <f t="shared" si="0"/>
        <v>98.455048032108721</v>
      </c>
      <c r="G14" s="759">
        <f t="shared" si="0"/>
        <v>110.45154888753761</v>
      </c>
      <c r="H14" s="759">
        <f t="shared" si="0"/>
        <v>123.03597467955268</v>
      </c>
      <c r="I14" s="759">
        <f t="shared" si="0"/>
        <v>119.71317600321427</v>
      </c>
      <c r="J14" s="759">
        <f t="shared" si="0"/>
        <v>107.71015740296265</v>
      </c>
      <c r="K14" s="759">
        <f t="shared" si="0"/>
        <v>95.805550740899832</v>
      </c>
      <c r="L14" s="759">
        <f t="shared" si="0"/>
        <v>78.681876924147119</v>
      </c>
      <c r="M14" s="759">
        <f t="shared" si="0"/>
        <v>64.354909939955888</v>
      </c>
      <c r="N14" s="759">
        <f t="shared" si="0"/>
        <v>53.904609150565761</v>
      </c>
      <c r="O14" s="759">
        <f t="shared" si="0"/>
        <v>54.173605312164284</v>
      </c>
      <c r="P14" s="759">
        <f t="shared" si="0"/>
        <v>0</v>
      </c>
      <c r="Q14" s="759">
        <f t="shared" si="0"/>
        <v>0</v>
      </c>
      <c r="R14" s="759"/>
      <c r="S14" s="759"/>
      <c r="T14" s="759"/>
      <c r="U14" s="759"/>
      <c r="V14" s="759"/>
    </row>
    <row r="15" spans="1:22" x14ac:dyDescent="0.35">
      <c r="A15" s="759"/>
      <c r="B15" s="759"/>
      <c r="C15" s="759"/>
      <c r="D15" s="759"/>
      <c r="E15" s="759"/>
      <c r="F15" s="759"/>
      <c r="G15" s="759"/>
      <c r="H15" s="759"/>
      <c r="I15" s="759"/>
      <c r="J15" s="759"/>
      <c r="K15" s="759"/>
      <c r="L15" s="759"/>
      <c r="M15" s="759"/>
      <c r="N15" s="759"/>
      <c r="O15" s="759"/>
      <c r="P15" s="759"/>
      <c r="Q15" s="759"/>
      <c r="R15" s="759"/>
      <c r="S15" s="759"/>
      <c r="T15" s="759"/>
      <c r="U15" s="759"/>
      <c r="V15" s="759"/>
    </row>
    <row r="16" spans="1:22" x14ac:dyDescent="0.35">
      <c r="A16" t="s">
        <v>1856</v>
      </c>
      <c r="B16" s="759"/>
      <c r="C16" s="759"/>
      <c r="D16" s="759"/>
      <c r="E16" s="759"/>
      <c r="F16" s="759"/>
      <c r="G16" s="759"/>
      <c r="H16" s="759"/>
      <c r="I16" s="759"/>
      <c r="J16" s="759"/>
      <c r="K16" s="759"/>
      <c r="L16" s="759"/>
      <c r="M16" s="759"/>
      <c r="N16" s="759"/>
      <c r="O16" s="759"/>
      <c r="P16" s="759"/>
      <c r="Q16" s="759"/>
      <c r="R16" s="759"/>
      <c r="S16" s="759"/>
      <c r="T16" s="759"/>
      <c r="U16" s="759"/>
      <c r="V16" s="759"/>
    </row>
    <row r="17" spans="1:22" x14ac:dyDescent="0.35">
      <c r="A17" t="s">
        <v>1857</v>
      </c>
      <c r="B17" s="759"/>
      <c r="C17" s="759"/>
      <c r="D17" s="759"/>
      <c r="E17" s="759"/>
      <c r="F17" s="759"/>
      <c r="G17" s="759"/>
      <c r="H17" s="759"/>
      <c r="I17" s="759"/>
      <c r="J17" s="759"/>
      <c r="K17" s="759"/>
      <c r="L17" s="759"/>
      <c r="M17" s="759"/>
      <c r="N17" s="759"/>
      <c r="O17" s="759"/>
      <c r="P17" s="759"/>
      <c r="Q17" s="759"/>
      <c r="R17" s="759"/>
      <c r="S17" s="759"/>
      <c r="T17" s="759"/>
      <c r="U17" s="759"/>
      <c r="V17" s="759"/>
    </row>
    <row r="18" spans="1:22" x14ac:dyDescent="0.35">
      <c r="B18" s="759"/>
      <c r="C18" s="759"/>
      <c r="D18" s="759"/>
      <c r="E18" s="759"/>
      <c r="F18" s="759"/>
      <c r="G18" s="759"/>
      <c r="H18" s="759"/>
      <c r="I18" s="759"/>
      <c r="J18" s="759"/>
      <c r="K18" s="759"/>
      <c r="L18" s="759"/>
      <c r="M18" s="759"/>
      <c r="N18" s="759"/>
      <c r="O18" s="759"/>
      <c r="P18" s="759"/>
      <c r="Q18" s="759"/>
      <c r="R18" s="759"/>
      <c r="S18" s="759"/>
      <c r="T18" s="759"/>
      <c r="U18" s="759"/>
      <c r="V18" s="759"/>
    </row>
    <row r="19" spans="1:22" x14ac:dyDescent="0.35">
      <c r="A19" t="s">
        <v>1927</v>
      </c>
      <c r="B19" s="759"/>
      <c r="C19" s="759"/>
      <c r="D19" s="759"/>
      <c r="E19" s="759"/>
      <c r="F19" s="759"/>
      <c r="G19" s="759"/>
      <c r="H19" s="759"/>
      <c r="I19" s="759"/>
      <c r="J19" s="759"/>
      <c r="K19" s="759"/>
      <c r="L19" s="759"/>
      <c r="M19" s="759"/>
      <c r="N19" s="759"/>
      <c r="O19" s="759"/>
      <c r="P19" s="759"/>
      <c r="Q19" s="759"/>
      <c r="R19" s="759"/>
      <c r="S19" s="759"/>
      <c r="T19" s="759"/>
      <c r="U19" s="759"/>
      <c r="V19" s="759"/>
    </row>
    <row r="20" spans="1:22" x14ac:dyDescent="0.35">
      <c r="A20" t="s">
        <v>1859</v>
      </c>
      <c r="B20" s="759"/>
      <c r="C20" s="759"/>
      <c r="D20" s="759"/>
      <c r="E20" s="759"/>
      <c r="F20" s="759"/>
      <c r="G20" s="759"/>
      <c r="H20" s="759"/>
      <c r="I20" s="759"/>
      <c r="J20" s="759"/>
      <c r="K20" s="759"/>
      <c r="L20" s="759"/>
      <c r="M20" s="759"/>
      <c r="N20" s="759"/>
      <c r="O20" s="759"/>
      <c r="P20" s="759"/>
      <c r="Q20" s="759"/>
      <c r="R20" s="759"/>
      <c r="S20" s="759"/>
      <c r="T20" s="759"/>
      <c r="U20" s="759"/>
      <c r="V20" s="759"/>
    </row>
    <row r="21" spans="1:22" x14ac:dyDescent="0.35">
      <c r="A21" t="s">
        <v>1861</v>
      </c>
      <c r="B21" s="759"/>
      <c r="C21" s="759"/>
      <c r="D21" s="759"/>
      <c r="E21" s="759"/>
      <c r="F21" s="759"/>
      <c r="G21" s="759"/>
      <c r="H21" s="759"/>
      <c r="I21" s="759"/>
      <c r="J21" s="759"/>
      <c r="K21" s="759"/>
      <c r="L21" s="759"/>
      <c r="M21" s="759"/>
      <c r="N21" s="759"/>
      <c r="O21" s="759"/>
      <c r="P21" s="759"/>
      <c r="Q21" s="759"/>
      <c r="R21" s="759"/>
      <c r="S21" s="759"/>
      <c r="T21" s="759"/>
      <c r="U21" s="759"/>
      <c r="V21" s="759"/>
    </row>
    <row r="22" spans="1:22" x14ac:dyDescent="0.35">
      <c r="A22" t="s">
        <v>1862</v>
      </c>
      <c r="B22" s="759"/>
      <c r="C22" s="759"/>
      <c r="D22" s="759"/>
      <c r="E22" s="759"/>
      <c r="F22" s="759"/>
      <c r="G22" s="759"/>
      <c r="H22" s="759"/>
      <c r="I22" s="759"/>
      <c r="J22" s="759"/>
      <c r="K22" s="759"/>
      <c r="L22" s="759"/>
      <c r="M22" s="759"/>
      <c r="N22" s="759"/>
      <c r="O22" s="759"/>
      <c r="P22" s="759"/>
      <c r="Q22" s="759"/>
      <c r="R22" s="759"/>
      <c r="S22" s="759"/>
      <c r="T22" s="759"/>
      <c r="U22" s="759"/>
      <c r="V22" s="759"/>
    </row>
    <row r="23" spans="1:22" x14ac:dyDescent="0.35">
      <c r="B23" s="1419" t="s">
        <v>1866</v>
      </c>
      <c r="C23" s="1419"/>
      <c r="D23" s="1419"/>
      <c r="L23" s="759"/>
      <c r="M23" s="759"/>
      <c r="N23" s="759"/>
      <c r="O23" s="759"/>
      <c r="P23" s="759"/>
      <c r="Q23" s="759"/>
      <c r="R23" s="759"/>
      <c r="S23" s="759"/>
      <c r="T23" s="759"/>
      <c r="U23" s="759"/>
      <c r="V23" s="759"/>
    </row>
    <row r="24" spans="1:22" x14ac:dyDescent="0.35">
      <c r="L24" s="759"/>
      <c r="M24" s="759"/>
      <c r="N24" s="759"/>
      <c r="O24" s="759"/>
      <c r="P24" s="759"/>
      <c r="Q24" s="759"/>
      <c r="R24" s="759"/>
      <c r="S24" s="759"/>
      <c r="T24" s="759"/>
      <c r="U24" s="759"/>
      <c r="V24" s="759"/>
    </row>
    <row r="25" spans="1:22" ht="58" customHeight="1" x14ac:dyDescent="0.35">
      <c r="A25" s="1033"/>
      <c r="B25" s="14" t="s">
        <v>1867</v>
      </c>
      <c r="C25" s="14"/>
      <c r="D25" s="14" t="s">
        <v>1868</v>
      </c>
      <c r="F25" s="1034" t="s">
        <v>1869</v>
      </c>
      <c r="G25" s="1035"/>
      <c r="H25" s="1034" t="s">
        <v>1911</v>
      </c>
      <c r="I25" s="1034" t="s">
        <v>1908</v>
      </c>
      <c r="J25" s="1034"/>
      <c r="K25" s="1034"/>
      <c r="L25" s="759"/>
      <c r="M25" s="759"/>
      <c r="N25" s="759"/>
      <c r="O25" s="759"/>
      <c r="P25" s="759"/>
      <c r="Q25" s="759"/>
      <c r="R25" s="759"/>
      <c r="S25" s="759"/>
      <c r="T25" s="759"/>
      <c r="U25" s="759"/>
      <c r="V25" s="759"/>
    </row>
    <row r="26" spans="1:22" ht="58" customHeight="1" x14ac:dyDescent="0.35">
      <c r="A26" s="1033" t="s">
        <v>1870</v>
      </c>
      <c r="B26" s="14" t="s">
        <v>1871</v>
      </c>
      <c r="C26" s="14"/>
      <c r="D26" s="1036" t="s">
        <v>1872</v>
      </c>
      <c r="F26" s="1034"/>
      <c r="G26" s="1034"/>
      <c r="H26" s="1034"/>
      <c r="I26" s="1034"/>
      <c r="J26" s="1037" t="s">
        <v>312</v>
      </c>
      <c r="K26" s="1034" t="s">
        <v>1909</v>
      </c>
      <c r="L26" s="759" t="s">
        <v>1873</v>
      </c>
      <c r="M26" s="759"/>
      <c r="N26" s="759"/>
      <c r="O26" s="759"/>
      <c r="P26" s="759"/>
      <c r="Q26" s="759"/>
      <c r="R26" s="759"/>
      <c r="S26" s="759"/>
      <c r="T26" s="759"/>
      <c r="U26" s="759"/>
      <c r="V26" s="759"/>
    </row>
    <row r="27" spans="1:22" x14ac:dyDescent="0.35">
      <c r="A27" s="1038">
        <v>44774</v>
      </c>
      <c r="B27">
        <v>10</v>
      </c>
      <c r="D27">
        <f>B27/1.75</f>
        <v>5.7142857142857144</v>
      </c>
      <c r="F27" s="1039" t="s">
        <v>184</v>
      </c>
      <c r="G27" s="1040">
        <f>AVERAGE(D27:D28)</f>
        <v>5.7142857142857144</v>
      </c>
      <c r="H27" s="1040">
        <f>0.4*G27</f>
        <v>2.285714285714286</v>
      </c>
      <c r="I27" s="1040">
        <f>H27*3</f>
        <v>6.8571428571428577</v>
      </c>
      <c r="J27" s="1040">
        <f t="shared" ref="J27:J46" si="1">H27+I27</f>
        <v>9.1428571428571441</v>
      </c>
      <c r="K27" s="1040">
        <f>J27</f>
        <v>9.1428571428571441</v>
      </c>
      <c r="L27" s="759"/>
      <c r="M27" s="759"/>
      <c r="N27" s="759"/>
      <c r="O27" s="759"/>
      <c r="P27" s="759"/>
      <c r="Q27" s="759"/>
      <c r="R27" s="759"/>
      <c r="S27" s="759"/>
      <c r="T27" s="759"/>
      <c r="U27" s="759"/>
      <c r="V27" s="759"/>
    </row>
    <row r="28" spans="1:22" x14ac:dyDescent="0.35">
      <c r="A28" s="1038">
        <f>A27+31</f>
        <v>44805</v>
      </c>
      <c r="B28">
        <v>10</v>
      </c>
      <c r="D28">
        <f t="shared" ref="D28:D61" si="2">B28/1.75</f>
        <v>5.7142857142857144</v>
      </c>
      <c r="F28" s="1039" t="s">
        <v>185</v>
      </c>
      <c r="G28" s="1040">
        <f>AVERAGE(D29:D31)</f>
        <v>5.7142857142857144</v>
      </c>
      <c r="H28" s="1040">
        <f t="shared" ref="H28:H46" si="3">0.4*G28</f>
        <v>2.285714285714286</v>
      </c>
      <c r="I28" s="1040">
        <f t="shared" ref="I28:I46" si="4">H28*3</f>
        <v>6.8571428571428577</v>
      </c>
      <c r="J28" s="1040">
        <f t="shared" si="1"/>
        <v>9.1428571428571441</v>
      </c>
      <c r="K28" s="1040">
        <f t="shared" ref="K28:K46" si="5">J28</f>
        <v>9.1428571428571441</v>
      </c>
      <c r="L28" s="1044">
        <f>J28-J27</f>
        <v>0</v>
      </c>
      <c r="M28" s="1044">
        <f>K28-K27</f>
        <v>0</v>
      </c>
      <c r="N28" s="759"/>
      <c r="O28" s="759"/>
      <c r="P28" s="759"/>
      <c r="Q28" s="759"/>
      <c r="R28" s="759"/>
      <c r="S28" s="759"/>
      <c r="T28" s="759"/>
      <c r="U28" s="759"/>
      <c r="V28" s="759"/>
    </row>
    <row r="29" spans="1:22" x14ac:dyDescent="0.35">
      <c r="A29" s="1038">
        <f t="shared" ref="A29:A61" si="6">A28+31</f>
        <v>44836</v>
      </c>
      <c r="B29">
        <v>10</v>
      </c>
      <c r="D29">
        <f t="shared" si="2"/>
        <v>5.7142857142857144</v>
      </c>
      <c r="F29" s="1039" t="s">
        <v>186</v>
      </c>
      <c r="G29" s="1040">
        <f>AVERAGE(D32:D34)</f>
        <v>17.714285714285715</v>
      </c>
      <c r="H29" s="1040">
        <f t="shared" si="3"/>
        <v>7.0857142857142863</v>
      </c>
      <c r="I29" s="1040">
        <f t="shared" si="4"/>
        <v>21.25714285714286</v>
      </c>
      <c r="J29" s="1040">
        <f t="shared" si="1"/>
        <v>28.342857142857145</v>
      </c>
      <c r="K29" s="1040">
        <f t="shared" si="5"/>
        <v>28.342857142857145</v>
      </c>
      <c r="L29" s="1044">
        <f t="shared" ref="L29:M47" si="7">J29-J28</f>
        <v>19.200000000000003</v>
      </c>
      <c r="M29" s="1044">
        <f t="shared" si="7"/>
        <v>19.200000000000003</v>
      </c>
      <c r="N29" s="759"/>
      <c r="O29" s="759"/>
      <c r="P29" s="759"/>
      <c r="Q29" s="759"/>
      <c r="R29" s="759"/>
      <c r="S29" s="759"/>
      <c r="T29" s="759"/>
      <c r="U29" s="759"/>
      <c r="V29" s="759"/>
    </row>
    <row r="30" spans="1:22" x14ac:dyDescent="0.35">
      <c r="A30" s="1038">
        <f t="shared" si="6"/>
        <v>44867</v>
      </c>
      <c r="B30">
        <v>10</v>
      </c>
      <c r="D30">
        <f t="shared" si="2"/>
        <v>5.7142857142857144</v>
      </c>
      <c r="F30" s="1039" t="s">
        <v>187</v>
      </c>
      <c r="G30" s="1040">
        <f>AVERAGE(D35:D37)</f>
        <v>28.571428571428573</v>
      </c>
      <c r="H30" s="1040">
        <f t="shared" si="3"/>
        <v>11.428571428571431</v>
      </c>
      <c r="I30" s="1040">
        <f t="shared" si="4"/>
        <v>34.285714285714292</v>
      </c>
      <c r="J30" s="1040">
        <f t="shared" si="1"/>
        <v>45.714285714285722</v>
      </c>
      <c r="K30" s="1040">
        <f t="shared" si="5"/>
        <v>45.714285714285722</v>
      </c>
      <c r="L30" s="1044">
        <f t="shared" si="7"/>
        <v>17.371428571428577</v>
      </c>
      <c r="M30" s="1044">
        <f t="shared" si="7"/>
        <v>17.371428571428577</v>
      </c>
      <c r="N30" s="759"/>
      <c r="O30" s="759"/>
      <c r="P30" s="759"/>
      <c r="Q30" s="759"/>
      <c r="R30" s="759"/>
      <c r="S30" s="759"/>
      <c r="T30" s="759"/>
      <c r="U30" s="759"/>
      <c r="V30" s="759"/>
    </row>
    <row r="31" spans="1:22" x14ac:dyDescent="0.35">
      <c r="A31" s="1038">
        <f t="shared" si="6"/>
        <v>44898</v>
      </c>
      <c r="B31">
        <v>10</v>
      </c>
      <c r="D31">
        <f t="shared" si="2"/>
        <v>5.7142857142857144</v>
      </c>
      <c r="F31" s="1039" t="s">
        <v>188</v>
      </c>
      <c r="G31" s="1040">
        <f>AVERAGE(D38:D40)</f>
        <v>46.666666666666664</v>
      </c>
      <c r="H31" s="1040">
        <f t="shared" si="3"/>
        <v>18.666666666666668</v>
      </c>
      <c r="I31" s="1040">
        <f t="shared" si="4"/>
        <v>56</v>
      </c>
      <c r="J31" s="1040">
        <f t="shared" si="1"/>
        <v>74.666666666666671</v>
      </c>
      <c r="K31" s="1040">
        <v>77</v>
      </c>
      <c r="L31" s="1044">
        <f t="shared" si="7"/>
        <v>28.952380952380949</v>
      </c>
      <c r="M31" s="1044">
        <f t="shared" si="7"/>
        <v>31.285714285714278</v>
      </c>
      <c r="N31" s="759"/>
      <c r="O31" s="759"/>
      <c r="P31" s="759"/>
      <c r="Q31" s="759"/>
      <c r="R31" s="759"/>
      <c r="S31" s="759"/>
      <c r="T31" s="759"/>
      <c r="U31" s="759"/>
      <c r="V31" s="759"/>
    </row>
    <row r="32" spans="1:22" x14ac:dyDescent="0.35">
      <c r="A32" s="1038">
        <f t="shared" si="6"/>
        <v>44929</v>
      </c>
      <c r="B32">
        <v>25</v>
      </c>
      <c r="D32">
        <f t="shared" si="2"/>
        <v>14.285714285714286</v>
      </c>
      <c r="F32" s="1039" t="s">
        <v>189</v>
      </c>
      <c r="G32" s="1040">
        <f>AVERAGE(D41:D43)</f>
        <v>49.904761904761905</v>
      </c>
      <c r="H32" s="1040">
        <f t="shared" si="3"/>
        <v>19.961904761904762</v>
      </c>
      <c r="I32" s="1040">
        <f t="shared" si="4"/>
        <v>59.885714285714286</v>
      </c>
      <c r="J32" s="1040">
        <f t="shared" si="1"/>
        <v>79.847619047619048</v>
      </c>
      <c r="K32" s="1040">
        <v>86</v>
      </c>
      <c r="L32" s="1044">
        <f t="shared" si="7"/>
        <v>5.1809523809523768</v>
      </c>
      <c r="M32" s="1044">
        <f t="shared" si="7"/>
        <v>9</v>
      </c>
      <c r="N32" s="759"/>
      <c r="O32" s="759"/>
      <c r="P32" s="759"/>
      <c r="Q32" s="759"/>
      <c r="R32" s="759"/>
      <c r="S32" s="759"/>
      <c r="T32" s="759"/>
      <c r="U32" s="759"/>
      <c r="V32" s="759"/>
    </row>
    <row r="33" spans="1:22" x14ac:dyDescent="0.35">
      <c r="A33" s="1038">
        <f t="shared" si="6"/>
        <v>44960</v>
      </c>
      <c r="B33">
        <v>30</v>
      </c>
      <c r="D33">
        <f t="shared" si="2"/>
        <v>17.142857142857142</v>
      </c>
      <c r="F33" s="1039" t="s">
        <v>190</v>
      </c>
      <c r="G33" s="1040">
        <f>AVERAGE(D44:D46)</f>
        <v>57.142857142857146</v>
      </c>
      <c r="H33" s="1040">
        <f t="shared" si="3"/>
        <v>22.857142857142861</v>
      </c>
      <c r="I33" s="1040">
        <f t="shared" si="4"/>
        <v>68.571428571428584</v>
      </c>
      <c r="J33" s="1040">
        <f t="shared" si="1"/>
        <v>91.428571428571445</v>
      </c>
      <c r="K33" s="1040">
        <v>95</v>
      </c>
      <c r="L33" s="1044">
        <f t="shared" si="7"/>
        <v>11.580952380952397</v>
      </c>
      <c r="M33" s="1044">
        <f t="shared" si="7"/>
        <v>9</v>
      </c>
      <c r="N33" s="759"/>
      <c r="O33" s="759"/>
      <c r="P33" s="759"/>
      <c r="Q33" s="759"/>
      <c r="R33" s="759"/>
      <c r="S33" s="759"/>
      <c r="T33" s="759"/>
      <c r="U33" s="759"/>
      <c r="V33" s="759"/>
    </row>
    <row r="34" spans="1:22" x14ac:dyDescent="0.35">
      <c r="A34" s="1038">
        <f t="shared" si="6"/>
        <v>44991</v>
      </c>
      <c r="B34">
        <v>38</v>
      </c>
      <c r="D34">
        <f t="shared" si="2"/>
        <v>21.714285714285715</v>
      </c>
      <c r="F34" s="1039" t="s">
        <v>191</v>
      </c>
      <c r="G34" s="1040">
        <f>AVERAGE(D47:D49)</f>
        <v>57.142857142857146</v>
      </c>
      <c r="H34" s="1040">
        <f t="shared" si="3"/>
        <v>22.857142857142861</v>
      </c>
      <c r="I34" s="1040">
        <f t="shared" si="4"/>
        <v>68.571428571428584</v>
      </c>
      <c r="J34" s="1040">
        <f t="shared" si="1"/>
        <v>91.428571428571445</v>
      </c>
      <c r="K34" s="1040">
        <f t="shared" si="5"/>
        <v>91.428571428571445</v>
      </c>
      <c r="L34" s="1044">
        <f t="shared" si="7"/>
        <v>0</v>
      </c>
      <c r="M34" s="1044">
        <f t="shared" si="7"/>
        <v>-3.5714285714285552</v>
      </c>
      <c r="N34" s="759"/>
      <c r="O34" s="759"/>
      <c r="P34" s="759"/>
      <c r="Q34" s="759"/>
      <c r="R34" s="759"/>
      <c r="S34" s="759"/>
      <c r="T34" s="759"/>
      <c r="U34" s="759"/>
      <c r="V34" s="759"/>
    </row>
    <row r="35" spans="1:22" x14ac:dyDescent="0.35">
      <c r="A35" s="1038">
        <f t="shared" si="6"/>
        <v>45022</v>
      </c>
      <c r="B35">
        <v>40</v>
      </c>
      <c r="D35">
        <f t="shared" si="2"/>
        <v>22.857142857142858</v>
      </c>
      <c r="F35" s="1039" t="s">
        <v>175</v>
      </c>
      <c r="G35" s="1040">
        <f>AVERAGE(D50:D52)</f>
        <v>51.047619047619058</v>
      </c>
      <c r="H35" s="1040">
        <f t="shared" si="3"/>
        <v>20.419047619047625</v>
      </c>
      <c r="I35" s="1040">
        <f t="shared" si="4"/>
        <v>61.257142857142874</v>
      </c>
      <c r="J35" s="1040">
        <f t="shared" si="1"/>
        <v>81.676190476190499</v>
      </c>
      <c r="K35" s="1040">
        <f t="shared" si="5"/>
        <v>81.676190476190499</v>
      </c>
      <c r="L35" s="1044">
        <f t="shared" si="7"/>
        <v>-9.7523809523809462</v>
      </c>
      <c r="M35" s="1044">
        <f t="shared" si="7"/>
        <v>-9.7523809523809462</v>
      </c>
      <c r="N35" s="759"/>
      <c r="O35" s="759"/>
      <c r="P35" s="759"/>
      <c r="Q35" s="759"/>
      <c r="R35" s="759"/>
      <c r="S35" s="759"/>
      <c r="T35" s="759"/>
      <c r="U35" s="759"/>
      <c r="V35" s="759"/>
    </row>
    <row r="36" spans="1:22" x14ac:dyDescent="0.35">
      <c r="A36" s="1038">
        <f t="shared" si="6"/>
        <v>45053</v>
      </c>
      <c r="B36">
        <v>50</v>
      </c>
      <c r="D36">
        <f t="shared" si="2"/>
        <v>28.571428571428573</v>
      </c>
      <c r="F36" s="1039" t="s">
        <v>176</v>
      </c>
      <c r="G36" s="1040">
        <f>AVERAGE(D53:D55)</f>
        <v>45.142857142857146</v>
      </c>
      <c r="H36" s="1040">
        <f t="shared" si="3"/>
        <v>18.05714285714286</v>
      </c>
      <c r="I36" s="1040">
        <f t="shared" si="4"/>
        <v>54.171428571428578</v>
      </c>
      <c r="J36" s="1040">
        <f t="shared" si="1"/>
        <v>72.228571428571442</v>
      </c>
      <c r="K36" s="1040">
        <f t="shared" si="5"/>
        <v>72.228571428571442</v>
      </c>
      <c r="L36" s="1044">
        <f t="shared" si="7"/>
        <v>-9.4476190476190567</v>
      </c>
      <c r="M36" s="1044">
        <f t="shared" si="7"/>
        <v>-9.4476190476190567</v>
      </c>
      <c r="N36" s="759"/>
      <c r="O36" s="759"/>
      <c r="P36" s="759"/>
      <c r="Q36" s="759"/>
      <c r="R36" s="759"/>
      <c r="S36" s="759"/>
      <c r="T36" s="759"/>
      <c r="U36" s="759"/>
      <c r="V36" s="759"/>
    </row>
    <row r="37" spans="1:22" x14ac:dyDescent="0.35">
      <c r="A37" s="1038">
        <f t="shared" si="6"/>
        <v>45084</v>
      </c>
      <c r="B37">
        <v>60</v>
      </c>
      <c r="D37">
        <f t="shared" si="2"/>
        <v>34.285714285714285</v>
      </c>
      <c r="F37" s="1039" t="s">
        <v>177</v>
      </c>
      <c r="G37" s="1040">
        <v>35</v>
      </c>
      <c r="H37" s="1040">
        <f t="shared" si="3"/>
        <v>14</v>
      </c>
      <c r="I37" s="1040">
        <f t="shared" si="4"/>
        <v>42</v>
      </c>
      <c r="J37" s="1040">
        <f t="shared" si="1"/>
        <v>56</v>
      </c>
      <c r="K37" s="1040">
        <v>59</v>
      </c>
      <c r="L37" s="1044">
        <f t="shared" si="7"/>
        <v>-16.228571428571442</v>
      </c>
      <c r="M37" s="1044">
        <f t="shared" si="7"/>
        <v>-13.228571428571442</v>
      </c>
      <c r="N37" s="759"/>
      <c r="O37" s="759"/>
      <c r="P37" s="759"/>
      <c r="Q37" s="759"/>
      <c r="R37" s="759"/>
      <c r="S37" s="759"/>
      <c r="T37" s="759"/>
      <c r="U37" s="759"/>
      <c r="V37" s="759"/>
    </row>
    <row r="38" spans="1:22" x14ac:dyDescent="0.35">
      <c r="A38" s="1038">
        <f t="shared" si="6"/>
        <v>45115</v>
      </c>
      <c r="B38">
        <v>70</v>
      </c>
      <c r="D38">
        <f t="shared" si="2"/>
        <v>40</v>
      </c>
      <c r="F38" s="1039" t="s">
        <v>765</v>
      </c>
      <c r="G38" s="1040">
        <v>30</v>
      </c>
      <c r="H38" s="1040">
        <f t="shared" si="3"/>
        <v>12</v>
      </c>
      <c r="I38" s="1040">
        <f t="shared" si="4"/>
        <v>36</v>
      </c>
      <c r="J38" s="1040">
        <f t="shared" si="1"/>
        <v>48</v>
      </c>
      <c r="K38" s="1040">
        <f t="shared" si="5"/>
        <v>48</v>
      </c>
      <c r="L38" s="1044">
        <f t="shared" si="7"/>
        <v>-8</v>
      </c>
      <c r="M38" s="1044">
        <f t="shared" si="7"/>
        <v>-11</v>
      </c>
      <c r="N38" s="759"/>
      <c r="O38" s="759"/>
      <c r="P38" s="759"/>
      <c r="Q38" s="759"/>
      <c r="R38" s="759"/>
      <c r="S38" s="759"/>
      <c r="T38" s="759"/>
      <c r="U38" s="759"/>
      <c r="V38" s="759"/>
    </row>
    <row r="39" spans="1:22" x14ac:dyDescent="0.35">
      <c r="A39" s="1038">
        <f t="shared" si="6"/>
        <v>45146</v>
      </c>
      <c r="B39">
        <v>85</v>
      </c>
      <c r="D39">
        <f t="shared" si="2"/>
        <v>48.571428571428569</v>
      </c>
      <c r="F39" s="1039" t="s">
        <v>766</v>
      </c>
      <c r="G39" s="1040">
        <v>25</v>
      </c>
      <c r="H39" s="1040">
        <f t="shared" si="3"/>
        <v>10</v>
      </c>
      <c r="I39" s="1040">
        <f t="shared" si="4"/>
        <v>30</v>
      </c>
      <c r="J39" s="1040">
        <f t="shared" si="1"/>
        <v>40</v>
      </c>
      <c r="K39" s="1040">
        <f t="shared" si="5"/>
        <v>40</v>
      </c>
      <c r="L39" s="1044">
        <f t="shared" si="7"/>
        <v>-8</v>
      </c>
      <c r="M39" s="1044">
        <f t="shared" si="7"/>
        <v>-8</v>
      </c>
      <c r="N39" s="759"/>
      <c r="O39" s="759"/>
      <c r="P39" s="759"/>
      <c r="Q39" s="759"/>
      <c r="R39" s="759"/>
      <c r="S39" s="759"/>
      <c r="T39" s="759"/>
      <c r="U39" s="759"/>
      <c r="V39" s="759"/>
    </row>
    <row r="40" spans="1:22" x14ac:dyDescent="0.35">
      <c r="A40" s="1038">
        <f t="shared" si="6"/>
        <v>45177</v>
      </c>
      <c r="B40">
        <v>90</v>
      </c>
      <c r="D40">
        <f t="shared" si="2"/>
        <v>51.428571428571431</v>
      </c>
      <c r="F40" s="1039" t="s">
        <v>767</v>
      </c>
      <c r="G40" s="1040">
        <f t="shared" ref="G40:G46" si="8">G39</f>
        <v>25</v>
      </c>
      <c r="H40" s="1040">
        <f t="shared" si="3"/>
        <v>10</v>
      </c>
      <c r="I40" s="1040">
        <f t="shared" si="4"/>
        <v>30</v>
      </c>
      <c r="J40" s="1040">
        <f t="shared" si="1"/>
        <v>40</v>
      </c>
      <c r="K40" s="1040">
        <f t="shared" si="5"/>
        <v>40</v>
      </c>
      <c r="L40" s="1044">
        <f t="shared" si="7"/>
        <v>0</v>
      </c>
      <c r="M40" s="1044">
        <f t="shared" si="7"/>
        <v>0</v>
      </c>
      <c r="N40" s="759"/>
      <c r="O40" s="759"/>
      <c r="P40" s="759"/>
      <c r="Q40" s="759"/>
      <c r="R40" s="759"/>
      <c r="S40" s="759"/>
      <c r="T40" s="759"/>
      <c r="U40" s="759"/>
      <c r="V40" s="759"/>
    </row>
    <row r="41" spans="1:22" x14ac:dyDescent="0.35">
      <c r="A41" s="1038">
        <f t="shared" si="6"/>
        <v>45208</v>
      </c>
      <c r="B41">
        <v>93</v>
      </c>
      <c r="D41">
        <f t="shared" si="2"/>
        <v>53.142857142857146</v>
      </c>
      <c r="F41" s="1039" t="s">
        <v>1157</v>
      </c>
      <c r="G41" s="1040">
        <f t="shared" si="8"/>
        <v>25</v>
      </c>
      <c r="H41" s="1040">
        <f t="shared" si="3"/>
        <v>10</v>
      </c>
      <c r="I41" s="1040">
        <f t="shared" si="4"/>
        <v>30</v>
      </c>
      <c r="J41" s="1040">
        <f t="shared" si="1"/>
        <v>40</v>
      </c>
      <c r="K41" s="1040">
        <f t="shared" si="5"/>
        <v>40</v>
      </c>
      <c r="L41" s="1044">
        <f t="shared" si="7"/>
        <v>0</v>
      </c>
      <c r="M41" s="1044">
        <f t="shared" si="7"/>
        <v>0</v>
      </c>
      <c r="N41" s="759"/>
      <c r="O41" s="759"/>
      <c r="P41" s="759"/>
      <c r="Q41" s="759"/>
      <c r="R41" s="759"/>
      <c r="S41" s="759"/>
      <c r="T41" s="759"/>
      <c r="U41" s="759"/>
      <c r="V41" s="759"/>
    </row>
    <row r="42" spans="1:22" x14ac:dyDescent="0.35">
      <c r="A42" s="1038">
        <f t="shared" si="6"/>
        <v>45239</v>
      </c>
      <c r="B42">
        <v>84</v>
      </c>
      <c r="D42">
        <f t="shared" si="2"/>
        <v>48</v>
      </c>
      <c r="F42" s="1039" t="s">
        <v>1158</v>
      </c>
      <c r="G42" s="1040">
        <f t="shared" si="8"/>
        <v>25</v>
      </c>
      <c r="H42" s="1040">
        <f t="shared" si="3"/>
        <v>10</v>
      </c>
      <c r="I42" s="1040">
        <f t="shared" si="4"/>
        <v>30</v>
      </c>
      <c r="J42" s="1040">
        <f t="shared" si="1"/>
        <v>40</v>
      </c>
      <c r="K42" s="1040">
        <f t="shared" si="5"/>
        <v>40</v>
      </c>
      <c r="L42" s="1044">
        <f t="shared" si="7"/>
        <v>0</v>
      </c>
      <c r="M42" s="1044">
        <f t="shared" si="7"/>
        <v>0</v>
      </c>
      <c r="N42" s="759"/>
      <c r="O42" s="759"/>
      <c r="P42" s="759"/>
      <c r="Q42" s="759"/>
      <c r="R42" s="759"/>
      <c r="S42" s="759"/>
      <c r="T42" s="759"/>
      <c r="U42" s="759"/>
      <c r="V42" s="759"/>
    </row>
    <row r="43" spans="1:22" x14ac:dyDescent="0.35">
      <c r="A43" s="1038">
        <f t="shared" si="6"/>
        <v>45270</v>
      </c>
      <c r="B43">
        <v>85</v>
      </c>
      <c r="D43">
        <f t="shared" si="2"/>
        <v>48.571428571428569</v>
      </c>
      <c r="F43" s="1039" t="s">
        <v>1159</v>
      </c>
      <c r="G43" s="1040">
        <f t="shared" si="8"/>
        <v>25</v>
      </c>
      <c r="H43" s="1040">
        <f t="shared" si="3"/>
        <v>10</v>
      </c>
      <c r="I43" s="1040">
        <f t="shared" si="4"/>
        <v>30</v>
      </c>
      <c r="J43" s="1040">
        <f t="shared" si="1"/>
        <v>40</v>
      </c>
      <c r="K43" s="1040">
        <f t="shared" si="5"/>
        <v>40</v>
      </c>
      <c r="L43" s="1044">
        <f t="shared" si="7"/>
        <v>0</v>
      </c>
      <c r="M43" s="1044">
        <f t="shared" si="7"/>
        <v>0</v>
      </c>
      <c r="N43" s="759"/>
      <c r="O43" s="759"/>
      <c r="P43" s="759"/>
      <c r="Q43" s="759"/>
      <c r="R43" s="759"/>
      <c r="S43" s="759"/>
      <c r="T43" s="759"/>
      <c r="U43" s="759"/>
      <c r="V43" s="759"/>
    </row>
    <row r="44" spans="1:22" x14ac:dyDescent="0.35">
      <c r="A44" s="1038">
        <f t="shared" si="6"/>
        <v>45301</v>
      </c>
      <c r="B44">
        <v>100</v>
      </c>
      <c r="D44">
        <f t="shared" si="2"/>
        <v>57.142857142857146</v>
      </c>
      <c r="F44" s="1039" t="s">
        <v>1160</v>
      </c>
      <c r="G44" s="1040">
        <f t="shared" si="8"/>
        <v>25</v>
      </c>
      <c r="H44" s="1040">
        <f t="shared" si="3"/>
        <v>10</v>
      </c>
      <c r="I44" s="1040">
        <f t="shared" si="4"/>
        <v>30</v>
      </c>
      <c r="J44" s="1040">
        <f t="shared" si="1"/>
        <v>40</v>
      </c>
      <c r="K44" s="1040">
        <f t="shared" si="5"/>
        <v>40</v>
      </c>
      <c r="L44" s="1044">
        <f t="shared" si="7"/>
        <v>0</v>
      </c>
      <c r="M44" s="1044">
        <f t="shared" si="7"/>
        <v>0</v>
      </c>
      <c r="N44" s="759"/>
      <c r="O44" s="759"/>
      <c r="P44" s="759"/>
      <c r="Q44" s="759"/>
      <c r="R44" s="759"/>
      <c r="S44" s="759"/>
      <c r="T44" s="759"/>
      <c r="U44" s="759"/>
      <c r="V44" s="759"/>
    </row>
    <row r="45" spans="1:22" x14ac:dyDescent="0.35">
      <c r="A45" s="1038">
        <f t="shared" si="6"/>
        <v>45332</v>
      </c>
      <c r="B45">
        <v>100</v>
      </c>
      <c r="D45">
        <f t="shared" si="2"/>
        <v>57.142857142857146</v>
      </c>
      <c r="F45" s="1039" t="s">
        <v>1161</v>
      </c>
      <c r="G45" s="1040">
        <f t="shared" si="8"/>
        <v>25</v>
      </c>
      <c r="H45" s="1040">
        <f t="shared" si="3"/>
        <v>10</v>
      </c>
      <c r="I45" s="1040">
        <f t="shared" si="4"/>
        <v>30</v>
      </c>
      <c r="J45" s="1040">
        <f t="shared" si="1"/>
        <v>40</v>
      </c>
      <c r="K45" s="1040">
        <f t="shared" si="5"/>
        <v>40</v>
      </c>
      <c r="L45" s="1044">
        <f t="shared" si="7"/>
        <v>0</v>
      </c>
      <c r="M45" s="1044">
        <f t="shared" si="7"/>
        <v>0</v>
      </c>
      <c r="N45" s="759"/>
      <c r="O45" s="759"/>
      <c r="P45" s="759"/>
      <c r="Q45" s="759"/>
      <c r="R45" s="759"/>
      <c r="S45" s="759"/>
      <c r="T45" s="759"/>
      <c r="U45" s="759"/>
      <c r="V45" s="759"/>
    </row>
    <row r="46" spans="1:22" x14ac:dyDescent="0.35">
      <c r="A46" s="1038">
        <f t="shared" si="6"/>
        <v>45363</v>
      </c>
      <c r="B46">
        <f t="shared" ref="B46:B50" si="9">B45</f>
        <v>100</v>
      </c>
      <c r="D46">
        <f t="shared" si="2"/>
        <v>57.142857142857146</v>
      </c>
      <c r="F46" s="1039" t="s">
        <v>1162</v>
      </c>
      <c r="G46" s="1040">
        <f t="shared" si="8"/>
        <v>25</v>
      </c>
      <c r="H46" s="1040">
        <f t="shared" si="3"/>
        <v>10</v>
      </c>
      <c r="I46" s="1040">
        <f t="shared" si="4"/>
        <v>30</v>
      </c>
      <c r="J46" s="1040">
        <f t="shared" si="1"/>
        <v>40</v>
      </c>
      <c r="K46" s="1040">
        <f t="shared" si="5"/>
        <v>40</v>
      </c>
      <c r="L46" s="1044">
        <f t="shared" si="7"/>
        <v>0</v>
      </c>
      <c r="M46" s="1044">
        <f t="shared" si="7"/>
        <v>0</v>
      </c>
      <c r="N46" s="759"/>
      <c r="O46" s="759"/>
      <c r="P46" s="759"/>
      <c r="Q46" s="759"/>
      <c r="R46" s="759"/>
      <c r="S46" s="759"/>
      <c r="T46" s="759"/>
      <c r="U46" s="759"/>
      <c r="V46" s="759"/>
    </row>
    <row r="47" spans="1:22" x14ac:dyDescent="0.35">
      <c r="A47" s="1038">
        <f t="shared" si="6"/>
        <v>45394</v>
      </c>
      <c r="B47">
        <f t="shared" si="9"/>
        <v>100</v>
      </c>
      <c r="D47">
        <f t="shared" si="2"/>
        <v>57.142857142857146</v>
      </c>
      <c r="F47" s="1035"/>
      <c r="G47" s="1040"/>
      <c r="H47" s="1035"/>
      <c r="I47" s="1035"/>
      <c r="J47" s="1040">
        <f>SUM(J27:J46)</f>
        <v>1007.6190476190477</v>
      </c>
      <c r="K47" s="1040">
        <f>SUM(K27:K46)</f>
        <v>1022.6761904761905</v>
      </c>
      <c r="L47" s="1044">
        <f t="shared" si="7"/>
        <v>967.61904761904771</v>
      </c>
      <c r="M47" s="1044">
        <f t="shared" si="7"/>
        <v>982.67619047619053</v>
      </c>
      <c r="N47" s="759"/>
      <c r="O47" s="759"/>
      <c r="P47" s="759"/>
      <c r="Q47" s="759"/>
      <c r="R47" s="759"/>
      <c r="S47" s="759"/>
      <c r="T47" s="759"/>
      <c r="U47" s="759"/>
      <c r="V47" s="759"/>
    </row>
    <row r="48" spans="1:22" x14ac:dyDescent="0.35">
      <c r="A48" s="1038">
        <f t="shared" si="6"/>
        <v>45425</v>
      </c>
      <c r="B48">
        <f t="shared" si="9"/>
        <v>100</v>
      </c>
      <c r="D48">
        <f t="shared" si="2"/>
        <v>57.142857142857146</v>
      </c>
      <c r="G48" s="180"/>
      <c r="H48" s="180"/>
      <c r="I48" s="180"/>
      <c r="K48" s="180" t="s">
        <v>323</v>
      </c>
      <c r="L48" s="759"/>
      <c r="M48" s="759"/>
      <c r="N48" s="759"/>
      <c r="O48" s="759"/>
      <c r="P48" s="759"/>
      <c r="Q48" s="759"/>
      <c r="R48" s="759"/>
      <c r="S48" s="759"/>
      <c r="T48" s="759"/>
      <c r="U48" s="759"/>
      <c r="V48" s="759"/>
    </row>
    <row r="49" spans="1:22" x14ac:dyDescent="0.35">
      <c r="A49" s="1038">
        <f t="shared" si="6"/>
        <v>45456</v>
      </c>
      <c r="B49">
        <f t="shared" si="9"/>
        <v>100</v>
      </c>
      <c r="D49">
        <f t="shared" si="2"/>
        <v>57.142857142857146</v>
      </c>
      <c r="G49" s="180"/>
      <c r="K49" s="180"/>
      <c r="L49" s="759"/>
      <c r="M49" s="759"/>
      <c r="N49" s="759"/>
      <c r="O49" s="759"/>
      <c r="P49" s="759"/>
      <c r="Q49" s="759"/>
      <c r="R49" s="759"/>
      <c r="S49" s="759"/>
      <c r="T49" s="759"/>
      <c r="U49" s="759"/>
      <c r="V49" s="759"/>
    </row>
    <row r="50" spans="1:22" x14ac:dyDescent="0.35">
      <c r="A50" s="1038">
        <f t="shared" si="6"/>
        <v>45487</v>
      </c>
      <c r="B50">
        <f t="shared" si="9"/>
        <v>100</v>
      </c>
      <c r="D50">
        <f t="shared" si="2"/>
        <v>57.142857142857146</v>
      </c>
      <c r="G50" s="180"/>
      <c r="K50" s="180"/>
      <c r="L50" s="759"/>
      <c r="M50" s="759"/>
      <c r="N50" s="759"/>
      <c r="O50" s="759"/>
      <c r="P50" s="759"/>
      <c r="Q50" s="759"/>
      <c r="R50" s="759"/>
      <c r="S50" s="759"/>
      <c r="T50" s="759"/>
      <c r="U50" s="759"/>
      <c r="V50" s="759"/>
    </row>
    <row r="51" spans="1:22" x14ac:dyDescent="0.35">
      <c r="A51" s="1038">
        <f t="shared" si="6"/>
        <v>45518</v>
      </c>
      <c r="B51">
        <v>85</v>
      </c>
      <c r="D51">
        <f t="shared" si="2"/>
        <v>48.571428571428569</v>
      </c>
      <c r="G51" s="180"/>
      <c r="K51" s="180"/>
      <c r="L51" s="759"/>
      <c r="M51" s="759"/>
      <c r="N51" s="759"/>
      <c r="O51" s="759"/>
      <c r="P51" s="759"/>
      <c r="Q51" s="759"/>
      <c r="R51" s="759"/>
      <c r="S51" s="759"/>
      <c r="T51" s="759"/>
      <c r="U51" s="759"/>
      <c r="V51" s="759"/>
    </row>
    <row r="52" spans="1:22" x14ac:dyDescent="0.35">
      <c r="A52" s="1038">
        <f t="shared" si="6"/>
        <v>45549</v>
      </c>
      <c r="B52">
        <v>83</v>
      </c>
      <c r="D52">
        <f t="shared" si="2"/>
        <v>47.428571428571431</v>
      </c>
      <c r="G52" s="180"/>
      <c r="K52" s="180"/>
      <c r="L52" s="759"/>
      <c r="M52" s="759"/>
      <c r="N52" s="759"/>
      <c r="O52" s="759"/>
      <c r="P52" s="759"/>
      <c r="Q52" s="759"/>
      <c r="R52" s="759"/>
      <c r="S52" s="759"/>
      <c r="T52" s="759"/>
      <c r="U52" s="759"/>
      <c r="V52" s="759"/>
    </row>
    <row r="53" spans="1:22" x14ac:dyDescent="0.35">
      <c r="A53" s="1038">
        <f t="shared" si="6"/>
        <v>45580</v>
      </c>
      <c r="B53">
        <v>81</v>
      </c>
      <c r="D53">
        <f t="shared" si="2"/>
        <v>46.285714285714285</v>
      </c>
      <c r="G53" s="180"/>
      <c r="K53" s="180"/>
      <c r="L53" s="759"/>
      <c r="M53" s="759"/>
      <c r="N53" s="759"/>
      <c r="O53" s="759"/>
      <c r="P53" s="759"/>
      <c r="Q53" s="759"/>
      <c r="R53" s="759"/>
      <c r="S53" s="759"/>
      <c r="T53" s="759"/>
      <c r="U53" s="759"/>
      <c r="V53" s="759"/>
    </row>
    <row r="54" spans="1:22" x14ac:dyDescent="0.35">
      <c r="A54" s="1038">
        <f t="shared" si="6"/>
        <v>45611</v>
      </c>
      <c r="B54">
        <v>79</v>
      </c>
      <c r="D54">
        <f t="shared" si="2"/>
        <v>45.142857142857146</v>
      </c>
      <c r="G54" s="180"/>
      <c r="K54" s="180"/>
      <c r="L54" s="759"/>
      <c r="M54" s="759"/>
      <c r="N54" s="759"/>
      <c r="O54" s="759"/>
      <c r="P54" s="759"/>
      <c r="Q54" s="759"/>
      <c r="R54" s="759"/>
      <c r="S54" s="759"/>
      <c r="T54" s="759"/>
      <c r="U54" s="759"/>
      <c r="V54" s="759"/>
    </row>
    <row r="55" spans="1:22" x14ac:dyDescent="0.35">
      <c r="A55" s="1038">
        <f t="shared" si="6"/>
        <v>45642</v>
      </c>
      <c r="B55">
        <v>77</v>
      </c>
      <c r="D55">
        <f t="shared" si="2"/>
        <v>44</v>
      </c>
      <c r="G55" s="180"/>
      <c r="K55" s="180"/>
      <c r="L55" s="759"/>
      <c r="M55" s="759"/>
      <c r="N55" s="759"/>
      <c r="O55" s="759"/>
      <c r="P55" s="759"/>
      <c r="Q55" s="759"/>
      <c r="R55" s="759"/>
      <c r="S55" s="759"/>
      <c r="T55" s="759"/>
      <c r="U55" s="759"/>
      <c r="V55" s="759"/>
    </row>
    <row r="56" spans="1:22" x14ac:dyDescent="0.35">
      <c r="A56" s="1038">
        <f t="shared" si="6"/>
        <v>45673</v>
      </c>
      <c r="B56">
        <v>50</v>
      </c>
      <c r="D56">
        <f t="shared" si="2"/>
        <v>28.571428571428573</v>
      </c>
      <c r="G56" s="180"/>
      <c r="K56" s="180"/>
      <c r="L56" s="759"/>
      <c r="M56" s="759"/>
      <c r="N56" s="759"/>
      <c r="O56" s="759"/>
      <c r="P56" s="759"/>
      <c r="Q56" s="759"/>
      <c r="R56" s="759"/>
      <c r="S56" s="759"/>
      <c r="T56" s="759"/>
      <c r="U56" s="759"/>
      <c r="V56" s="759"/>
    </row>
    <row r="57" spans="1:22" x14ac:dyDescent="0.35">
      <c r="A57" s="1038">
        <f t="shared" si="6"/>
        <v>45704</v>
      </c>
      <c r="B57">
        <v>44</v>
      </c>
      <c r="D57">
        <f t="shared" si="2"/>
        <v>25.142857142857142</v>
      </c>
      <c r="G57" s="180"/>
      <c r="K57" s="180"/>
      <c r="L57" s="759"/>
      <c r="M57" s="759"/>
      <c r="N57" s="759"/>
      <c r="O57" s="759"/>
      <c r="P57" s="759"/>
      <c r="Q57" s="759"/>
      <c r="R57" s="759"/>
      <c r="S57" s="759"/>
      <c r="T57" s="759"/>
      <c r="U57" s="759"/>
      <c r="V57" s="759"/>
    </row>
    <row r="58" spans="1:22" x14ac:dyDescent="0.35">
      <c r="A58" s="1038">
        <f t="shared" si="6"/>
        <v>45735</v>
      </c>
      <c r="B58">
        <v>36</v>
      </c>
      <c r="D58">
        <f t="shared" si="2"/>
        <v>20.571428571428573</v>
      </c>
      <c r="G58" s="180"/>
      <c r="K58" s="180"/>
      <c r="L58" s="759"/>
      <c r="M58" s="759"/>
      <c r="N58" s="759"/>
      <c r="O58" s="759"/>
      <c r="P58" s="759"/>
      <c r="Q58" s="759"/>
      <c r="R58" s="759"/>
      <c r="S58" s="759"/>
      <c r="T58" s="759"/>
      <c r="U58" s="759"/>
      <c r="V58" s="759"/>
    </row>
    <row r="59" spans="1:22" x14ac:dyDescent="0.35">
      <c r="A59" s="1038">
        <f t="shared" si="6"/>
        <v>45766</v>
      </c>
      <c r="B59">
        <v>26</v>
      </c>
      <c r="D59">
        <f t="shared" si="2"/>
        <v>14.857142857142858</v>
      </c>
      <c r="G59" s="180"/>
      <c r="K59" s="180"/>
      <c r="L59" s="759"/>
      <c r="M59" s="759"/>
      <c r="N59" s="759"/>
      <c r="O59" s="759"/>
      <c r="P59" s="759"/>
      <c r="Q59" s="759"/>
      <c r="R59" s="759"/>
      <c r="S59" s="759"/>
      <c r="T59" s="759"/>
      <c r="U59" s="759"/>
      <c r="V59" s="759"/>
    </row>
    <row r="60" spans="1:22" x14ac:dyDescent="0.35">
      <c r="A60" s="1038">
        <f t="shared" si="6"/>
        <v>45797</v>
      </c>
      <c r="B60">
        <v>25</v>
      </c>
      <c r="D60">
        <f t="shared" si="2"/>
        <v>14.285714285714286</v>
      </c>
      <c r="G60" s="180"/>
      <c r="K60" s="180"/>
      <c r="L60" s="759"/>
      <c r="M60" s="759"/>
      <c r="N60" s="759"/>
      <c r="O60" s="759"/>
      <c r="P60" s="759"/>
      <c r="Q60" s="759"/>
      <c r="R60" s="759"/>
      <c r="S60" s="759"/>
      <c r="T60" s="759"/>
      <c r="U60" s="759"/>
      <c r="V60" s="759"/>
    </row>
    <row r="61" spans="1:22" x14ac:dyDescent="0.35">
      <c r="A61" s="1038">
        <f t="shared" si="6"/>
        <v>45828</v>
      </c>
      <c r="B61">
        <v>24</v>
      </c>
      <c r="D61">
        <f t="shared" si="2"/>
        <v>13.714285714285714</v>
      </c>
      <c r="G61" s="180"/>
      <c r="K61" s="180"/>
      <c r="L61" s="759"/>
      <c r="M61" s="759"/>
      <c r="N61" s="759"/>
      <c r="O61" s="759"/>
      <c r="P61" s="759"/>
      <c r="Q61" s="759"/>
      <c r="R61" s="759"/>
      <c r="S61" s="759"/>
      <c r="T61" s="759"/>
      <c r="U61" s="759"/>
      <c r="V61" s="759"/>
    </row>
    <row r="62" spans="1:22" x14ac:dyDescent="0.35">
      <c r="L62" s="759"/>
      <c r="M62" s="759"/>
      <c r="N62" s="759"/>
      <c r="O62" s="759"/>
      <c r="P62" s="759"/>
      <c r="Q62" s="759"/>
      <c r="R62" s="759"/>
      <c r="S62" s="759"/>
      <c r="T62" s="759"/>
      <c r="U62" s="759"/>
      <c r="V62" s="759"/>
    </row>
    <row r="63" spans="1:22" x14ac:dyDescent="0.35">
      <c r="L63" s="759"/>
      <c r="M63" s="759"/>
      <c r="N63" s="759"/>
      <c r="O63" s="759"/>
      <c r="P63" s="759"/>
      <c r="Q63" s="759"/>
      <c r="R63" s="759"/>
      <c r="S63" s="759"/>
      <c r="T63" s="759"/>
      <c r="U63" s="759"/>
      <c r="V63" s="759"/>
    </row>
    <row r="64" spans="1:22" x14ac:dyDescent="0.35">
      <c r="A64" t="s">
        <v>1874</v>
      </c>
      <c r="L64" s="759"/>
      <c r="M64" s="759"/>
      <c r="N64" s="759"/>
      <c r="O64" s="759"/>
      <c r="P64" s="759"/>
      <c r="Q64" s="759"/>
      <c r="R64" s="759"/>
      <c r="S64" s="759"/>
      <c r="T64" s="759"/>
      <c r="U64" s="759"/>
      <c r="V64" s="759"/>
    </row>
    <row r="65" spans="1:22" x14ac:dyDescent="0.35">
      <c r="L65" s="759"/>
      <c r="M65" s="759"/>
      <c r="N65" s="759"/>
      <c r="O65" s="759"/>
      <c r="P65" s="759"/>
      <c r="Q65" s="759"/>
      <c r="R65" s="759"/>
      <c r="S65" s="759"/>
      <c r="T65" s="759"/>
      <c r="U65" s="759"/>
      <c r="V65" s="759"/>
    </row>
    <row r="66" spans="1:22" ht="333.65" customHeight="1" x14ac:dyDescent="0.35">
      <c r="A66" t="s">
        <v>1875</v>
      </c>
      <c r="B66" s="14" t="s">
        <v>1876</v>
      </c>
      <c r="C66" s="928" t="s">
        <v>1877</v>
      </c>
      <c r="D66" s="14"/>
      <c r="L66" s="759"/>
      <c r="M66" s="759"/>
      <c r="N66" s="759"/>
      <c r="O66" s="759"/>
      <c r="P66" s="759"/>
      <c r="Q66" s="759"/>
      <c r="R66" s="759"/>
      <c r="S66" s="759"/>
      <c r="T66" s="759"/>
      <c r="U66" s="759"/>
      <c r="V66" s="759"/>
    </row>
    <row r="67" spans="1:22" x14ac:dyDescent="0.35">
      <c r="L67" s="759"/>
      <c r="M67" s="759"/>
      <c r="N67" s="759"/>
      <c r="O67" s="759"/>
      <c r="P67" s="759"/>
      <c r="Q67" s="759"/>
      <c r="R67" s="759"/>
      <c r="S67" s="759"/>
      <c r="T67" s="759"/>
      <c r="U67" s="759"/>
      <c r="V67" s="759"/>
    </row>
    <row r="68" spans="1:22" x14ac:dyDescent="0.35">
      <c r="A68" t="s">
        <v>1878</v>
      </c>
      <c r="C68" s="1041"/>
      <c r="L68" s="759"/>
      <c r="M68" s="759"/>
      <c r="N68" s="759"/>
      <c r="O68" s="759"/>
      <c r="P68" s="759"/>
      <c r="Q68" s="759"/>
      <c r="R68" s="759"/>
      <c r="S68" s="759"/>
      <c r="T68" s="759"/>
      <c r="U68" s="759"/>
      <c r="V68" s="759"/>
    </row>
    <row r="69" spans="1:22" x14ac:dyDescent="0.35">
      <c r="A69" t="s">
        <v>1879</v>
      </c>
      <c r="B69" t="s">
        <v>1875</v>
      </c>
      <c r="C69" s="1041" t="s">
        <v>1880</v>
      </c>
      <c r="D69" s="1041" t="s">
        <v>1881</v>
      </c>
      <c r="L69" s="759"/>
      <c r="M69" s="759"/>
      <c r="N69" s="759"/>
      <c r="O69" s="759"/>
      <c r="P69" s="759"/>
      <c r="Q69" s="759"/>
      <c r="R69" s="759"/>
      <c r="S69" s="759"/>
      <c r="T69" s="759"/>
      <c r="U69" s="759"/>
      <c r="V69" s="759"/>
    </row>
    <row r="70" spans="1:22" x14ac:dyDescent="0.35">
      <c r="A70" s="1042">
        <v>44562</v>
      </c>
      <c r="B70" s="280">
        <v>58.637</v>
      </c>
      <c r="C70" s="1043">
        <v>87.938999999999993</v>
      </c>
      <c r="D70">
        <f>C70/B70</f>
        <v>1.4997186077050326</v>
      </c>
      <c r="L70" s="759"/>
      <c r="M70" s="759"/>
      <c r="N70" s="759"/>
      <c r="O70" s="759"/>
      <c r="P70" s="759"/>
      <c r="Q70" s="759"/>
      <c r="R70" s="759"/>
      <c r="S70" s="759"/>
      <c r="T70" s="759"/>
      <c r="U70" s="759"/>
      <c r="V70" s="759"/>
    </row>
    <row r="71" spans="1:22" x14ac:dyDescent="0.35">
      <c r="A71" s="1042">
        <v>44652</v>
      </c>
      <c r="B71" s="280">
        <v>56.826000000000001</v>
      </c>
      <c r="C71" s="1043">
        <v>90.418999999999997</v>
      </c>
      <c r="D71">
        <f t="shared" ref="D71:D75" si="10">C71/B71</f>
        <v>1.5911554570091155</v>
      </c>
      <c r="L71" s="759"/>
      <c r="M71" s="759"/>
      <c r="N71" s="759"/>
      <c r="O71" s="759"/>
      <c r="P71" s="759"/>
      <c r="Q71" s="759"/>
      <c r="R71" s="759"/>
      <c r="S71" s="759"/>
      <c r="T71" s="759"/>
      <c r="U71" s="759"/>
      <c r="V71" s="759"/>
    </row>
    <row r="72" spans="1:22" x14ac:dyDescent="0.35">
      <c r="A72" s="1042">
        <v>44743</v>
      </c>
      <c r="B72" s="280">
        <v>59.756999999999998</v>
      </c>
      <c r="C72" s="1043">
        <v>101.727</v>
      </c>
      <c r="D72">
        <f t="shared" si="10"/>
        <v>1.7023444952055828</v>
      </c>
      <c r="L72" s="759"/>
      <c r="M72" s="759"/>
      <c r="N72" s="759"/>
      <c r="O72" s="759"/>
      <c r="P72" s="759"/>
      <c r="Q72" s="759"/>
      <c r="R72" s="759"/>
      <c r="S72" s="759"/>
      <c r="T72" s="759"/>
      <c r="U72" s="759"/>
      <c r="V72" s="759"/>
    </row>
    <row r="73" spans="1:22" x14ac:dyDescent="0.35">
      <c r="A73" s="1042">
        <v>44835</v>
      </c>
      <c r="B73" s="280">
        <v>64.33</v>
      </c>
      <c r="C73" s="1043">
        <v>112.18300000000001</v>
      </c>
      <c r="D73">
        <f t="shared" si="10"/>
        <v>1.7438675579045548</v>
      </c>
      <c r="L73" s="759"/>
      <c r="M73" s="759"/>
      <c r="N73" s="759"/>
      <c r="O73" s="759"/>
      <c r="P73" s="759"/>
      <c r="Q73" s="759"/>
      <c r="R73" s="759"/>
      <c r="S73" s="759"/>
      <c r="T73" s="759"/>
      <c r="U73" s="759"/>
      <c r="V73" s="759"/>
    </row>
    <row r="74" spans="1:22" x14ac:dyDescent="0.35">
      <c r="A74" s="1042">
        <v>44927</v>
      </c>
      <c r="B74" s="280">
        <v>74.295000000000002</v>
      </c>
      <c r="C74" s="1043">
        <v>131.22999999999999</v>
      </c>
      <c r="D74">
        <f t="shared" si="10"/>
        <v>1.7663369001951676</v>
      </c>
      <c r="L74" s="759"/>
      <c r="M74" s="759"/>
      <c r="N74" s="759"/>
      <c r="O74" s="759"/>
      <c r="P74" s="759"/>
      <c r="Q74" s="759"/>
      <c r="R74" s="759"/>
      <c r="S74" s="759"/>
      <c r="T74" s="759"/>
      <c r="U74" s="759"/>
      <c r="V74" s="759"/>
    </row>
    <row r="75" spans="1:22" x14ac:dyDescent="0.35">
      <c r="A75" s="1042">
        <v>45017</v>
      </c>
      <c r="B75" s="280">
        <v>87.679000000000002</v>
      </c>
      <c r="C75" s="1043">
        <v>153.18799999999999</v>
      </c>
      <c r="D75">
        <f t="shared" si="10"/>
        <v>1.7471458387983438</v>
      </c>
      <c r="L75" s="759"/>
      <c r="M75" s="759"/>
      <c r="N75" s="759"/>
      <c r="O75" s="759"/>
      <c r="P75" s="759"/>
      <c r="Q75" s="759"/>
      <c r="R75" s="759"/>
      <c r="S75" s="759"/>
      <c r="T75" s="759"/>
      <c r="U75" s="759"/>
      <c r="V75" s="759"/>
    </row>
    <row r="76" spans="1:22" x14ac:dyDescent="0.35">
      <c r="A76" s="759"/>
      <c r="B76" s="759"/>
      <c r="C76" s="759"/>
      <c r="D76" s="759"/>
      <c r="E76" s="759"/>
      <c r="F76" s="759"/>
      <c r="G76" s="759"/>
      <c r="H76" s="759"/>
      <c r="I76" s="759"/>
      <c r="J76" s="759"/>
      <c r="K76" s="759"/>
      <c r="L76" s="759"/>
      <c r="M76" s="759"/>
      <c r="N76" s="759"/>
      <c r="O76" s="759"/>
      <c r="P76" s="759"/>
      <c r="Q76" s="759"/>
      <c r="R76" s="759"/>
      <c r="S76" s="759"/>
      <c r="T76" s="759"/>
      <c r="U76" s="759"/>
      <c r="V76" s="759"/>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882" t="s">
        <v>521</v>
      </c>
      <c r="B3" s="240"/>
    </row>
    <row r="4" spans="1:17" x14ac:dyDescent="0.35">
      <c r="A4" s="1046" t="s">
        <v>522</v>
      </c>
      <c r="B4" s="1047"/>
      <c r="C4" s="1047"/>
    </row>
    <row r="7" spans="1:17" x14ac:dyDescent="0.35">
      <c r="A7" s="1421" t="s">
        <v>523</v>
      </c>
      <c r="B7" s="1422"/>
      <c r="C7" s="1422"/>
      <c r="D7" s="1422"/>
      <c r="E7" s="1422"/>
      <c r="F7" s="1422"/>
      <c r="G7" s="1422"/>
      <c r="H7" s="1422"/>
      <c r="I7" s="1422"/>
      <c r="J7" s="1422"/>
      <c r="K7" s="1422"/>
      <c r="L7" s="1422"/>
      <c r="M7" s="1422"/>
      <c r="N7" s="1422"/>
      <c r="O7" s="1422"/>
      <c r="P7" s="1422"/>
    </row>
    <row r="8" spans="1:17" x14ac:dyDescent="0.35">
      <c r="A8" s="358" t="s">
        <v>524</v>
      </c>
      <c r="B8" s="358"/>
      <c r="C8" s="358"/>
      <c r="D8" s="1051"/>
      <c r="E8" s="358"/>
      <c r="F8" s="358"/>
      <c r="G8" s="358"/>
      <c r="H8" s="358"/>
      <c r="I8" s="358"/>
      <c r="J8" s="358"/>
      <c r="K8" s="358"/>
      <c r="L8" s="358"/>
      <c r="M8" s="358"/>
      <c r="N8" s="358"/>
      <c r="O8" s="358"/>
      <c r="P8" s="358"/>
    </row>
    <row r="9" spans="1:17" x14ac:dyDescent="0.35">
      <c r="A9" s="240"/>
      <c r="B9" s="240"/>
      <c r="C9" s="240"/>
      <c r="D9" s="740"/>
      <c r="E9" s="240"/>
      <c r="F9" s="240"/>
      <c r="G9" s="240"/>
      <c r="H9" s="240"/>
      <c r="I9" s="240"/>
      <c r="J9" s="240"/>
      <c r="K9" s="240"/>
      <c r="L9" s="240"/>
      <c r="M9" s="240"/>
      <c r="N9" s="240"/>
      <c r="O9" s="240"/>
      <c r="P9" s="240"/>
    </row>
    <row r="10" spans="1:17" x14ac:dyDescent="0.35">
      <c r="A10" s="240"/>
      <c r="B10" s="240"/>
      <c r="C10" s="240"/>
      <c r="D10" s="740"/>
      <c r="E10" s="240"/>
      <c r="F10" s="240"/>
      <c r="G10" s="240"/>
      <c r="H10" s="240"/>
      <c r="I10" s="240"/>
      <c r="J10" s="240"/>
      <c r="K10" s="240"/>
      <c r="L10" s="240"/>
      <c r="M10" s="240"/>
      <c r="N10" s="240"/>
      <c r="O10" s="1423" t="s">
        <v>312</v>
      </c>
      <c r="P10" s="1423"/>
    </row>
    <row r="11" spans="1:17" x14ac:dyDescent="0.35">
      <c r="A11" s="240"/>
      <c r="B11" s="240"/>
      <c r="C11" s="721"/>
      <c r="D11" s="266"/>
      <c r="E11" s="721"/>
      <c r="F11" s="721"/>
      <c r="G11" s="721"/>
      <c r="H11" s="721"/>
      <c r="I11" s="721"/>
      <c r="J11" s="721"/>
      <c r="K11" s="721"/>
      <c r="L11" s="721"/>
      <c r="M11" s="721"/>
      <c r="N11" s="721"/>
      <c r="O11" s="1050" t="s">
        <v>525</v>
      </c>
      <c r="P11" s="1050" t="s">
        <v>525</v>
      </c>
    </row>
    <row r="12" spans="1:17" x14ac:dyDescent="0.35">
      <c r="A12" s="358"/>
      <c r="B12" s="358"/>
      <c r="C12" s="358"/>
      <c r="D12" s="1051">
        <v>2020</v>
      </c>
      <c r="E12" s="1051">
        <v>2021</v>
      </c>
      <c r="F12" s="1051">
        <v>2022</v>
      </c>
      <c r="G12" s="1051">
        <v>2023</v>
      </c>
      <c r="H12" s="1051">
        <v>2024</v>
      </c>
      <c r="I12" s="1051">
        <v>2025</v>
      </c>
      <c r="J12" s="1051">
        <v>2026</v>
      </c>
      <c r="K12" s="1051">
        <v>2027</v>
      </c>
      <c r="L12" s="1051">
        <v>2028</v>
      </c>
      <c r="M12" s="1051">
        <v>2029</v>
      </c>
      <c r="N12" s="1051">
        <v>2030</v>
      </c>
      <c r="O12" s="848">
        <v>2025</v>
      </c>
      <c r="P12" s="848">
        <v>2030</v>
      </c>
    </row>
    <row r="13" spans="1:17" x14ac:dyDescent="0.35">
      <c r="A13" s="721" t="s">
        <v>526</v>
      </c>
      <c r="B13" s="721"/>
      <c r="C13" s="721"/>
      <c r="D13" s="634">
        <v>540.56299999999999</v>
      </c>
      <c r="E13" s="634">
        <v>0</v>
      </c>
      <c r="F13" s="634">
        <v>0</v>
      </c>
      <c r="G13" s="634">
        <v>0</v>
      </c>
      <c r="H13" s="634">
        <v>0</v>
      </c>
      <c r="I13" s="634">
        <v>0</v>
      </c>
      <c r="J13" s="634">
        <v>0</v>
      </c>
      <c r="K13" s="634">
        <v>0</v>
      </c>
      <c r="L13" s="634">
        <v>0</v>
      </c>
      <c r="M13" s="634">
        <v>0</v>
      </c>
      <c r="N13" s="634">
        <v>0</v>
      </c>
      <c r="O13" s="634">
        <v>0</v>
      </c>
      <c r="P13" s="634">
        <v>0</v>
      </c>
      <c r="Q13" t="s">
        <v>50</v>
      </c>
    </row>
    <row r="14" spans="1:17" x14ac:dyDescent="0.35">
      <c r="A14" s="240" t="s">
        <v>527</v>
      </c>
      <c r="B14" s="240"/>
      <c r="C14" s="240"/>
      <c r="D14" s="266"/>
      <c r="E14" s="721"/>
      <c r="F14" s="721"/>
      <c r="G14" s="721"/>
      <c r="H14" s="721"/>
      <c r="I14" s="721"/>
      <c r="J14" s="721"/>
      <c r="K14" s="721"/>
      <c r="L14" s="721"/>
      <c r="M14" s="721"/>
      <c r="N14" s="721"/>
      <c r="O14" s="721"/>
      <c r="P14" s="721"/>
      <c r="Q14" t="s">
        <v>528</v>
      </c>
    </row>
    <row r="15" spans="1:17" x14ac:dyDescent="0.35">
      <c r="A15" s="240"/>
      <c r="B15" s="240" t="s">
        <v>529</v>
      </c>
      <c r="C15" s="240"/>
      <c r="D15" s="266">
        <v>285.56</v>
      </c>
      <c r="E15" s="266">
        <v>5</v>
      </c>
      <c r="F15" s="266">
        <v>0</v>
      </c>
      <c r="G15" s="266">
        <v>0</v>
      </c>
      <c r="H15" s="266">
        <v>0</v>
      </c>
      <c r="I15" s="266">
        <v>0</v>
      </c>
      <c r="J15" s="266">
        <v>0</v>
      </c>
      <c r="K15" s="266">
        <v>0</v>
      </c>
      <c r="L15" s="266">
        <v>0</v>
      </c>
      <c r="M15" s="266">
        <v>0</v>
      </c>
      <c r="N15" s="266">
        <v>0</v>
      </c>
      <c r="O15" s="266">
        <v>5</v>
      </c>
      <c r="P15" s="266">
        <v>5</v>
      </c>
    </row>
    <row r="16" spans="1:17" x14ac:dyDescent="0.35">
      <c r="A16" s="721"/>
      <c r="B16" s="240" t="s">
        <v>530</v>
      </c>
      <c r="C16" s="721"/>
      <c r="D16" s="266">
        <v>67.209999999999994</v>
      </c>
      <c r="E16" s="266">
        <v>13.68</v>
      </c>
      <c r="F16" s="266">
        <v>0</v>
      </c>
      <c r="G16" s="266">
        <v>0</v>
      </c>
      <c r="H16" s="266">
        <v>0</v>
      </c>
      <c r="I16" s="266">
        <v>0</v>
      </c>
      <c r="J16" s="266">
        <v>0</v>
      </c>
      <c r="K16" s="266">
        <v>0</v>
      </c>
      <c r="L16" s="266">
        <v>0</v>
      </c>
      <c r="M16" s="266">
        <v>0</v>
      </c>
      <c r="N16" s="266">
        <v>0</v>
      </c>
      <c r="O16" s="266">
        <v>13.68</v>
      </c>
      <c r="P16" s="266">
        <v>13.68</v>
      </c>
    </row>
    <row r="17" spans="1:17" x14ac:dyDescent="0.35">
      <c r="A17" s="721"/>
      <c r="B17" s="240" t="s">
        <v>531</v>
      </c>
      <c r="C17" s="721"/>
      <c r="D17" s="266">
        <v>11.12</v>
      </c>
      <c r="E17" s="266">
        <v>47.8</v>
      </c>
      <c r="F17" s="266">
        <v>0</v>
      </c>
      <c r="G17" s="266">
        <v>0</v>
      </c>
      <c r="H17" s="266">
        <v>0</v>
      </c>
      <c r="I17" s="266">
        <v>0</v>
      </c>
      <c r="J17" s="266">
        <v>0</v>
      </c>
      <c r="K17" s="266">
        <v>0</v>
      </c>
      <c r="L17" s="266">
        <v>0</v>
      </c>
      <c r="M17" s="266">
        <v>0</v>
      </c>
      <c r="N17" s="266">
        <v>0</v>
      </c>
      <c r="O17" s="266">
        <v>47.8</v>
      </c>
      <c r="P17" s="266">
        <v>47.8</v>
      </c>
    </row>
    <row r="18" spans="1:17" x14ac:dyDescent="0.35">
      <c r="A18" s="721"/>
      <c r="B18" s="240" t="s">
        <v>532</v>
      </c>
      <c r="C18" s="721"/>
      <c r="D18" s="266">
        <v>6.2149999999999999</v>
      </c>
      <c r="E18" s="266">
        <v>5.0049999999999999</v>
      </c>
      <c r="F18" s="266">
        <v>0</v>
      </c>
      <c r="G18" s="266">
        <v>0</v>
      </c>
      <c r="H18" s="266">
        <v>0</v>
      </c>
      <c r="I18" s="266">
        <v>0</v>
      </c>
      <c r="J18" s="266">
        <v>0</v>
      </c>
      <c r="K18" s="266">
        <v>0</v>
      </c>
      <c r="L18" s="266">
        <v>0</v>
      </c>
      <c r="M18" s="266">
        <v>0</v>
      </c>
      <c r="N18" s="266">
        <v>0</v>
      </c>
      <c r="O18" s="266">
        <v>5.0049999999999999</v>
      </c>
      <c r="P18" s="266">
        <v>5.0049999999999999</v>
      </c>
    </row>
    <row r="19" spans="1:17" x14ac:dyDescent="0.35">
      <c r="A19" s="721"/>
      <c r="B19" s="240"/>
      <c r="C19" s="721"/>
      <c r="D19" s="266" t="s">
        <v>533</v>
      </c>
      <c r="E19" s="266" t="s">
        <v>533</v>
      </c>
      <c r="F19" s="266" t="s">
        <v>533</v>
      </c>
      <c r="G19" s="266" t="s">
        <v>533</v>
      </c>
      <c r="H19" s="266" t="s">
        <v>533</v>
      </c>
      <c r="I19" s="266" t="s">
        <v>533</v>
      </c>
      <c r="J19" s="266" t="s">
        <v>533</v>
      </c>
      <c r="K19" s="266" t="s">
        <v>533</v>
      </c>
      <c r="L19" s="266" t="s">
        <v>533</v>
      </c>
      <c r="M19" s="266" t="s">
        <v>533</v>
      </c>
      <c r="N19" s="266" t="s">
        <v>533</v>
      </c>
      <c r="O19" s="266" t="s">
        <v>533</v>
      </c>
      <c r="P19" s="266" t="s">
        <v>533</v>
      </c>
    </row>
    <row r="20" spans="1:17" x14ac:dyDescent="0.35">
      <c r="A20" s="721"/>
      <c r="B20" s="240"/>
      <c r="C20" s="721" t="s">
        <v>534</v>
      </c>
      <c r="D20" s="266">
        <v>370.10500000000002</v>
      </c>
      <c r="E20" s="266">
        <v>71.484999999999999</v>
      </c>
      <c r="F20" s="266">
        <v>0</v>
      </c>
      <c r="G20" s="266">
        <v>0</v>
      </c>
      <c r="H20" s="266">
        <v>0</v>
      </c>
      <c r="I20" s="266">
        <v>0</v>
      </c>
      <c r="J20" s="266">
        <v>0</v>
      </c>
      <c r="K20" s="266">
        <v>0</v>
      </c>
      <c r="L20" s="266">
        <v>0</v>
      </c>
      <c r="M20" s="266">
        <v>0</v>
      </c>
      <c r="N20" s="266">
        <v>0</v>
      </c>
      <c r="O20" s="266">
        <v>71.484999999999999</v>
      </c>
      <c r="P20" s="266">
        <v>71.484999999999999</v>
      </c>
    </row>
    <row r="21" spans="1:17" x14ac:dyDescent="0.35">
      <c r="A21" s="721"/>
      <c r="B21" s="240"/>
      <c r="C21" s="721"/>
      <c r="D21" s="266"/>
      <c r="E21" s="266"/>
      <c r="F21" s="266"/>
      <c r="G21" s="266"/>
      <c r="H21" s="266"/>
      <c r="I21" s="266"/>
      <c r="J21" s="266"/>
      <c r="K21" s="266"/>
      <c r="L21" s="266"/>
      <c r="M21" s="266"/>
      <c r="N21" s="266"/>
      <c r="O21" s="266"/>
      <c r="P21" s="266"/>
    </row>
    <row r="22" spans="1:17" ht="17.149999999999999" customHeight="1" x14ac:dyDescent="0.35">
      <c r="A22" s="721" t="s">
        <v>535</v>
      </c>
      <c r="B22" s="240"/>
      <c r="C22" s="721"/>
      <c r="D22" s="266">
        <v>271.98399999999998</v>
      </c>
      <c r="E22" s="266">
        <v>9.327</v>
      </c>
      <c r="F22" s="266">
        <v>0</v>
      </c>
      <c r="G22" s="266">
        <v>0</v>
      </c>
      <c r="H22" s="266">
        <v>0</v>
      </c>
      <c r="I22" s="266">
        <v>0</v>
      </c>
      <c r="J22" s="266">
        <v>0</v>
      </c>
      <c r="K22" s="266">
        <v>0</v>
      </c>
      <c r="L22" s="266">
        <v>0</v>
      </c>
      <c r="M22" s="266">
        <v>0</v>
      </c>
      <c r="N22" s="266">
        <v>0</v>
      </c>
      <c r="O22" s="266">
        <v>9.327</v>
      </c>
      <c r="P22" s="266">
        <v>9.327</v>
      </c>
      <c r="Q22" t="s">
        <v>536</v>
      </c>
    </row>
    <row r="23" spans="1:17" x14ac:dyDescent="0.35">
      <c r="A23" s="721" t="s">
        <v>149</v>
      </c>
      <c r="B23" s="240"/>
      <c r="C23" s="240"/>
      <c r="D23" s="266">
        <v>149.97300000000001</v>
      </c>
      <c r="E23" s="266">
        <v>2.5999999999999999E-2</v>
      </c>
      <c r="F23" s="266">
        <v>0</v>
      </c>
      <c r="G23" s="266">
        <v>0</v>
      </c>
      <c r="H23" s="266">
        <v>0</v>
      </c>
      <c r="I23" s="266">
        <v>0</v>
      </c>
      <c r="J23" s="266">
        <v>0</v>
      </c>
      <c r="K23" s="266">
        <v>0</v>
      </c>
      <c r="L23" s="266">
        <v>0</v>
      </c>
      <c r="M23" s="266">
        <v>0</v>
      </c>
      <c r="N23" s="266">
        <v>0</v>
      </c>
      <c r="O23" s="266">
        <v>2.5999999999999999E-2</v>
      </c>
      <c r="P23" s="266">
        <v>2.5999999999999999E-2</v>
      </c>
      <c r="Q23" t="s">
        <v>51</v>
      </c>
    </row>
    <row r="24" spans="1:17" x14ac:dyDescent="0.35">
      <c r="A24" s="721" t="s">
        <v>537</v>
      </c>
      <c r="B24" s="240"/>
      <c r="C24" s="240"/>
      <c r="D24" s="266">
        <v>135.41999999999999</v>
      </c>
      <c r="E24" s="266">
        <v>72.537999999999997</v>
      </c>
      <c r="F24" s="266">
        <v>10.331</v>
      </c>
      <c r="G24" s="266">
        <v>4.2670000000000003</v>
      </c>
      <c r="H24" s="266">
        <v>1.347</v>
      </c>
      <c r="I24" s="266">
        <v>0.67400000000000004</v>
      </c>
      <c r="J24" s="266">
        <v>0</v>
      </c>
      <c r="K24" s="266">
        <v>0</v>
      </c>
      <c r="L24" s="266">
        <v>0</v>
      </c>
      <c r="M24" s="266">
        <v>0</v>
      </c>
      <c r="N24" s="266">
        <v>0</v>
      </c>
      <c r="O24" s="266">
        <v>89.156999999999996</v>
      </c>
      <c r="P24" s="266">
        <v>89.156999999999996</v>
      </c>
      <c r="Q24" t="s">
        <v>538</v>
      </c>
    </row>
    <row r="25" spans="1:17" x14ac:dyDescent="0.35">
      <c r="A25" s="721" t="s">
        <v>539</v>
      </c>
      <c r="B25" s="240"/>
      <c r="C25" s="240"/>
      <c r="D25" s="266"/>
      <c r="E25" s="266"/>
      <c r="F25" s="266"/>
      <c r="G25" s="266"/>
      <c r="H25" s="266"/>
      <c r="I25" s="266"/>
      <c r="J25" s="266"/>
      <c r="K25" s="266"/>
      <c r="L25" s="266"/>
      <c r="M25" s="266"/>
      <c r="N25" s="266"/>
      <c r="O25" s="266"/>
      <c r="P25" s="266"/>
    </row>
    <row r="26" spans="1:17" x14ac:dyDescent="0.35">
      <c r="A26" s="721" t="s">
        <v>540</v>
      </c>
      <c r="B26" s="240"/>
      <c r="C26" s="240"/>
      <c r="D26" s="266">
        <v>40.831000000000003</v>
      </c>
      <c r="E26" s="266">
        <v>79.391999999999996</v>
      </c>
      <c r="F26" s="266">
        <v>47.442999999999998</v>
      </c>
      <c r="G26" s="266">
        <v>4.7220000000000004</v>
      </c>
      <c r="H26" s="266">
        <v>0</v>
      </c>
      <c r="I26" s="266">
        <v>0</v>
      </c>
      <c r="J26" s="266">
        <v>0</v>
      </c>
      <c r="K26" s="266">
        <v>0</v>
      </c>
      <c r="L26" s="266">
        <v>0</v>
      </c>
      <c r="M26" s="266">
        <v>0</v>
      </c>
      <c r="N26" s="266">
        <v>0</v>
      </c>
      <c r="O26" s="266">
        <v>131.55699999999999</v>
      </c>
      <c r="P26" s="266">
        <v>131.55699999999999</v>
      </c>
      <c r="Q26" t="s">
        <v>133</v>
      </c>
    </row>
    <row r="27" spans="1:17" x14ac:dyDescent="0.35">
      <c r="A27" s="721" t="s">
        <v>541</v>
      </c>
      <c r="B27" s="240"/>
      <c r="C27" s="240"/>
      <c r="D27" s="266">
        <v>58.054000000000002</v>
      </c>
      <c r="E27" s="266">
        <v>14.755000000000001</v>
      </c>
      <c r="F27" s="266">
        <v>3.4750000000000001</v>
      </c>
      <c r="G27" s="266">
        <v>3.9249999999999998</v>
      </c>
      <c r="H27" s="266">
        <v>4.375</v>
      </c>
      <c r="I27" s="266">
        <v>4.375</v>
      </c>
      <c r="J27" s="266">
        <v>4.5</v>
      </c>
      <c r="K27" s="266">
        <v>4.5</v>
      </c>
      <c r="L27" s="266">
        <v>4.5</v>
      </c>
      <c r="M27" s="266">
        <v>4.5</v>
      </c>
      <c r="N27" s="266">
        <v>4.5</v>
      </c>
      <c r="O27" s="266">
        <v>30.905000000000001</v>
      </c>
      <c r="P27" s="266">
        <v>53.405000000000001</v>
      </c>
    </row>
    <row r="28" spans="1:17" x14ac:dyDescent="0.35">
      <c r="A28" s="721" t="s">
        <v>542</v>
      </c>
      <c r="B28" s="240"/>
      <c r="C28" s="240"/>
      <c r="D28" s="266">
        <v>47.372999999999998</v>
      </c>
      <c r="E28" s="266">
        <v>-46.081000000000003</v>
      </c>
      <c r="F28" s="266">
        <v>0</v>
      </c>
      <c r="G28" s="266">
        <v>0</v>
      </c>
      <c r="H28" s="266">
        <v>0</v>
      </c>
      <c r="I28" s="266">
        <v>0</v>
      </c>
      <c r="J28" s="266">
        <v>0</v>
      </c>
      <c r="K28" s="266">
        <v>0</v>
      </c>
      <c r="L28" s="266">
        <v>0</v>
      </c>
      <c r="M28" s="266">
        <v>0</v>
      </c>
      <c r="N28" s="266">
        <v>0</v>
      </c>
      <c r="O28" s="266">
        <v>-46.081000000000003</v>
      </c>
      <c r="P28" s="266">
        <v>-46.081000000000003</v>
      </c>
      <c r="Q28" t="s">
        <v>55</v>
      </c>
    </row>
    <row r="29" spans="1:17" x14ac:dyDescent="0.35">
      <c r="A29" s="721" t="s">
        <v>543</v>
      </c>
      <c r="B29" s="240"/>
      <c r="C29" s="240"/>
      <c r="D29" s="266">
        <v>24.475000000000001</v>
      </c>
      <c r="E29" s="266">
        <v>32.784999999999997</v>
      </c>
      <c r="F29" s="266">
        <v>8.4600000000000009</v>
      </c>
      <c r="G29" s="266">
        <v>0</v>
      </c>
      <c r="H29" s="266">
        <v>0</v>
      </c>
      <c r="I29" s="266">
        <v>0</v>
      </c>
      <c r="J29" s="266">
        <v>0</v>
      </c>
      <c r="K29" s="266">
        <v>0</v>
      </c>
      <c r="L29" s="266">
        <v>0</v>
      </c>
      <c r="M29" s="266">
        <v>0</v>
      </c>
      <c r="N29" s="266">
        <v>0</v>
      </c>
      <c r="O29" s="266">
        <v>41.244999999999997</v>
      </c>
      <c r="P29" s="266">
        <v>41.244999999999997</v>
      </c>
      <c r="Q29" t="s">
        <v>544</v>
      </c>
    </row>
    <row r="30" spans="1:17" x14ac:dyDescent="0.35">
      <c r="A30" s="721" t="s">
        <v>545</v>
      </c>
      <c r="B30" s="240"/>
      <c r="C30" s="240"/>
      <c r="D30" s="266">
        <v>27.5</v>
      </c>
      <c r="E30" s="266">
        <v>0.86</v>
      </c>
      <c r="F30" s="266">
        <v>-0.22</v>
      </c>
      <c r="G30" s="266">
        <v>-0.49</v>
      </c>
      <c r="H30" s="266">
        <v>-0.56000000000000005</v>
      </c>
      <c r="I30" s="266">
        <v>-0.98</v>
      </c>
      <c r="J30" s="266">
        <v>-0.76</v>
      </c>
      <c r="K30" s="266">
        <v>-0.74</v>
      </c>
      <c r="L30" s="266">
        <v>-0.72</v>
      </c>
      <c r="M30" s="266">
        <v>-0.7</v>
      </c>
      <c r="N30" s="266">
        <v>-0.69</v>
      </c>
      <c r="O30" s="266">
        <v>-1.39</v>
      </c>
      <c r="P30" s="266">
        <v>-5</v>
      </c>
      <c r="Q30" t="s">
        <v>52</v>
      </c>
    </row>
    <row r="31" spans="1:17" x14ac:dyDescent="0.35">
      <c r="A31" s="721" t="s">
        <v>150</v>
      </c>
      <c r="B31" s="240"/>
      <c r="C31" s="240"/>
      <c r="D31" s="266">
        <v>11.407999999999999</v>
      </c>
      <c r="E31" s="266">
        <v>10.763</v>
      </c>
      <c r="F31" s="266">
        <v>5.7809999999999997</v>
      </c>
      <c r="G31" s="266">
        <v>0.92300000000000004</v>
      </c>
      <c r="H31" s="266">
        <v>0.52300000000000002</v>
      </c>
      <c r="I31" s="266">
        <v>0.43099999999999999</v>
      </c>
      <c r="J31" s="266">
        <v>0.246</v>
      </c>
      <c r="K31" s="266">
        <v>0</v>
      </c>
      <c r="L31" s="266">
        <v>0</v>
      </c>
      <c r="M31" s="266">
        <v>0</v>
      </c>
      <c r="N31" s="266">
        <v>0</v>
      </c>
      <c r="O31" s="266">
        <v>18.420999999999999</v>
      </c>
      <c r="P31" s="266">
        <v>18.667000000000002</v>
      </c>
      <c r="Q31" t="s">
        <v>546</v>
      </c>
    </row>
    <row r="32" spans="1:17" x14ac:dyDescent="0.35">
      <c r="A32" s="721" t="s">
        <v>547</v>
      </c>
      <c r="B32" s="240"/>
      <c r="C32" s="240"/>
      <c r="D32" s="266">
        <v>99.444000000000003</v>
      </c>
      <c r="E32" s="266">
        <v>61.634</v>
      </c>
      <c r="F32" s="266">
        <v>23.815000000000001</v>
      </c>
      <c r="G32" s="266">
        <v>7.35</v>
      </c>
      <c r="H32" s="266">
        <v>4.4029999999999996</v>
      </c>
      <c r="I32" s="266">
        <v>1.663</v>
      </c>
      <c r="J32" s="266">
        <v>0.74399999999999999</v>
      </c>
      <c r="K32" s="266">
        <v>0.65500000000000003</v>
      </c>
      <c r="L32" s="266">
        <v>0.68799999999999994</v>
      </c>
      <c r="M32" s="266">
        <v>10.603</v>
      </c>
      <c r="N32" s="266">
        <v>-35.328000000000003</v>
      </c>
      <c r="O32" s="266">
        <v>98.864999999999995</v>
      </c>
      <c r="P32" s="266">
        <v>76.227000000000004</v>
      </c>
      <c r="Q32" t="s">
        <v>548</v>
      </c>
    </row>
    <row r="33" spans="1:16" x14ac:dyDescent="0.35">
      <c r="A33" s="721"/>
      <c r="B33" s="240"/>
      <c r="C33" s="240"/>
      <c r="D33" s="266"/>
      <c r="E33" s="266"/>
      <c r="F33" s="266"/>
      <c r="G33" s="266"/>
      <c r="H33" s="266"/>
      <c r="I33" s="266"/>
      <c r="J33" s="266"/>
      <c r="K33" s="266"/>
      <c r="L33" s="266"/>
      <c r="M33" s="266"/>
      <c r="N33" s="266"/>
      <c r="O33" s="266"/>
      <c r="P33" s="266"/>
    </row>
    <row r="34" spans="1:16" x14ac:dyDescent="0.35">
      <c r="A34" s="1049"/>
      <c r="B34" s="1049"/>
      <c r="C34" s="1049" t="s">
        <v>312</v>
      </c>
      <c r="D34" s="1052">
        <v>1777.13</v>
      </c>
      <c r="E34" s="1052">
        <v>307.48399999999998</v>
      </c>
      <c r="F34" s="1052">
        <v>99.084999999999994</v>
      </c>
      <c r="G34" s="1052">
        <v>20.696999999999999</v>
      </c>
      <c r="H34" s="1052">
        <v>10.087999999999999</v>
      </c>
      <c r="I34" s="1052">
        <v>6.1630000000000003</v>
      </c>
      <c r="J34" s="1052">
        <v>4.7300000000000004</v>
      </c>
      <c r="K34" s="1052">
        <v>4.415</v>
      </c>
      <c r="L34" s="1052">
        <v>4.468</v>
      </c>
      <c r="M34" s="1052">
        <v>14.403</v>
      </c>
      <c r="N34" s="1052">
        <v>-31.518000000000001</v>
      </c>
      <c r="O34" s="1052">
        <v>443.517</v>
      </c>
      <c r="P34" s="1052">
        <v>440.01499999999999</v>
      </c>
    </row>
    <row r="35" spans="1:16" x14ac:dyDescent="0.35">
      <c r="A35" s="240"/>
      <c r="B35" s="240"/>
      <c r="C35" s="240"/>
      <c r="D35" s="1048"/>
      <c r="E35" s="489"/>
      <c r="F35" s="721"/>
      <c r="G35" s="721"/>
      <c r="H35" s="721"/>
      <c r="I35" s="721"/>
      <c r="J35" s="721"/>
      <c r="K35" s="721"/>
      <c r="L35" s="721"/>
      <c r="M35" s="721"/>
      <c r="N35" s="721"/>
      <c r="O35" s="721"/>
      <c r="P35" s="721"/>
    </row>
    <row r="36" spans="1:16" x14ac:dyDescent="0.35">
      <c r="A36" s="1053" t="s">
        <v>549</v>
      </c>
      <c r="B36" s="1053"/>
      <c r="C36" s="1053"/>
      <c r="D36" s="1054"/>
      <c r="E36" s="1053"/>
      <c r="F36" s="1053"/>
      <c r="G36" s="1053"/>
      <c r="H36" s="1053"/>
      <c r="I36" s="1053"/>
      <c r="J36" s="1053"/>
      <c r="K36" s="1053"/>
      <c r="L36" s="1053"/>
      <c r="M36" s="1053"/>
      <c r="N36" s="1053"/>
      <c r="O36" s="1053"/>
      <c r="P36" s="1053"/>
    </row>
    <row r="37" spans="1:16" x14ac:dyDescent="0.35">
      <c r="A37" s="1053"/>
      <c r="B37" s="1053"/>
      <c r="C37" s="1053"/>
      <c r="D37" s="1054"/>
      <c r="E37" s="1053"/>
      <c r="F37" s="1053"/>
      <c r="G37" s="1053"/>
      <c r="H37" s="1053"/>
      <c r="I37" s="1053"/>
      <c r="J37" s="1053"/>
      <c r="K37" s="1053"/>
      <c r="L37" s="1053"/>
      <c r="M37" s="1053"/>
      <c r="N37" s="1053"/>
      <c r="O37" s="1053"/>
      <c r="P37" s="1053"/>
    </row>
    <row r="38" spans="1:16" x14ac:dyDescent="0.35">
      <c r="A38" s="1426" t="s">
        <v>550</v>
      </c>
      <c r="B38" s="1426"/>
      <c r="C38" s="1426"/>
      <c r="D38" s="1426"/>
      <c r="E38" s="1426"/>
      <c r="F38" s="1426"/>
      <c r="G38" s="1426"/>
      <c r="H38" s="1426"/>
      <c r="I38" s="1426"/>
      <c r="J38" s="1426"/>
      <c r="K38" s="1426"/>
      <c r="L38" s="1426"/>
      <c r="M38" s="1426"/>
      <c r="N38" s="1426"/>
      <c r="O38" s="1426"/>
      <c r="P38" s="1426"/>
    </row>
    <row r="39" spans="1:16" x14ac:dyDescent="0.35">
      <c r="A39" s="1426"/>
      <c r="B39" s="1426"/>
      <c r="C39" s="1426"/>
      <c r="D39" s="1426"/>
      <c r="E39" s="1426"/>
      <c r="F39" s="1426"/>
      <c r="G39" s="1426"/>
      <c r="H39" s="1426"/>
      <c r="I39" s="1426"/>
      <c r="J39" s="1426"/>
      <c r="K39" s="1426"/>
      <c r="L39" s="1426"/>
      <c r="M39" s="1426"/>
      <c r="N39" s="1426"/>
      <c r="O39" s="1426"/>
      <c r="P39" s="1426"/>
    </row>
    <row r="40" spans="1:16" x14ac:dyDescent="0.35">
      <c r="A40" s="1426"/>
      <c r="B40" s="1426"/>
      <c r="C40" s="1426"/>
      <c r="D40" s="1426"/>
      <c r="E40" s="1426"/>
      <c r="F40" s="1426"/>
      <c r="G40" s="1426"/>
      <c r="H40" s="1426"/>
      <c r="I40" s="1426"/>
      <c r="J40" s="1426"/>
      <c r="K40" s="1426"/>
      <c r="L40" s="1426"/>
      <c r="M40" s="1426"/>
      <c r="N40" s="1426"/>
      <c r="O40" s="1426"/>
      <c r="P40" s="1426"/>
    </row>
    <row r="41" spans="1:16" x14ac:dyDescent="0.35">
      <c r="A41" s="1426"/>
      <c r="B41" s="1426"/>
      <c r="C41" s="1426"/>
      <c r="D41" s="1426"/>
      <c r="E41" s="1426"/>
      <c r="F41" s="1426"/>
      <c r="G41" s="1426"/>
      <c r="H41" s="1426"/>
      <c r="I41" s="1426"/>
      <c r="J41" s="1426"/>
      <c r="K41" s="1426"/>
      <c r="L41" s="1426"/>
      <c r="M41" s="1426"/>
      <c r="N41" s="1426"/>
      <c r="O41" s="1426"/>
      <c r="P41" s="1426"/>
    </row>
    <row r="42" spans="1:16" x14ac:dyDescent="0.35">
      <c r="A42" s="1426"/>
      <c r="B42" s="1426"/>
      <c r="C42" s="1426"/>
      <c r="D42" s="1426"/>
      <c r="E42" s="1426"/>
      <c r="F42" s="1426"/>
      <c r="G42" s="1426"/>
      <c r="H42" s="1426"/>
      <c r="I42" s="1426"/>
      <c r="J42" s="1426"/>
      <c r="K42" s="1426"/>
      <c r="L42" s="1426"/>
      <c r="M42" s="1426"/>
      <c r="N42" s="1426"/>
      <c r="O42" s="1426"/>
      <c r="P42" s="1426"/>
    </row>
    <row r="43" spans="1:16" x14ac:dyDescent="0.35">
      <c r="A43" s="247"/>
      <c r="B43" s="247"/>
      <c r="C43" s="247"/>
      <c r="D43" s="247"/>
      <c r="E43" s="247"/>
      <c r="F43" s="247"/>
      <c r="G43" s="247"/>
      <c r="H43" s="247"/>
      <c r="I43" s="247"/>
      <c r="J43" s="247"/>
      <c r="K43" s="247"/>
      <c r="L43" s="247"/>
      <c r="M43" s="247"/>
      <c r="N43" s="247"/>
      <c r="O43" s="247"/>
      <c r="P43" s="247"/>
    </row>
    <row r="44" spans="1:16" x14ac:dyDescent="0.35">
      <c r="A44" s="1314" t="s">
        <v>551</v>
      </c>
      <c r="B44" s="1314"/>
      <c r="C44" s="1314"/>
      <c r="D44" s="1314"/>
      <c r="E44" s="1314"/>
      <c r="F44" s="1314"/>
      <c r="G44" s="1314"/>
      <c r="H44" s="1314"/>
      <c r="I44" s="1314"/>
      <c r="J44" s="1314"/>
      <c r="K44" s="1314"/>
      <c r="L44" s="1314"/>
      <c r="M44" s="1314"/>
      <c r="N44" s="1314"/>
      <c r="O44" s="1314"/>
      <c r="P44" s="1314"/>
    </row>
    <row r="45" spans="1:16" x14ac:dyDescent="0.35">
      <c r="A45" s="1314"/>
      <c r="B45" s="1314"/>
      <c r="C45" s="1314"/>
      <c r="D45" s="1314"/>
      <c r="E45" s="1314"/>
      <c r="F45" s="1314"/>
      <c r="G45" s="1314"/>
      <c r="H45" s="1314"/>
      <c r="I45" s="1314"/>
      <c r="J45" s="1314"/>
      <c r="K45" s="1314"/>
      <c r="L45" s="1314"/>
      <c r="M45" s="1314"/>
      <c r="N45" s="1314"/>
      <c r="O45" s="1314"/>
      <c r="P45" s="1314"/>
    </row>
    <row r="46" spans="1:16" x14ac:dyDescent="0.35">
      <c r="A46" s="1314"/>
      <c r="B46" s="1314"/>
      <c r="C46" s="1314"/>
      <c r="D46" s="1314"/>
      <c r="E46" s="1314"/>
      <c r="F46" s="1314"/>
      <c r="G46" s="1314"/>
      <c r="H46" s="1314"/>
      <c r="I46" s="1314"/>
      <c r="J46" s="1314"/>
      <c r="K46" s="1314"/>
      <c r="L46" s="1314"/>
      <c r="M46" s="1314"/>
      <c r="N46" s="1314"/>
      <c r="O46" s="1314"/>
      <c r="P46" s="1314"/>
    </row>
    <row r="47" spans="1:16" x14ac:dyDescent="0.35">
      <c r="A47" s="1053"/>
      <c r="B47" s="1053"/>
      <c r="C47" s="1053"/>
      <c r="D47" s="1054"/>
      <c r="E47" s="1053"/>
      <c r="F47" s="1053"/>
      <c r="G47" s="1053"/>
      <c r="H47" s="1053"/>
      <c r="I47" s="1053"/>
      <c r="J47" s="1053"/>
      <c r="K47" s="1053"/>
      <c r="L47" s="1053"/>
      <c r="M47" s="1053"/>
      <c r="N47" s="1053"/>
      <c r="O47" s="1053"/>
      <c r="P47" s="1053"/>
    </row>
    <row r="48" spans="1:16" x14ac:dyDescent="0.35">
      <c r="A48" s="1424" t="s">
        <v>552</v>
      </c>
      <c r="B48" s="1425"/>
      <c r="C48" s="1425"/>
      <c r="D48" s="1425"/>
      <c r="E48" s="1425"/>
      <c r="F48" s="1425"/>
      <c r="G48" s="1425"/>
      <c r="H48" s="1425"/>
      <c r="I48" s="1425"/>
      <c r="J48" s="1425"/>
      <c r="K48" s="1425"/>
      <c r="L48" s="1425"/>
      <c r="M48" s="1425"/>
      <c r="N48" s="1425"/>
      <c r="O48" s="1425"/>
      <c r="P48" s="1425"/>
    </row>
    <row r="49" spans="1:16" x14ac:dyDescent="0.35">
      <c r="A49" s="1425"/>
      <c r="B49" s="1425"/>
      <c r="C49" s="1425"/>
      <c r="D49" s="1425"/>
      <c r="E49" s="1425"/>
      <c r="F49" s="1425"/>
      <c r="G49" s="1425"/>
      <c r="H49" s="1425"/>
      <c r="I49" s="1425"/>
      <c r="J49" s="1425"/>
      <c r="K49" s="1425"/>
      <c r="L49" s="1425"/>
      <c r="M49" s="1425"/>
      <c r="N49" s="1425"/>
      <c r="O49" s="1425"/>
      <c r="P49" s="1425"/>
    </row>
    <row r="50" spans="1:16" x14ac:dyDescent="0.35">
      <c r="A50" s="1053"/>
      <c r="B50" s="1053"/>
      <c r="C50" s="1053"/>
      <c r="D50" s="1054"/>
      <c r="E50" s="1053"/>
      <c r="F50" s="1053"/>
      <c r="G50" s="1053"/>
      <c r="H50" s="1053"/>
      <c r="I50" s="1053"/>
      <c r="J50" s="1053"/>
      <c r="K50" s="1053"/>
      <c r="L50" s="1053"/>
      <c r="M50" s="1053"/>
      <c r="N50" s="1053"/>
      <c r="O50" s="1053"/>
      <c r="P50" s="1053"/>
    </row>
    <row r="51" spans="1:16" x14ac:dyDescent="0.35">
      <c r="A51" s="1420" t="s">
        <v>553</v>
      </c>
      <c r="B51" s="1420"/>
      <c r="C51" s="1420"/>
      <c r="D51" s="1420"/>
      <c r="E51" s="1420"/>
      <c r="F51" s="1420"/>
      <c r="G51" s="1420"/>
      <c r="H51" s="1420"/>
      <c r="I51" s="1420"/>
      <c r="J51" s="1420"/>
      <c r="K51" s="1420"/>
      <c r="L51" s="1420"/>
      <c r="M51" s="1420"/>
      <c r="N51" s="1420"/>
      <c r="O51" s="1420"/>
      <c r="P51" s="1420"/>
    </row>
    <row r="52" spans="1:16" x14ac:dyDescent="0.35">
      <c r="A52" s="1420"/>
      <c r="B52" s="1420"/>
      <c r="C52" s="1420"/>
      <c r="D52" s="1420"/>
      <c r="E52" s="1420"/>
      <c r="F52" s="1420"/>
      <c r="G52" s="1420"/>
      <c r="H52" s="1420"/>
      <c r="I52" s="1420"/>
      <c r="J52" s="1420"/>
      <c r="K52" s="1420"/>
      <c r="L52" s="1420"/>
      <c r="M52" s="1420"/>
      <c r="N52" s="1420"/>
      <c r="O52" s="1420"/>
      <c r="P52" s="1420"/>
    </row>
    <row r="53" spans="1:16" x14ac:dyDescent="0.35">
      <c r="A53" s="1420"/>
      <c r="B53" s="1420"/>
      <c r="C53" s="1420"/>
      <c r="D53" s="1420"/>
      <c r="E53" s="1420"/>
      <c r="F53" s="1420"/>
      <c r="G53" s="1420"/>
      <c r="H53" s="1420"/>
      <c r="I53" s="1420"/>
      <c r="J53" s="1420"/>
      <c r="K53" s="1420"/>
      <c r="L53" s="1420"/>
      <c r="M53" s="1420"/>
      <c r="N53" s="1420"/>
      <c r="O53" s="1420"/>
      <c r="P53" s="1420"/>
    </row>
    <row r="54" spans="1:16" x14ac:dyDescent="0.35">
      <c r="A54" s="1055"/>
      <c r="B54" s="1055"/>
      <c r="C54" s="1055"/>
      <c r="D54" s="1045"/>
      <c r="E54" s="1055"/>
      <c r="F54" s="1055"/>
      <c r="G54" s="1055"/>
      <c r="H54" s="1055"/>
      <c r="I54" s="1055"/>
      <c r="J54" s="1055"/>
      <c r="K54" s="1055"/>
      <c r="L54" s="1055"/>
      <c r="M54" s="1055"/>
      <c r="N54" s="1055"/>
      <c r="O54" s="1055"/>
      <c r="P54" s="1055"/>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9" workbookViewId="0">
      <selection activeCell="K104" sqref="K104"/>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635" t="s">
        <v>1386</v>
      </c>
      <c r="D1" s="1134">
        <v>2022</v>
      </c>
      <c r="E1" s="1134">
        <v>2023</v>
      </c>
      <c r="F1" s="1134">
        <v>2024</v>
      </c>
      <c r="G1" s="1134">
        <v>2025</v>
      </c>
      <c r="H1" s="1134">
        <v>2026</v>
      </c>
      <c r="I1" s="1134">
        <v>2027</v>
      </c>
      <c r="J1" s="1134">
        <v>2028</v>
      </c>
      <c r="K1" s="1134">
        <v>2029</v>
      </c>
      <c r="L1" s="1134">
        <v>2030</v>
      </c>
      <c r="M1" s="1135">
        <v>2031</v>
      </c>
      <c r="N1" s="1136" t="s">
        <v>1188</v>
      </c>
      <c r="O1" s="1136" t="s">
        <v>1189</v>
      </c>
      <c r="P1" s="1121"/>
      <c r="Q1" s="1121"/>
      <c r="R1" s="1121"/>
      <c r="S1" s="1121"/>
    </row>
    <row r="2" spans="1:19" x14ac:dyDescent="0.35">
      <c r="C2" s="1427" t="s">
        <v>1387</v>
      </c>
      <c r="D2" s="1427"/>
      <c r="E2" s="1427"/>
      <c r="F2" s="1427"/>
      <c r="G2" s="1427"/>
      <c r="H2" s="1427"/>
      <c r="I2" s="1427"/>
      <c r="J2" s="1427"/>
      <c r="K2" s="1427"/>
      <c r="L2" s="1427"/>
      <c r="M2" s="1427"/>
      <c r="N2" s="1427"/>
      <c r="O2" s="1427"/>
      <c r="P2" s="1120"/>
      <c r="Q2" s="1120"/>
      <c r="R2" s="1120"/>
      <c r="S2" s="1120"/>
    </row>
    <row r="3" spans="1:19" x14ac:dyDescent="0.35">
      <c r="A3" s="56" t="s">
        <v>1197</v>
      </c>
      <c r="B3" s="56">
        <v>13601</v>
      </c>
      <c r="C3" s="56" t="s">
        <v>1388</v>
      </c>
      <c r="D3" s="56">
        <v>0</v>
      </c>
      <c r="E3" s="56">
        <v>0</v>
      </c>
      <c r="F3" s="56">
        <v>601</v>
      </c>
      <c r="G3" s="56">
        <v>1038</v>
      </c>
      <c r="H3" s="56">
        <v>1251</v>
      </c>
      <c r="I3" s="56">
        <v>1431</v>
      </c>
      <c r="J3" s="56">
        <v>1492</v>
      </c>
      <c r="K3" s="56">
        <v>1530</v>
      </c>
      <c r="L3" s="56">
        <v>1567</v>
      </c>
      <c r="M3" s="56">
        <v>1606</v>
      </c>
      <c r="N3" s="56">
        <v>2890</v>
      </c>
      <c r="O3" s="56">
        <v>10516</v>
      </c>
      <c r="P3" s="56"/>
      <c r="Q3" s="56"/>
      <c r="R3" s="56"/>
      <c r="S3" s="56"/>
    </row>
    <row r="4" spans="1:19" x14ac:dyDescent="0.35">
      <c r="A4" s="56" t="s">
        <v>1210</v>
      </c>
      <c r="B4" s="56">
        <v>10301</v>
      </c>
      <c r="C4" s="56" t="s">
        <v>1388</v>
      </c>
      <c r="D4" s="56">
        <v>0</v>
      </c>
      <c r="E4" s="56">
        <v>3823</v>
      </c>
      <c r="F4" s="56">
        <v>3380</v>
      </c>
      <c r="G4" s="56">
        <v>4970</v>
      </c>
      <c r="H4" s="56">
        <v>6248</v>
      </c>
      <c r="I4" s="56">
        <v>7996</v>
      </c>
      <c r="J4" s="56">
        <v>10106</v>
      </c>
      <c r="K4" s="56">
        <v>12617</v>
      </c>
      <c r="L4" s="56">
        <v>15072</v>
      </c>
      <c r="M4" s="56">
        <v>15388</v>
      </c>
      <c r="N4" s="56">
        <v>18421</v>
      </c>
      <c r="O4" s="56">
        <v>79600</v>
      </c>
      <c r="P4" s="56"/>
      <c r="Q4" s="56"/>
      <c r="R4" s="56"/>
      <c r="S4" s="56"/>
    </row>
    <row r="5" spans="1:19" x14ac:dyDescent="0.35">
      <c r="A5" s="56" t="s">
        <v>1212</v>
      </c>
      <c r="B5" s="56">
        <v>13802</v>
      </c>
      <c r="C5" s="56" t="s">
        <v>1388</v>
      </c>
      <c r="D5" s="56">
        <v>0</v>
      </c>
      <c r="E5" s="56">
        <v>55</v>
      </c>
      <c r="F5" s="56">
        <v>55</v>
      </c>
      <c r="G5" s="56">
        <v>55</v>
      </c>
      <c r="H5" s="56">
        <v>55</v>
      </c>
      <c r="I5" s="56">
        <v>55</v>
      </c>
      <c r="J5" s="56">
        <v>55</v>
      </c>
      <c r="K5" s="56">
        <v>55</v>
      </c>
      <c r="L5" s="56">
        <v>55</v>
      </c>
      <c r="M5" s="56">
        <v>55</v>
      </c>
      <c r="N5" s="56">
        <v>220</v>
      </c>
      <c r="O5" s="56">
        <v>495</v>
      </c>
      <c r="P5" s="56"/>
      <c r="Q5" s="56"/>
      <c r="R5" s="56"/>
      <c r="S5" s="56"/>
    </row>
    <row r="6" spans="1:19" x14ac:dyDescent="0.35">
      <c r="A6" s="56" t="s">
        <v>1214</v>
      </c>
      <c r="B6" s="56">
        <v>22005</v>
      </c>
      <c r="C6" s="56" t="s">
        <v>1388</v>
      </c>
      <c r="D6" s="56">
        <v>0</v>
      </c>
      <c r="E6" s="56">
        <v>19</v>
      </c>
      <c r="F6" s="56">
        <v>26</v>
      </c>
      <c r="G6" s="56">
        <v>27</v>
      </c>
      <c r="H6" s="56">
        <v>17</v>
      </c>
      <c r="I6" s="56">
        <v>7</v>
      </c>
      <c r="J6" s="56">
        <v>3</v>
      </c>
      <c r="K6" s="56">
        <v>1</v>
      </c>
      <c r="L6" s="56">
        <v>0</v>
      </c>
      <c r="M6" s="56">
        <v>0</v>
      </c>
      <c r="N6" s="56">
        <v>89</v>
      </c>
      <c r="O6" s="56">
        <v>100</v>
      </c>
      <c r="P6" s="56"/>
      <c r="Q6" s="56"/>
      <c r="R6" s="56"/>
      <c r="S6" s="56"/>
    </row>
    <row r="7" spans="1:19" x14ac:dyDescent="0.35">
      <c r="A7" s="56" t="s">
        <v>1200</v>
      </c>
      <c r="B7" s="56">
        <v>23001</v>
      </c>
      <c r="C7" s="56" t="s">
        <v>1388</v>
      </c>
      <c r="D7" s="56">
        <v>0</v>
      </c>
      <c r="E7" s="56">
        <v>35</v>
      </c>
      <c r="F7" s="56">
        <v>125</v>
      </c>
      <c r="G7" s="56">
        <v>170</v>
      </c>
      <c r="H7" s="56">
        <v>375</v>
      </c>
      <c r="I7" s="56">
        <v>470</v>
      </c>
      <c r="J7" s="56">
        <v>415</v>
      </c>
      <c r="K7" s="56">
        <v>280</v>
      </c>
      <c r="L7" s="56">
        <v>217</v>
      </c>
      <c r="M7" s="56">
        <v>58</v>
      </c>
      <c r="N7" s="56">
        <v>705</v>
      </c>
      <c r="O7" s="56">
        <v>2145</v>
      </c>
      <c r="P7" s="56"/>
      <c r="Q7" s="56"/>
      <c r="R7" s="56"/>
      <c r="S7" s="56"/>
    </row>
    <row r="8" spans="1:19" x14ac:dyDescent="0.35">
      <c r="A8" s="56" t="s">
        <v>1216</v>
      </c>
      <c r="B8" s="56">
        <v>23005</v>
      </c>
      <c r="C8" s="56" t="s">
        <v>1388</v>
      </c>
      <c r="D8" s="56">
        <v>0</v>
      </c>
      <c r="E8" s="56">
        <v>15</v>
      </c>
      <c r="F8" s="56">
        <v>15</v>
      </c>
      <c r="G8" s="56">
        <v>15</v>
      </c>
      <c r="H8" s="56">
        <v>10</v>
      </c>
      <c r="I8" s="56">
        <v>10</v>
      </c>
      <c r="J8" s="56">
        <v>10</v>
      </c>
      <c r="K8" s="56">
        <v>10</v>
      </c>
      <c r="L8" s="56">
        <v>10</v>
      </c>
      <c r="M8" s="56">
        <v>5</v>
      </c>
      <c r="N8" s="56">
        <v>55</v>
      </c>
      <c r="O8" s="56">
        <v>100</v>
      </c>
      <c r="P8" s="56"/>
      <c r="Q8" s="56"/>
      <c r="R8" s="56"/>
      <c r="S8" s="56"/>
    </row>
    <row r="9" spans="1:19" x14ac:dyDescent="0.35">
      <c r="A9" s="56" t="s">
        <v>1269</v>
      </c>
      <c r="B9" s="56">
        <v>23003</v>
      </c>
      <c r="C9" s="56" t="s">
        <v>1256</v>
      </c>
      <c r="D9" s="56">
        <v>0</v>
      </c>
      <c r="E9" s="56">
        <v>65</v>
      </c>
      <c r="F9" s="56">
        <v>150</v>
      </c>
      <c r="G9" s="56">
        <v>290</v>
      </c>
      <c r="H9" s="56">
        <v>290</v>
      </c>
      <c r="I9" s="56">
        <v>290</v>
      </c>
      <c r="J9" s="56">
        <v>285</v>
      </c>
      <c r="K9" s="56">
        <v>250</v>
      </c>
      <c r="L9" s="56">
        <v>220</v>
      </c>
      <c r="M9" s="56">
        <v>160</v>
      </c>
      <c r="N9" s="56">
        <v>795</v>
      </c>
      <c r="O9" s="56">
        <v>2000</v>
      </c>
      <c r="P9" s="56"/>
      <c r="Q9" s="56"/>
      <c r="R9" s="56"/>
      <c r="S9" s="56"/>
    </row>
    <row r="10" spans="1:19" x14ac:dyDescent="0.35">
      <c r="A10" s="56" t="s">
        <v>1297</v>
      </c>
      <c r="B10" s="56">
        <v>11102</v>
      </c>
      <c r="C10" s="56" t="s">
        <v>210</v>
      </c>
      <c r="D10" s="56">
        <v>0</v>
      </c>
      <c r="E10" s="56">
        <v>110</v>
      </c>
      <c r="F10" s="56">
        <v>504</v>
      </c>
      <c r="G10" s="56">
        <v>878</v>
      </c>
      <c r="H10" s="56">
        <v>1193</v>
      </c>
      <c r="I10" s="56">
        <v>1596</v>
      </c>
      <c r="J10" s="56">
        <v>2081</v>
      </c>
      <c r="K10" s="56">
        <v>2587</v>
      </c>
      <c r="L10" s="56">
        <v>3117</v>
      </c>
      <c r="M10" s="56">
        <v>3648</v>
      </c>
      <c r="N10" s="56">
        <v>2685</v>
      </c>
      <c r="O10" s="56">
        <v>15714</v>
      </c>
      <c r="P10" s="56"/>
      <c r="Q10" s="56"/>
      <c r="R10" s="56"/>
      <c r="S10" s="56"/>
    </row>
    <row r="11" spans="1:19" x14ac:dyDescent="0.35">
      <c r="A11" s="56" t="s">
        <v>1299</v>
      </c>
      <c r="B11" s="56">
        <v>11405</v>
      </c>
      <c r="C11" s="56" t="s">
        <v>210</v>
      </c>
      <c r="D11" s="56">
        <v>0</v>
      </c>
      <c r="E11" s="56">
        <v>0</v>
      </c>
      <c r="F11" s="56">
        <v>235</v>
      </c>
      <c r="G11" s="56">
        <v>317</v>
      </c>
      <c r="H11" s="56">
        <v>304</v>
      </c>
      <c r="I11" s="56">
        <v>314</v>
      </c>
      <c r="J11" s="56">
        <v>324</v>
      </c>
      <c r="K11" s="56">
        <v>335</v>
      </c>
      <c r="L11" s="56">
        <v>346</v>
      </c>
      <c r="M11" s="56">
        <v>359</v>
      </c>
      <c r="N11" s="56">
        <v>856</v>
      </c>
      <c r="O11" s="56">
        <v>2534</v>
      </c>
      <c r="P11" s="56"/>
      <c r="Q11" s="56"/>
      <c r="R11" s="56"/>
      <c r="S11" s="56"/>
    </row>
    <row r="12" spans="1:19" x14ac:dyDescent="0.35">
      <c r="A12" s="56" t="s">
        <v>1301</v>
      </c>
      <c r="B12" s="56">
        <v>11001</v>
      </c>
      <c r="C12" s="56" t="s">
        <v>211</v>
      </c>
      <c r="D12" s="56">
        <v>0</v>
      </c>
      <c r="E12" s="56">
        <v>0</v>
      </c>
      <c r="F12" s="56">
        <v>0</v>
      </c>
      <c r="G12" s="56">
        <v>0</v>
      </c>
      <c r="H12" s="56">
        <v>-3728</v>
      </c>
      <c r="I12" s="56">
        <v>-8317</v>
      </c>
      <c r="J12" s="56">
        <v>-17535</v>
      </c>
      <c r="K12" s="56">
        <v>-21009</v>
      </c>
      <c r="L12" s="56">
        <v>-23416</v>
      </c>
      <c r="M12" s="56">
        <v>-24516</v>
      </c>
      <c r="N12" s="56">
        <v>-3728</v>
      </c>
      <c r="O12" s="56">
        <v>-98521</v>
      </c>
      <c r="P12" s="56"/>
      <c r="Q12" s="56"/>
      <c r="R12" s="56"/>
      <c r="S12" s="56"/>
    </row>
    <row r="13" spans="1:19" x14ac:dyDescent="0.35">
      <c r="A13" s="56">
        <v>0</v>
      </c>
      <c r="B13" s="56">
        <v>11004</v>
      </c>
      <c r="C13" s="56" t="s">
        <v>211</v>
      </c>
      <c r="D13" s="56">
        <v>0</v>
      </c>
      <c r="E13" s="56">
        <v>333</v>
      </c>
      <c r="F13" s="56">
        <v>314</v>
      </c>
      <c r="G13" s="56">
        <v>314</v>
      </c>
      <c r="H13" s="56">
        <v>314</v>
      </c>
      <c r="I13" s="56">
        <v>314</v>
      </c>
      <c r="J13" s="56">
        <v>314</v>
      </c>
      <c r="K13" s="56">
        <v>314</v>
      </c>
      <c r="L13" s="56">
        <v>314</v>
      </c>
      <c r="M13" s="56">
        <v>314</v>
      </c>
      <c r="N13" s="56">
        <v>1275</v>
      </c>
      <c r="O13" s="56">
        <v>2845</v>
      </c>
      <c r="P13" s="56"/>
      <c r="Q13" s="56"/>
      <c r="R13" s="56"/>
      <c r="S13" s="56"/>
    </row>
    <row r="14" spans="1:19" x14ac:dyDescent="0.35">
      <c r="A14" s="56" t="s">
        <v>1297</v>
      </c>
      <c r="B14" s="56">
        <v>11102</v>
      </c>
      <c r="C14" s="56" t="s">
        <v>211</v>
      </c>
      <c r="D14" s="56">
        <v>0</v>
      </c>
      <c r="E14" s="56">
        <v>-719</v>
      </c>
      <c r="F14" s="56">
        <v>-1051</v>
      </c>
      <c r="G14" s="56">
        <v>-18680</v>
      </c>
      <c r="H14" s="56">
        <v>-7174</v>
      </c>
      <c r="I14" s="56">
        <v>-7523</v>
      </c>
      <c r="J14" s="56">
        <v>-7820</v>
      </c>
      <c r="K14" s="56">
        <v>-8529</v>
      </c>
      <c r="L14" s="56">
        <v>-9564</v>
      </c>
      <c r="M14" s="56">
        <v>-10720</v>
      </c>
      <c r="N14" s="56">
        <v>-27624</v>
      </c>
      <c r="O14" s="56">
        <v>-71780</v>
      </c>
      <c r="P14" s="56"/>
      <c r="Q14" s="56"/>
      <c r="R14" s="56"/>
      <c r="S14" s="56"/>
    </row>
    <row r="15" spans="1:19" x14ac:dyDescent="0.35">
      <c r="A15" s="56">
        <v>0</v>
      </c>
      <c r="B15" s="56">
        <v>11102</v>
      </c>
      <c r="C15" s="56" t="s">
        <v>211</v>
      </c>
      <c r="D15" s="56">
        <v>0</v>
      </c>
      <c r="E15" s="56">
        <v>-23</v>
      </c>
      <c r="F15" s="56">
        <v>-60</v>
      </c>
      <c r="G15" s="56">
        <v>-61</v>
      </c>
      <c r="H15" s="56">
        <v>-43</v>
      </c>
      <c r="I15" s="56">
        <v>-30</v>
      </c>
      <c r="J15" s="56">
        <v>-34</v>
      </c>
      <c r="K15" s="56">
        <v>-26</v>
      </c>
      <c r="L15" s="56">
        <v>-3</v>
      </c>
      <c r="M15" s="56">
        <v>7</v>
      </c>
      <c r="N15" s="56">
        <v>-187</v>
      </c>
      <c r="O15" s="56">
        <v>-273</v>
      </c>
      <c r="P15" s="56"/>
      <c r="Q15" s="56"/>
      <c r="R15" s="56"/>
      <c r="S15" s="56"/>
    </row>
    <row r="16" spans="1:19" x14ac:dyDescent="0.35">
      <c r="A16" s="56" t="s">
        <v>1304</v>
      </c>
      <c r="B16" s="56">
        <v>11201</v>
      </c>
      <c r="C16" s="56" t="s">
        <v>211</v>
      </c>
      <c r="D16" s="56">
        <v>0</v>
      </c>
      <c r="E16" s="56">
        <v>48</v>
      </c>
      <c r="F16" s="56">
        <v>2541</v>
      </c>
      <c r="G16" s="56">
        <v>4311</v>
      </c>
      <c r="H16" s="56">
        <v>3827</v>
      </c>
      <c r="I16" s="56">
        <v>4927</v>
      </c>
      <c r="J16" s="56">
        <v>5162</v>
      </c>
      <c r="K16" s="56">
        <v>4780</v>
      </c>
      <c r="L16" s="56">
        <v>2375</v>
      </c>
      <c r="M16" s="56">
        <v>1866</v>
      </c>
      <c r="N16" s="56">
        <v>10727</v>
      </c>
      <c r="O16" s="56">
        <v>29837</v>
      </c>
      <c r="P16" s="56"/>
      <c r="Q16" s="56"/>
      <c r="R16" s="56"/>
      <c r="S16" s="56"/>
    </row>
    <row r="17" spans="1:19" x14ac:dyDescent="0.35">
      <c r="A17" s="56" t="s">
        <v>1389</v>
      </c>
      <c r="B17" s="56">
        <v>11202</v>
      </c>
      <c r="C17" s="56" t="s">
        <v>211</v>
      </c>
      <c r="D17" s="56">
        <v>0</v>
      </c>
      <c r="E17" s="56">
        <v>5</v>
      </c>
      <c r="F17" s="56">
        <v>3</v>
      </c>
      <c r="G17" s="56">
        <v>17</v>
      </c>
      <c r="H17" s="56">
        <v>15</v>
      </c>
      <c r="I17" s="56">
        <v>15</v>
      </c>
      <c r="J17" s="56">
        <v>20</v>
      </c>
      <c r="K17" s="56">
        <v>15</v>
      </c>
      <c r="L17" s="56">
        <v>15</v>
      </c>
      <c r="M17" s="56">
        <v>20</v>
      </c>
      <c r="N17" s="56">
        <v>40</v>
      </c>
      <c r="O17" s="56">
        <v>125</v>
      </c>
      <c r="P17" s="56"/>
      <c r="Q17" s="56"/>
      <c r="R17" s="56"/>
      <c r="S17" s="56"/>
    </row>
    <row r="18" spans="1:19" x14ac:dyDescent="0.35">
      <c r="A18" s="56" t="s">
        <v>1306</v>
      </c>
      <c r="B18" s="56">
        <v>11301</v>
      </c>
      <c r="C18" s="56" t="s">
        <v>211</v>
      </c>
      <c r="D18" s="56">
        <v>0</v>
      </c>
      <c r="E18" s="56">
        <v>0</v>
      </c>
      <c r="F18" s="56">
        <v>0</v>
      </c>
      <c r="G18" s="56">
        <v>0</v>
      </c>
      <c r="H18" s="56">
        <v>0</v>
      </c>
      <c r="I18" s="56">
        <v>-16290</v>
      </c>
      <c r="J18" s="56">
        <v>-25656</v>
      </c>
      <c r="K18" s="56">
        <v>-23394</v>
      </c>
      <c r="L18" s="56">
        <v>-27561</v>
      </c>
      <c r="M18" s="56">
        <v>-29250</v>
      </c>
      <c r="N18" s="56">
        <v>0</v>
      </c>
      <c r="O18" s="56">
        <v>-122151</v>
      </c>
      <c r="P18" s="56"/>
      <c r="Q18" s="56"/>
      <c r="R18" s="56"/>
      <c r="S18" s="56"/>
    </row>
    <row r="19" spans="1:19" x14ac:dyDescent="0.35">
      <c r="A19" s="56" t="s">
        <v>1308</v>
      </c>
      <c r="B19" s="56">
        <v>11401</v>
      </c>
      <c r="C19" s="56" t="s">
        <v>211</v>
      </c>
      <c r="D19" s="56">
        <v>0</v>
      </c>
      <c r="E19" s="56">
        <v>-69</v>
      </c>
      <c r="F19" s="56">
        <v>301</v>
      </c>
      <c r="G19" s="56">
        <v>863</v>
      </c>
      <c r="H19" s="56">
        <v>579</v>
      </c>
      <c r="I19" s="56">
        <v>466</v>
      </c>
      <c r="J19" s="56">
        <v>551</v>
      </c>
      <c r="K19" s="56">
        <v>503</v>
      </c>
      <c r="L19" s="56">
        <v>593</v>
      </c>
      <c r="M19" s="56">
        <v>632</v>
      </c>
      <c r="N19" s="56">
        <v>1674</v>
      </c>
      <c r="O19" s="56">
        <v>4419</v>
      </c>
      <c r="P19" s="56"/>
      <c r="Q19" s="56"/>
      <c r="R19" s="56"/>
      <c r="S19" s="56"/>
    </row>
    <row r="20" spans="1:19" x14ac:dyDescent="0.35">
      <c r="A20" s="56">
        <v>0</v>
      </c>
      <c r="B20" s="56">
        <v>11402</v>
      </c>
      <c r="C20" s="56" t="s">
        <v>211</v>
      </c>
      <c r="D20" s="56">
        <v>0</v>
      </c>
      <c r="E20" s="56">
        <v>-1</v>
      </c>
      <c r="F20" s="56">
        <v>-1</v>
      </c>
      <c r="G20" s="56">
        <v>-1</v>
      </c>
      <c r="H20" s="56">
        <v>-2</v>
      </c>
      <c r="I20" s="56">
        <v>-2</v>
      </c>
      <c r="J20" s="56">
        <v>-2</v>
      </c>
      <c r="K20" s="56">
        <v>-2</v>
      </c>
      <c r="L20" s="56">
        <v>-2</v>
      </c>
      <c r="M20" s="56">
        <v>-2</v>
      </c>
      <c r="N20" s="56">
        <v>-5</v>
      </c>
      <c r="O20" s="56">
        <v>-15</v>
      </c>
      <c r="P20" s="56"/>
      <c r="Q20" s="56"/>
      <c r="R20" s="56"/>
      <c r="S20" s="56"/>
    </row>
    <row r="21" spans="1:19" x14ac:dyDescent="0.35">
      <c r="A21" s="56">
        <v>0</v>
      </c>
      <c r="B21" s="56">
        <v>11403</v>
      </c>
      <c r="C21" s="56" t="s">
        <v>211</v>
      </c>
      <c r="D21" s="56">
        <v>0</v>
      </c>
      <c r="E21" s="56">
        <v>0</v>
      </c>
      <c r="F21" s="56">
        <v>0</v>
      </c>
      <c r="G21" s="56">
        <v>0</v>
      </c>
      <c r="H21" s="56">
        <v>0</v>
      </c>
      <c r="I21" s="56">
        <v>0</v>
      </c>
      <c r="J21" s="56">
        <v>0</v>
      </c>
      <c r="K21" s="56">
        <v>0</v>
      </c>
      <c r="L21" s="56">
        <v>0</v>
      </c>
      <c r="M21" s="56">
        <v>0</v>
      </c>
      <c r="N21" s="56">
        <v>0</v>
      </c>
      <c r="O21" s="56">
        <v>0</v>
      </c>
      <c r="P21" s="56"/>
      <c r="Q21" s="56"/>
      <c r="R21" s="56"/>
      <c r="S21" s="56"/>
    </row>
    <row r="22" spans="1:19" x14ac:dyDescent="0.35">
      <c r="A22" s="56">
        <v>0</v>
      </c>
      <c r="B22" s="56">
        <v>11406</v>
      </c>
      <c r="C22" s="56" t="s">
        <v>211</v>
      </c>
      <c r="D22" s="56">
        <v>0</v>
      </c>
      <c r="E22" s="56">
        <v>1</v>
      </c>
      <c r="F22" s="56">
        <v>501</v>
      </c>
      <c r="G22" s="56">
        <v>506</v>
      </c>
      <c r="H22" s="56">
        <v>561</v>
      </c>
      <c r="I22" s="56">
        <v>628</v>
      </c>
      <c r="J22" s="56">
        <v>681</v>
      </c>
      <c r="K22" s="56">
        <v>608</v>
      </c>
      <c r="L22" s="56">
        <v>659</v>
      </c>
      <c r="M22" s="56">
        <v>684</v>
      </c>
      <c r="N22" s="56">
        <v>1569</v>
      </c>
      <c r="O22" s="56">
        <v>4829</v>
      </c>
      <c r="P22" s="56"/>
      <c r="Q22" s="56"/>
      <c r="R22" s="56"/>
      <c r="S22" s="56"/>
    </row>
    <row r="23" spans="1:19" x14ac:dyDescent="0.35">
      <c r="A23" s="56">
        <v>0</v>
      </c>
      <c r="B23" s="56">
        <v>11407</v>
      </c>
      <c r="C23" s="56" t="s">
        <v>211</v>
      </c>
      <c r="D23" s="56">
        <v>0</v>
      </c>
      <c r="E23" s="56">
        <v>10</v>
      </c>
      <c r="F23" s="56">
        <v>25</v>
      </c>
      <c r="G23" s="56">
        <v>28</v>
      </c>
      <c r="H23" s="56">
        <v>29</v>
      </c>
      <c r="I23" s="56">
        <v>31</v>
      </c>
      <c r="J23" s="56">
        <v>33</v>
      </c>
      <c r="K23" s="56">
        <v>33</v>
      </c>
      <c r="L23" s="56">
        <v>35</v>
      </c>
      <c r="M23" s="56">
        <v>37</v>
      </c>
      <c r="N23" s="56">
        <v>92</v>
      </c>
      <c r="O23" s="56">
        <v>261</v>
      </c>
      <c r="P23" s="56"/>
      <c r="Q23" s="56"/>
      <c r="R23" s="56"/>
      <c r="S23" s="56"/>
    </row>
    <row r="24" spans="1:19" x14ac:dyDescent="0.35">
      <c r="A24" s="56">
        <v>0</v>
      </c>
      <c r="B24" s="56">
        <v>11408</v>
      </c>
      <c r="C24" s="56" t="s">
        <v>211</v>
      </c>
      <c r="D24" s="56">
        <v>0</v>
      </c>
      <c r="E24" s="56">
        <v>0</v>
      </c>
      <c r="F24" s="56">
        <v>0</v>
      </c>
      <c r="G24" s="56">
        <v>0</v>
      </c>
      <c r="H24" s="56">
        <v>0</v>
      </c>
      <c r="I24" s="56">
        <v>0</v>
      </c>
      <c r="J24" s="56">
        <v>0</v>
      </c>
      <c r="K24" s="56">
        <v>0</v>
      </c>
      <c r="L24" s="56">
        <v>0</v>
      </c>
      <c r="M24" s="56">
        <v>0</v>
      </c>
      <c r="N24" s="56">
        <v>0</v>
      </c>
      <c r="O24" s="56">
        <v>0</v>
      </c>
      <c r="P24" s="56"/>
      <c r="Q24" s="56"/>
      <c r="R24" s="56"/>
      <c r="S24" s="56"/>
    </row>
    <row r="25" spans="1:19" x14ac:dyDescent="0.35">
      <c r="A25" s="56" t="s">
        <v>1310</v>
      </c>
      <c r="B25" s="56">
        <v>11404</v>
      </c>
      <c r="C25" s="56" t="s">
        <v>211</v>
      </c>
      <c r="D25" s="56">
        <v>0</v>
      </c>
      <c r="E25" s="56">
        <v>0</v>
      </c>
      <c r="F25" s="56">
        <v>195</v>
      </c>
      <c r="G25" s="56">
        <v>230</v>
      </c>
      <c r="H25" s="56">
        <v>248</v>
      </c>
      <c r="I25" s="56">
        <v>266</v>
      </c>
      <c r="J25" s="56">
        <v>311</v>
      </c>
      <c r="K25" s="56">
        <v>281</v>
      </c>
      <c r="L25" s="56">
        <v>327</v>
      </c>
      <c r="M25" s="56">
        <v>347</v>
      </c>
      <c r="N25" s="56">
        <v>673</v>
      </c>
      <c r="O25" s="56">
        <v>2205</v>
      </c>
      <c r="P25" s="56"/>
      <c r="Q25" s="56"/>
      <c r="R25" s="56"/>
      <c r="S25" s="56"/>
    </row>
    <row r="26" spans="1:19" x14ac:dyDescent="0.35">
      <c r="A26" s="56" t="s">
        <v>1322</v>
      </c>
      <c r="B26" s="56">
        <v>12001</v>
      </c>
      <c r="C26" s="56" t="s">
        <v>1390</v>
      </c>
      <c r="D26" s="56">
        <v>0</v>
      </c>
      <c r="E26" s="56">
        <v>20892</v>
      </c>
      <c r="F26" s="56">
        <v>11288</v>
      </c>
      <c r="G26" s="56">
        <v>9651</v>
      </c>
      <c r="H26" s="56">
        <v>-8548</v>
      </c>
      <c r="I26" s="56">
        <v>-463</v>
      </c>
      <c r="J26" s="56">
        <v>0</v>
      </c>
      <c r="K26" s="56">
        <v>0</v>
      </c>
      <c r="L26" s="56">
        <v>0</v>
      </c>
      <c r="M26" s="56">
        <v>0</v>
      </c>
      <c r="N26" s="56">
        <v>33283</v>
      </c>
      <c r="O26" s="56">
        <v>32820</v>
      </c>
      <c r="P26" s="56"/>
      <c r="Q26" s="56"/>
      <c r="R26" s="56"/>
      <c r="S26" s="56"/>
    </row>
    <row r="27" spans="1:19" x14ac:dyDescent="0.35">
      <c r="A27" s="56" t="s">
        <v>1324</v>
      </c>
      <c r="B27" s="56">
        <v>22003</v>
      </c>
      <c r="C27" s="56" t="s">
        <v>1390</v>
      </c>
      <c r="D27" s="56">
        <v>0</v>
      </c>
      <c r="E27" s="56">
        <v>24</v>
      </c>
      <c r="F27" s="56">
        <v>65</v>
      </c>
      <c r="G27" s="56">
        <v>112</v>
      </c>
      <c r="H27" s="56">
        <v>130</v>
      </c>
      <c r="I27" s="56">
        <v>98</v>
      </c>
      <c r="J27" s="56">
        <v>56</v>
      </c>
      <c r="K27" s="56">
        <v>15</v>
      </c>
      <c r="L27" s="56">
        <v>0</v>
      </c>
      <c r="M27" s="56">
        <v>0</v>
      </c>
      <c r="N27" s="56">
        <v>331</v>
      </c>
      <c r="O27" s="56">
        <v>500</v>
      </c>
      <c r="P27" s="56"/>
      <c r="Q27" s="56"/>
      <c r="R27" s="56"/>
      <c r="S27" s="56"/>
    </row>
    <row r="28" spans="1:19" x14ac:dyDescent="0.35">
      <c r="A28" s="56" t="s">
        <v>1326</v>
      </c>
      <c r="B28" s="56">
        <v>22004</v>
      </c>
      <c r="C28" s="56" t="s">
        <v>1390</v>
      </c>
      <c r="D28" s="56">
        <v>0</v>
      </c>
      <c r="E28" s="56">
        <v>50</v>
      </c>
      <c r="F28" s="56">
        <v>500</v>
      </c>
      <c r="G28" s="56">
        <v>920</v>
      </c>
      <c r="H28" s="56">
        <v>1310</v>
      </c>
      <c r="I28" s="56">
        <v>1680</v>
      </c>
      <c r="J28" s="56">
        <v>1780</v>
      </c>
      <c r="K28" s="56">
        <v>1640</v>
      </c>
      <c r="L28" s="56">
        <v>1090</v>
      </c>
      <c r="M28" s="56">
        <v>630</v>
      </c>
      <c r="N28" s="56">
        <v>2780</v>
      </c>
      <c r="O28" s="56">
        <v>9600</v>
      </c>
      <c r="P28" s="56"/>
      <c r="Q28" s="56"/>
      <c r="R28" s="56"/>
      <c r="S28" s="56"/>
    </row>
    <row r="29" spans="1:19" ht="45" customHeight="1" x14ac:dyDescent="0.35">
      <c r="A29" s="14" t="s">
        <v>1391</v>
      </c>
      <c r="B29" s="56">
        <v>22007</v>
      </c>
      <c r="C29" s="56" t="s">
        <v>1390</v>
      </c>
      <c r="D29" s="56">
        <v>-622</v>
      </c>
      <c r="E29" s="56">
        <v>80</v>
      </c>
      <c r="F29" s="56">
        <v>248</v>
      </c>
      <c r="G29" s="56">
        <v>266</v>
      </c>
      <c r="H29" s="56">
        <v>363</v>
      </c>
      <c r="I29" s="56">
        <v>464</v>
      </c>
      <c r="J29" s="56">
        <v>451</v>
      </c>
      <c r="K29" s="56">
        <v>336</v>
      </c>
      <c r="L29" s="56">
        <v>226</v>
      </c>
      <c r="M29" s="56">
        <v>117</v>
      </c>
      <c r="N29" s="56">
        <v>335</v>
      </c>
      <c r="O29" s="56">
        <v>1929</v>
      </c>
      <c r="P29" s="56"/>
      <c r="Q29" s="56"/>
      <c r="R29" s="56"/>
      <c r="S29" s="56"/>
    </row>
    <row r="30" spans="1:19" x14ac:dyDescent="0.35">
      <c r="A30" s="56" t="s">
        <v>1328</v>
      </c>
      <c r="B30" s="56">
        <v>23002</v>
      </c>
      <c r="C30" s="56" t="s">
        <v>1390</v>
      </c>
      <c r="D30" s="56">
        <v>0</v>
      </c>
      <c r="E30" s="56">
        <v>30</v>
      </c>
      <c r="F30" s="56">
        <v>90</v>
      </c>
      <c r="G30" s="56">
        <v>90</v>
      </c>
      <c r="H30" s="56">
        <v>85</v>
      </c>
      <c r="I30" s="56">
        <v>70</v>
      </c>
      <c r="J30" s="56">
        <v>65</v>
      </c>
      <c r="K30" s="56">
        <v>65</v>
      </c>
      <c r="L30" s="56">
        <v>35</v>
      </c>
      <c r="M30" s="56">
        <v>15</v>
      </c>
      <c r="N30" s="56">
        <v>295</v>
      </c>
      <c r="O30" s="56">
        <v>545</v>
      </c>
      <c r="P30" s="56"/>
      <c r="Q30" s="56"/>
      <c r="R30" s="56"/>
      <c r="S30" s="56"/>
    </row>
    <row r="31" spans="1:19" x14ac:dyDescent="0.35">
      <c r="A31" s="56" t="s">
        <v>1319</v>
      </c>
      <c r="B31" s="56">
        <v>30002</v>
      </c>
      <c r="C31" s="56" t="s">
        <v>1390</v>
      </c>
      <c r="D31" s="56">
        <v>0</v>
      </c>
      <c r="E31" s="56">
        <v>20</v>
      </c>
      <c r="F31" s="56">
        <v>65</v>
      </c>
      <c r="G31" s="56">
        <v>110</v>
      </c>
      <c r="H31" s="56">
        <v>135</v>
      </c>
      <c r="I31" s="56">
        <v>180</v>
      </c>
      <c r="J31" s="56">
        <v>230</v>
      </c>
      <c r="K31" s="56">
        <v>180</v>
      </c>
      <c r="L31" s="56">
        <v>60</v>
      </c>
      <c r="M31" s="56">
        <v>10</v>
      </c>
      <c r="N31" s="56">
        <v>330</v>
      </c>
      <c r="O31" s="56">
        <v>990</v>
      </c>
      <c r="P31" s="56"/>
      <c r="Q31" s="56"/>
      <c r="R31" s="56"/>
      <c r="S31" s="56"/>
    </row>
    <row r="32" spans="1:19" x14ac:dyDescent="0.35">
      <c r="A32" s="56" t="s">
        <v>1392</v>
      </c>
      <c r="B32" s="56">
        <v>13104</v>
      </c>
      <c r="C32" s="56" t="s">
        <v>1393</v>
      </c>
      <c r="D32" s="56">
        <v>0</v>
      </c>
      <c r="E32" s="56">
        <v>20</v>
      </c>
      <c r="F32" s="56">
        <v>145</v>
      </c>
      <c r="G32" s="56">
        <v>225</v>
      </c>
      <c r="H32" s="56">
        <v>238</v>
      </c>
      <c r="I32" s="56">
        <v>222</v>
      </c>
      <c r="J32" s="56">
        <v>206</v>
      </c>
      <c r="K32" s="56">
        <v>186</v>
      </c>
      <c r="L32" s="56">
        <v>165</v>
      </c>
      <c r="M32" s="56">
        <v>142</v>
      </c>
      <c r="N32" s="56">
        <v>628</v>
      </c>
      <c r="O32" s="56">
        <v>1550</v>
      </c>
      <c r="P32" s="56"/>
      <c r="Q32" s="56"/>
      <c r="R32" s="56"/>
      <c r="S32" s="56"/>
    </row>
    <row r="33" spans="1:19" x14ac:dyDescent="0.35">
      <c r="A33" s="56" t="s">
        <v>1394</v>
      </c>
      <c r="B33" s="56">
        <v>13105</v>
      </c>
      <c r="C33" s="56" t="s">
        <v>1393</v>
      </c>
      <c r="D33" s="56">
        <v>0</v>
      </c>
      <c r="E33" s="56">
        <v>0</v>
      </c>
      <c r="F33" s="56">
        <v>1050</v>
      </c>
      <c r="G33" s="56">
        <v>1692</v>
      </c>
      <c r="H33" s="56">
        <v>1781</v>
      </c>
      <c r="I33" s="56">
        <v>1842</v>
      </c>
      <c r="J33" s="56">
        <v>1901</v>
      </c>
      <c r="K33" s="56">
        <v>1944</v>
      </c>
      <c r="L33" s="56">
        <v>2054</v>
      </c>
      <c r="M33" s="56">
        <v>2137</v>
      </c>
      <c r="N33" s="56">
        <v>4522</v>
      </c>
      <c r="O33" s="56">
        <v>14401</v>
      </c>
      <c r="P33" s="56"/>
      <c r="Q33" s="56"/>
      <c r="R33" s="56"/>
      <c r="S33" s="56"/>
    </row>
    <row r="34" spans="1:19" x14ac:dyDescent="0.35">
      <c r="A34" s="56" t="s">
        <v>1356</v>
      </c>
      <c r="B34" s="56">
        <v>13204</v>
      </c>
      <c r="C34" s="56" t="s">
        <v>1393</v>
      </c>
      <c r="D34" s="56">
        <v>0</v>
      </c>
      <c r="E34" s="56">
        <v>59</v>
      </c>
      <c r="F34" s="56">
        <v>149</v>
      </c>
      <c r="G34" s="56">
        <v>244</v>
      </c>
      <c r="H34" s="56">
        <v>364</v>
      </c>
      <c r="I34" s="56">
        <v>498</v>
      </c>
      <c r="J34" s="56">
        <v>657</v>
      </c>
      <c r="K34" s="56">
        <v>851</v>
      </c>
      <c r="L34" s="56">
        <v>1086</v>
      </c>
      <c r="M34" s="56">
        <v>1410</v>
      </c>
      <c r="N34" s="56">
        <v>815</v>
      </c>
      <c r="O34" s="56">
        <v>5317</v>
      </c>
      <c r="P34" s="56"/>
      <c r="Q34" s="56"/>
      <c r="R34" s="56"/>
      <c r="S34" s="56"/>
    </row>
    <row r="35" spans="1:19" x14ac:dyDescent="0.35">
      <c r="A35" s="56" t="s">
        <v>1395</v>
      </c>
      <c r="B35" s="56">
        <v>13502</v>
      </c>
      <c r="C35" s="56" t="s">
        <v>1393</v>
      </c>
      <c r="D35" s="56">
        <v>0</v>
      </c>
      <c r="E35" s="56">
        <v>842</v>
      </c>
      <c r="F35" s="56">
        <v>1201</v>
      </c>
      <c r="G35" s="56">
        <v>1291</v>
      </c>
      <c r="H35" s="56">
        <v>1519</v>
      </c>
      <c r="I35" s="56">
        <v>1710</v>
      </c>
      <c r="J35" s="56">
        <v>1890</v>
      </c>
      <c r="K35" s="56">
        <v>2176</v>
      </c>
      <c r="L35" s="56">
        <v>2189</v>
      </c>
      <c r="M35" s="56">
        <v>1882</v>
      </c>
      <c r="N35" s="56">
        <v>4853</v>
      </c>
      <c r="O35" s="56">
        <v>14699</v>
      </c>
      <c r="P35" s="56"/>
      <c r="Q35" s="56"/>
      <c r="R35" s="56"/>
      <c r="S35" s="56"/>
    </row>
    <row r="36" spans="1:19" x14ac:dyDescent="0.35">
      <c r="A36" s="56" t="s">
        <v>1396</v>
      </c>
      <c r="B36" s="56">
        <v>13701</v>
      </c>
      <c r="C36" s="56" t="s">
        <v>1393</v>
      </c>
      <c r="D36" s="56">
        <v>0</v>
      </c>
      <c r="E36" s="56">
        <v>1</v>
      </c>
      <c r="F36" s="56">
        <v>1</v>
      </c>
      <c r="G36" s="56">
        <v>2</v>
      </c>
      <c r="H36" s="56">
        <v>2</v>
      </c>
      <c r="I36" s="56">
        <v>3</v>
      </c>
      <c r="J36" s="56">
        <v>3</v>
      </c>
      <c r="K36" s="56">
        <v>4</v>
      </c>
      <c r="L36" s="56">
        <v>5</v>
      </c>
      <c r="M36" s="56">
        <v>6</v>
      </c>
      <c r="N36" s="56">
        <v>6</v>
      </c>
      <c r="O36" s="56">
        <v>26</v>
      </c>
      <c r="P36" s="56"/>
      <c r="Q36" s="56"/>
      <c r="R36" s="56"/>
      <c r="S36" s="56"/>
    </row>
    <row r="37" spans="1:19" x14ac:dyDescent="0.35">
      <c r="A37" s="56" t="s">
        <v>1338</v>
      </c>
      <c r="B37" s="56">
        <v>21001</v>
      </c>
      <c r="C37" s="56" t="s">
        <v>1393</v>
      </c>
      <c r="D37" s="56">
        <v>0</v>
      </c>
      <c r="E37" s="56">
        <v>178</v>
      </c>
      <c r="F37" s="56">
        <v>716</v>
      </c>
      <c r="G37" s="56">
        <v>1268</v>
      </c>
      <c r="H37" s="56">
        <v>2150</v>
      </c>
      <c r="I37" s="56">
        <v>3000</v>
      </c>
      <c r="J37" s="56">
        <v>2906</v>
      </c>
      <c r="K37" s="56">
        <v>2533</v>
      </c>
      <c r="L37" s="56">
        <v>1750</v>
      </c>
      <c r="M37" s="56">
        <v>807</v>
      </c>
      <c r="N37" s="56">
        <v>4312</v>
      </c>
      <c r="O37" s="56">
        <v>15308</v>
      </c>
      <c r="P37" s="56"/>
      <c r="Q37" s="56"/>
      <c r="R37" s="56"/>
      <c r="S37" s="56"/>
    </row>
    <row r="38" spans="1:19" x14ac:dyDescent="0.35">
      <c r="A38" s="56">
        <v>0</v>
      </c>
      <c r="B38" s="56">
        <v>21002</v>
      </c>
      <c r="C38" s="56" t="s">
        <v>1393</v>
      </c>
      <c r="D38" s="56">
        <v>0</v>
      </c>
      <c r="E38" s="56">
        <v>86</v>
      </c>
      <c r="F38" s="56">
        <v>95</v>
      </c>
      <c r="G38" s="56">
        <v>125</v>
      </c>
      <c r="H38" s="56">
        <v>225</v>
      </c>
      <c r="I38" s="56">
        <v>225</v>
      </c>
      <c r="J38" s="56">
        <v>245</v>
      </c>
      <c r="K38" s="56">
        <v>240</v>
      </c>
      <c r="L38" s="56">
        <v>109</v>
      </c>
      <c r="M38" s="56">
        <v>50</v>
      </c>
      <c r="N38" s="56">
        <v>531</v>
      </c>
      <c r="O38" s="56">
        <v>1400</v>
      </c>
      <c r="P38" s="56"/>
      <c r="Q38" s="56"/>
      <c r="R38" s="56"/>
      <c r="S38" s="56"/>
    </row>
    <row r="39" spans="1:19" x14ac:dyDescent="0.35">
      <c r="A39" s="56" t="s">
        <v>1350</v>
      </c>
      <c r="B39" s="56">
        <v>22002</v>
      </c>
      <c r="C39" s="56" t="s">
        <v>1393</v>
      </c>
      <c r="D39" s="56">
        <v>0</v>
      </c>
      <c r="E39" s="56">
        <v>5</v>
      </c>
      <c r="F39" s="56">
        <v>41</v>
      </c>
      <c r="G39" s="56">
        <v>116</v>
      </c>
      <c r="H39" s="56">
        <v>284</v>
      </c>
      <c r="I39" s="56">
        <v>417</v>
      </c>
      <c r="J39" s="56">
        <v>459</v>
      </c>
      <c r="K39" s="56">
        <v>355</v>
      </c>
      <c r="L39" s="56">
        <v>210</v>
      </c>
      <c r="M39" s="56">
        <v>90</v>
      </c>
      <c r="N39" s="56">
        <v>446</v>
      </c>
      <c r="O39" s="56">
        <v>1977</v>
      </c>
      <c r="P39" s="56"/>
      <c r="Q39" s="56"/>
      <c r="R39" s="56"/>
      <c r="S39" s="56"/>
    </row>
    <row r="40" spans="1:19" x14ac:dyDescent="0.35">
      <c r="A40" s="56" t="s">
        <v>1366</v>
      </c>
      <c r="B40" s="56">
        <v>30001</v>
      </c>
      <c r="C40" s="56" t="s">
        <v>1393</v>
      </c>
      <c r="D40" s="56">
        <v>0</v>
      </c>
      <c r="E40" s="56">
        <v>25</v>
      </c>
      <c r="F40" s="56">
        <v>100</v>
      </c>
      <c r="G40" s="56">
        <v>125</v>
      </c>
      <c r="H40" s="56">
        <v>100</v>
      </c>
      <c r="I40" s="56">
        <v>75</v>
      </c>
      <c r="J40" s="56">
        <v>30</v>
      </c>
      <c r="K40" s="56">
        <v>20</v>
      </c>
      <c r="L40" s="56">
        <v>0</v>
      </c>
      <c r="M40" s="56">
        <v>0</v>
      </c>
      <c r="N40" s="56">
        <v>350</v>
      </c>
      <c r="O40" s="56">
        <v>475</v>
      </c>
      <c r="P40" s="56"/>
      <c r="Q40" s="56"/>
      <c r="R40" s="56"/>
      <c r="S40" s="56"/>
    </row>
    <row r="42" spans="1:19" x14ac:dyDescent="0.35">
      <c r="C42" s="1428" t="s">
        <v>1397</v>
      </c>
      <c r="D42" s="1428"/>
      <c r="E42" s="1428"/>
      <c r="F42" s="1428"/>
      <c r="G42" s="1428"/>
      <c r="H42" s="1428"/>
      <c r="I42" s="1428"/>
      <c r="J42" s="1428"/>
      <c r="K42" s="1428"/>
      <c r="L42" s="1428"/>
      <c r="M42" s="1428"/>
      <c r="N42" s="1428"/>
      <c r="O42" s="1428"/>
      <c r="P42" s="1120"/>
      <c r="Q42" s="1120"/>
      <c r="R42" s="1120"/>
      <c r="S42" s="1120"/>
    </row>
    <row r="43" spans="1:19" x14ac:dyDescent="0.35">
      <c r="A43" s="56" t="s">
        <v>1398</v>
      </c>
      <c r="B43" s="56">
        <v>10101</v>
      </c>
      <c r="C43" s="56" t="s">
        <v>1399</v>
      </c>
      <c r="D43" s="56">
        <v>0</v>
      </c>
      <c r="E43" s="56">
        <v>34679</v>
      </c>
      <c r="F43" s="56">
        <v>34258</v>
      </c>
      <c r="G43" s="56">
        <v>22039</v>
      </c>
      <c r="H43" s="56">
        <v>17702</v>
      </c>
      <c r="I43" s="56">
        <v>18699</v>
      </c>
      <c r="J43" s="56">
        <v>20798</v>
      </c>
      <c r="K43" s="56">
        <v>22756</v>
      </c>
      <c r="L43" s="56">
        <v>24658</v>
      </c>
      <c r="M43" s="56">
        <v>26659</v>
      </c>
      <c r="N43" s="56">
        <v>108678</v>
      </c>
      <c r="O43" s="56">
        <v>222248</v>
      </c>
      <c r="P43" s="56"/>
      <c r="Q43" s="56"/>
      <c r="R43" s="56"/>
      <c r="S43" s="56"/>
    </row>
    <row r="44" spans="1:19" x14ac:dyDescent="0.35">
      <c r="A44" s="56" t="s">
        <v>1400</v>
      </c>
      <c r="B44" s="56" t="s">
        <v>1401</v>
      </c>
      <c r="C44" s="56" t="s">
        <v>1399</v>
      </c>
      <c r="D44" s="56">
        <v>0</v>
      </c>
      <c r="E44" s="56">
        <v>113</v>
      </c>
      <c r="F44" s="56">
        <v>314</v>
      </c>
      <c r="G44" s="56">
        <v>470</v>
      </c>
      <c r="H44" s="56">
        <v>642</v>
      </c>
      <c r="I44" s="56">
        <v>812</v>
      </c>
      <c r="J44" s="56">
        <v>973</v>
      </c>
      <c r="K44" s="56">
        <v>1100</v>
      </c>
      <c r="L44" s="56">
        <v>1181</v>
      </c>
      <c r="M44" s="56">
        <v>1245</v>
      </c>
      <c r="N44" s="56">
        <v>1539</v>
      </c>
      <c r="O44" s="56">
        <v>6850</v>
      </c>
      <c r="P44" s="56"/>
      <c r="Q44" s="56"/>
      <c r="R44" s="56"/>
      <c r="S44" s="56"/>
    </row>
    <row r="45" spans="1:19" x14ac:dyDescent="0.35">
      <c r="A45" s="56" t="s">
        <v>1402</v>
      </c>
      <c r="B45" s="56">
        <v>13101</v>
      </c>
      <c r="C45" s="56" t="s">
        <v>1399</v>
      </c>
      <c r="D45" s="56">
        <v>0</v>
      </c>
      <c r="E45" s="56">
        <v>-1562</v>
      </c>
      <c r="F45" s="56">
        <v>-2183</v>
      </c>
      <c r="G45" s="56">
        <v>-3317</v>
      </c>
      <c r="H45" s="56">
        <v>-4822</v>
      </c>
      <c r="I45" s="56">
        <v>-6428</v>
      </c>
      <c r="J45" s="56">
        <v>-7677</v>
      </c>
      <c r="K45" s="56">
        <v>-8232</v>
      </c>
      <c r="L45" s="56">
        <v>-8329</v>
      </c>
      <c r="M45" s="56">
        <v>-8511</v>
      </c>
      <c r="N45" s="56">
        <v>-11885</v>
      </c>
      <c r="O45" s="56">
        <v>-51062</v>
      </c>
      <c r="P45" s="56"/>
      <c r="Q45" s="56"/>
      <c r="R45" s="56"/>
      <c r="S45" s="56"/>
    </row>
    <row r="46" spans="1:19" x14ac:dyDescent="0.35">
      <c r="A46" s="56" t="s">
        <v>1403</v>
      </c>
      <c r="B46" s="56">
        <v>13102</v>
      </c>
      <c r="C46" s="56" t="s">
        <v>1399</v>
      </c>
      <c r="D46" s="56">
        <v>0</v>
      </c>
      <c r="E46" s="56">
        <v>-2140</v>
      </c>
      <c r="F46" s="56">
        <v>-1559</v>
      </c>
      <c r="G46" s="56">
        <v>-2458</v>
      </c>
      <c r="H46" s="56">
        <v>-5367</v>
      </c>
      <c r="I46" s="56">
        <v>-2359</v>
      </c>
      <c r="J46" s="56">
        <v>-48</v>
      </c>
      <c r="K46" s="56">
        <v>-38</v>
      </c>
      <c r="L46" s="56">
        <v>-9</v>
      </c>
      <c r="M46" s="56">
        <v>15</v>
      </c>
      <c r="N46" s="56">
        <v>-11523</v>
      </c>
      <c r="O46" s="56">
        <v>-13962</v>
      </c>
      <c r="P46" s="56"/>
      <c r="Q46" s="56"/>
      <c r="R46" s="56"/>
      <c r="S46" s="56"/>
    </row>
    <row r="47" spans="1:19" x14ac:dyDescent="0.35">
      <c r="A47" s="56" t="s">
        <v>1404</v>
      </c>
      <c r="B47" s="56">
        <v>13104</v>
      </c>
      <c r="C47" s="56" t="s">
        <v>1399</v>
      </c>
      <c r="D47" s="56">
        <v>0</v>
      </c>
      <c r="E47" s="56">
        <v>-22</v>
      </c>
      <c r="F47" s="56">
        <v>-158</v>
      </c>
      <c r="G47" s="56">
        <v>-244</v>
      </c>
      <c r="H47" s="56">
        <v>-257</v>
      </c>
      <c r="I47" s="56">
        <v>-241</v>
      </c>
      <c r="J47" s="56">
        <v>-223</v>
      </c>
      <c r="K47" s="56">
        <v>-202</v>
      </c>
      <c r="L47" s="56">
        <v>-178</v>
      </c>
      <c r="M47" s="56">
        <v>-154</v>
      </c>
      <c r="N47" s="56">
        <v>-681</v>
      </c>
      <c r="O47" s="56">
        <v>-1679</v>
      </c>
      <c r="P47" s="56"/>
      <c r="Q47" s="56"/>
      <c r="R47" s="56"/>
      <c r="S47" s="56"/>
    </row>
    <row r="48" spans="1:19" x14ac:dyDescent="0.35">
      <c r="A48" s="56" t="s">
        <v>1405</v>
      </c>
      <c r="B48" s="56">
        <v>13105</v>
      </c>
      <c r="C48" s="56" t="s">
        <v>1399</v>
      </c>
      <c r="D48" s="56">
        <v>0</v>
      </c>
      <c r="E48" s="56">
        <v>0</v>
      </c>
      <c r="F48" s="56">
        <v>-1138</v>
      </c>
      <c r="G48" s="56">
        <v>-1832</v>
      </c>
      <c r="H48" s="56">
        <v>-1929</v>
      </c>
      <c r="I48" s="56">
        <v>-1996</v>
      </c>
      <c r="J48" s="56">
        <v>-2059</v>
      </c>
      <c r="K48" s="56">
        <v>-2106</v>
      </c>
      <c r="L48" s="56">
        <v>-2225</v>
      </c>
      <c r="M48" s="56">
        <v>-2315</v>
      </c>
      <c r="N48" s="56">
        <v>-4899</v>
      </c>
      <c r="O48" s="56">
        <v>-15600</v>
      </c>
      <c r="P48" s="56"/>
      <c r="Q48" s="56"/>
      <c r="R48" s="56"/>
      <c r="S48" s="56"/>
    </row>
    <row r="49" spans="1:19" x14ac:dyDescent="0.35">
      <c r="A49" s="56" t="s">
        <v>1406</v>
      </c>
      <c r="B49" s="56">
        <v>13303</v>
      </c>
      <c r="C49" s="56" t="s">
        <v>1399</v>
      </c>
      <c r="D49" s="56">
        <v>0</v>
      </c>
      <c r="E49" s="56">
        <v>-62</v>
      </c>
      <c r="F49" s="56">
        <v>-50</v>
      </c>
      <c r="G49" s="56">
        <v>-46</v>
      </c>
      <c r="H49" s="56">
        <v>-42</v>
      </c>
      <c r="I49" s="56">
        <v>-38</v>
      </c>
      <c r="J49" s="56">
        <v>-35</v>
      </c>
      <c r="K49" s="56">
        <v>-32</v>
      </c>
      <c r="L49" s="56">
        <v>-30</v>
      </c>
      <c r="M49" s="56">
        <v>-28</v>
      </c>
      <c r="N49" s="56">
        <v>-200</v>
      </c>
      <c r="O49" s="56">
        <v>-362</v>
      </c>
      <c r="P49" s="56"/>
      <c r="Q49" s="56"/>
      <c r="R49" s="56"/>
      <c r="S49" s="56"/>
    </row>
    <row r="50" spans="1:19" x14ac:dyDescent="0.35">
      <c r="A50" s="56" t="s">
        <v>1407</v>
      </c>
      <c r="B50" s="56" t="s">
        <v>1408</v>
      </c>
      <c r="C50" s="56" t="s">
        <v>1399</v>
      </c>
      <c r="D50" s="56">
        <v>0</v>
      </c>
      <c r="E50" s="56">
        <v>-2376</v>
      </c>
      <c r="F50" s="56">
        <v>-2679</v>
      </c>
      <c r="G50" s="56">
        <v>-2315</v>
      </c>
      <c r="H50" s="56">
        <v>-2572</v>
      </c>
      <c r="I50" s="56">
        <v>-2467</v>
      </c>
      <c r="J50" s="56">
        <v>-2490</v>
      </c>
      <c r="K50" s="56">
        <v>-2638</v>
      </c>
      <c r="L50" s="56">
        <v>-2569</v>
      </c>
      <c r="M50" s="56">
        <v>-2081</v>
      </c>
      <c r="N50" s="56">
        <v>-9943</v>
      </c>
      <c r="O50" s="56">
        <v>-22188</v>
      </c>
      <c r="P50" s="56"/>
      <c r="Q50" s="56"/>
      <c r="R50" s="56"/>
      <c r="S50" s="56"/>
    </row>
    <row r="51" spans="1:19" x14ac:dyDescent="0.35">
      <c r="A51" s="56" t="s">
        <v>1409</v>
      </c>
      <c r="B51" s="56">
        <v>13601</v>
      </c>
      <c r="C51" s="56" t="s">
        <v>1399</v>
      </c>
      <c r="D51" s="56">
        <v>0</v>
      </c>
      <c r="E51" s="56">
        <v>902</v>
      </c>
      <c r="F51" s="56">
        <v>1230</v>
      </c>
      <c r="G51" s="56">
        <v>1271</v>
      </c>
      <c r="H51" s="56">
        <v>1304</v>
      </c>
      <c r="I51" s="56">
        <v>1336</v>
      </c>
      <c r="J51" s="56">
        <v>1368</v>
      </c>
      <c r="K51" s="56">
        <v>1402</v>
      </c>
      <c r="L51" s="56">
        <v>1436</v>
      </c>
      <c r="M51" s="56">
        <v>1470</v>
      </c>
      <c r="N51" s="56">
        <v>4707</v>
      </c>
      <c r="O51" s="56">
        <v>11719</v>
      </c>
      <c r="P51" s="56"/>
      <c r="Q51" s="56"/>
      <c r="R51" s="56"/>
      <c r="S51" s="56"/>
    </row>
    <row r="52" spans="1:19" x14ac:dyDescent="0.35">
      <c r="A52" s="56" t="s">
        <v>1410</v>
      </c>
      <c r="B52" s="56" t="s">
        <v>1411</v>
      </c>
      <c r="C52" s="56" t="s">
        <v>1399</v>
      </c>
      <c r="D52" s="56">
        <v>0</v>
      </c>
      <c r="E52" s="56">
        <v>1</v>
      </c>
      <c r="F52" s="56">
        <v>1</v>
      </c>
      <c r="G52" s="56">
        <v>-678</v>
      </c>
      <c r="H52" s="56">
        <v>-858</v>
      </c>
      <c r="I52" s="56">
        <v>-7820</v>
      </c>
      <c r="J52" s="56">
        <v>-11303</v>
      </c>
      <c r="K52" s="56">
        <v>-12736</v>
      </c>
      <c r="L52" s="56">
        <v>-14927</v>
      </c>
      <c r="M52" s="56">
        <v>-17285</v>
      </c>
      <c r="N52" s="56">
        <v>-1535</v>
      </c>
      <c r="O52" s="56">
        <v>-65606</v>
      </c>
      <c r="P52" s="56"/>
      <c r="Q52" s="56"/>
      <c r="R52" s="56"/>
      <c r="S52" s="56"/>
    </row>
    <row r="53" spans="1:19" x14ac:dyDescent="0.35">
      <c r="A53" s="56" t="s">
        <v>1412</v>
      </c>
      <c r="B53" s="56">
        <v>13901</v>
      </c>
      <c r="C53" s="56" t="s">
        <v>1399</v>
      </c>
      <c r="D53" s="56">
        <v>0</v>
      </c>
      <c r="E53" s="56">
        <v>103</v>
      </c>
      <c r="F53" s="56">
        <v>135</v>
      </c>
      <c r="G53" s="56">
        <v>131</v>
      </c>
      <c r="H53" s="56">
        <v>130</v>
      </c>
      <c r="I53" s="56">
        <v>130</v>
      </c>
      <c r="J53" s="56">
        <v>131</v>
      </c>
      <c r="K53" s="56">
        <v>132</v>
      </c>
      <c r="L53" s="56">
        <v>133</v>
      </c>
      <c r="M53" s="56">
        <v>134</v>
      </c>
      <c r="N53" s="56">
        <v>498</v>
      </c>
      <c r="O53" s="56">
        <v>1159</v>
      </c>
      <c r="P53" s="56"/>
      <c r="Q53" s="56"/>
      <c r="R53" s="56"/>
      <c r="S53" s="56"/>
    </row>
    <row r="54" spans="1:19" x14ac:dyDescent="0.35">
      <c r="A54" s="56" t="s">
        <v>1413</v>
      </c>
      <c r="B54" s="56">
        <v>13902</v>
      </c>
      <c r="C54" s="56" t="s">
        <v>1399</v>
      </c>
      <c r="D54" s="56">
        <v>0</v>
      </c>
      <c r="E54" s="56">
        <v>-16</v>
      </c>
      <c r="F54" s="56">
        <v>-13</v>
      </c>
      <c r="G54" s="56">
        <v>-15</v>
      </c>
      <c r="H54" s="56">
        <v>-16</v>
      </c>
      <c r="I54" s="56">
        <v>-18</v>
      </c>
      <c r="J54" s="56">
        <v>-21</v>
      </c>
      <c r="K54" s="56">
        <v>-22</v>
      </c>
      <c r="L54" s="56">
        <v>-23</v>
      </c>
      <c r="M54" s="56">
        <v>-24</v>
      </c>
      <c r="N54" s="56">
        <v>-60</v>
      </c>
      <c r="O54" s="56">
        <v>-168</v>
      </c>
      <c r="P54" s="56"/>
      <c r="Q54" s="56"/>
      <c r="R54" s="56"/>
      <c r="S54" s="56"/>
    </row>
    <row r="55" spans="1:19" x14ac:dyDescent="0.35">
      <c r="A55" s="56" t="s">
        <v>1414</v>
      </c>
      <c r="B55" s="56" t="s">
        <v>1415</v>
      </c>
      <c r="C55" s="56" t="s">
        <v>1399</v>
      </c>
      <c r="D55" s="56">
        <v>0</v>
      </c>
      <c r="E55" s="56">
        <v>0</v>
      </c>
      <c r="F55" s="56">
        <v>0</v>
      </c>
      <c r="G55" s="56">
        <v>0</v>
      </c>
      <c r="H55" s="56">
        <v>0</v>
      </c>
      <c r="I55" s="56">
        <v>17666</v>
      </c>
      <c r="J55" s="56">
        <v>26198</v>
      </c>
      <c r="K55" s="56">
        <v>9453</v>
      </c>
      <c r="L55" s="56">
        <v>-274</v>
      </c>
      <c r="M55" s="56">
        <v>-284</v>
      </c>
      <c r="N55" s="56">
        <v>0</v>
      </c>
      <c r="O55" s="56">
        <v>52759</v>
      </c>
      <c r="P55" s="56"/>
      <c r="Q55" s="56"/>
      <c r="R55" s="56"/>
      <c r="S55" s="56"/>
    </row>
    <row r="56" spans="1:19" x14ac:dyDescent="0.35">
      <c r="A56" s="56" t="s">
        <v>1416</v>
      </c>
      <c r="B56" s="56">
        <v>60113</v>
      </c>
      <c r="C56" s="56" t="s">
        <v>1399</v>
      </c>
      <c r="D56" s="56">
        <v>0</v>
      </c>
      <c r="E56" s="56">
        <v>0</v>
      </c>
      <c r="F56" s="56">
        <v>0</v>
      </c>
      <c r="G56" s="56">
        <v>0</v>
      </c>
      <c r="H56" s="56">
        <v>850</v>
      </c>
      <c r="I56" s="201">
        <v>1350</v>
      </c>
      <c r="J56" s="201">
        <v>1400</v>
      </c>
      <c r="K56" s="201">
        <v>1200</v>
      </c>
      <c r="L56" s="201">
        <v>1050</v>
      </c>
      <c r="M56" s="56">
        <v>500</v>
      </c>
      <c r="N56" s="56">
        <v>850</v>
      </c>
      <c r="O56" s="201">
        <v>6350</v>
      </c>
      <c r="P56" s="201"/>
      <c r="Q56" s="201"/>
      <c r="R56" s="201"/>
      <c r="S56" s="201"/>
    </row>
    <row r="57" spans="1:19" x14ac:dyDescent="0.35">
      <c r="A57" s="56" t="s">
        <v>1417</v>
      </c>
      <c r="B57" s="56">
        <v>10201</v>
      </c>
      <c r="C57" s="56" t="s">
        <v>1399</v>
      </c>
      <c r="D57" s="56">
        <v>0</v>
      </c>
      <c r="E57" s="56">
        <v>5697</v>
      </c>
      <c r="F57" s="56">
        <v>7875</v>
      </c>
      <c r="G57" s="56">
        <v>8070</v>
      </c>
      <c r="H57" s="56">
        <v>8581</v>
      </c>
      <c r="I57" s="56">
        <v>8882</v>
      </c>
      <c r="J57" s="56">
        <v>8838</v>
      </c>
      <c r="K57" s="56">
        <v>8603</v>
      </c>
      <c r="L57" s="56">
        <v>8500</v>
      </c>
      <c r="M57" s="56">
        <v>8641</v>
      </c>
      <c r="N57" s="56">
        <v>30223</v>
      </c>
      <c r="O57" s="56">
        <v>73686</v>
      </c>
      <c r="P57" s="56"/>
      <c r="Q57" s="56"/>
      <c r="R57" s="56"/>
      <c r="S57" s="56"/>
    </row>
    <row r="58" spans="1:19" x14ac:dyDescent="0.35">
      <c r="A58" s="56" t="s">
        <v>1424</v>
      </c>
      <c r="B58" s="56">
        <v>13304</v>
      </c>
      <c r="C58" s="56" t="s">
        <v>1429</v>
      </c>
      <c r="D58" s="56">
        <v>0</v>
      </c>
      <c r="E58" s="56">
        <v>-273</v>
      </c>
      <c r="F58" s="56">
        <v>-193</v>
      </c>
      <c r="G58" s="56">
        <v>-203</v>
      </c>
      <c r="H58" s="56">
        <v>-216</v>
      </c>
      <c r="I58" s="56">
        <v>-230</v>
      </c>
      <c r="J58" s="56">
        <v>-241</v>
      </c>
      <c r="K58" s="56">
        <v>-240</v>
      </c>
      <c r="L58" s="56">
        <v>-229</v>
      </c>
      <c r="M58" s="56">
        <v>-217</v>
      </c>
      <c r="N58" s="56">
        <v>-887</v>
      </c>
      <c r="O58" s="56">
        <v>-2043</v>
      </c>
      <c r="P58" s="56"/>
      <c r="Q58" s="56"/>
      <c r="R58" s="56"/>
      <c r="S58" s="56"/>
    </row>
    <row r="59" spans="1:19" x14ac:dyDescent="0.35">
      <c r="A59" s="56" t="s">
        <v>1420</v>
      </c>
      <c r="B59" s="56" t="s">
        <v>1421</v>
      </c>
      <c r="C59" s="56" t="s">
        <v>1429</v>
      </c>
      <c r="D59" s="56">
        <v>0</v>
      </c>
      <c r="E59" s="56">
        <v>-2882</v>
      </c>
      <c r="F59" s="56">
        <v>-2038</v>
      </c>
      <c r="G59" s="56">
        <v>-1405</v>
      </c>
      <c r="H59" s="56">
        <v>-554</v>
      </c>
      <c r="I59" s="56">
        <v>-753</v>
      </c>
      <c r="J59" s="56">
        <v>-970</v>
      </c>
      <c r="K59" s="56">
        <v>-1231</v>
      </c>
      <c r="L59" s="56">
        <v>-1581</v>
      </c>
      <c r="M59" s="56">
        <v>-2108</v>
      </c>
      <c r="N59" s="56">
        <v>-6880</v>
      </c>
      <c r="O59" s="56">
        <v>-13523</v>
      </c>
      <c r="P59" s="56"/>
      <c r="Q59" s="56"/>
      <c r="R59" s="56"/>
      <c r="S59" s="56"/>
    </row>
    <row r="60" spans="1:19" x14ac:dyDescent="0.35">
      <c r="A60" s="1137" t="s">
        <v>1418</v>
      </c>
      <c r="B60" s="1138">
        <v>10301</v>
      </c>
      <c r="C60" s="1138" t="s">
        <v>239</v>
      </c>
      <c r="D60" s="1138">
        <v>0</v>
      </c>
      <c r="E60" s="1139">
        <v>2012</v>
      </c>
      <c r="F60" s="1139">
        <v>5106</v>
      </c>
      <c r="G60" s="1139">
        <v>11125</v>
      </c>
      <c r="H60" s="1139">
        <v>16116</v>
      </c>
      <c r="I60" s="1139">
        <v>21716</v>
      </c>
      <c r="J60" s="1139">
        <v>26314</v>
      </c>
      <c r="K60" s="1139">
        <v>31218</v>
      </c>
      <c r="L60" s="1139">
        <v>34877</v>
      </c>
      <c r="M60" s="1139">
        <v>31904</v>
      </c>
      <c r="N60" s="1139">
        <v>34359</v>
      </c>
      <c r="O60" s="1140">
        <v>180388</v>
      </c>
      <c r="P60" s="201"/>
      <c r="Q60" s="201"/>
      <c r="R60" s="201"/>
      <c r="S60" s="201"/>
    </row>
    <row r="61" spans="1:19" x14ac:dyDescent="0.35">
      <c r="A61" s="56" t="s">
        <v>1419</v>
      </c>
      <c r="B61" s="56">
        <v>12001</v>
      </c>
      <c r="C61" s="56" t="s">
        <v>239</v>
      </c>
      <c r="D61" s="56">
        <v>0</v>
      </c>
      <c r="E61" s="56">
        <v>1297</v>
      </c>
      <c r="F61" s="56">
        <v>-10555</v>
      </c>
      <c r="G61" s="56">
        <v>-10586</v>
      </c>
      <c r="H61" s="56">
        <v>-11431</v>
      </c>
      <c r="I61" s="56">
        <v>-154</v>
      </c>
      <c r="J61" s="56">
        <v>132</v>
      </c>
      <c r="K61" s="56">
        <v>53</v>
      </c>
      <c r="L61" s="56">
        <v>6</v>
      </c>
      <c r="M61" s="56">
        <v>0</v>
      </c>
      <c r="N61" s="56">
        <v>-31275</v>
      </c>
      <c r="O61" s="56">
        <v>-31238</v>
      </c>
      <c r="P61" s="56"/>
      <c r="Q61" s="56"/>
      <c r="R61" s="56"/>
      <c r="S61" s="56"/>
    </row>
    <row r="62" spans="1:19" x14ac:dyDescent="0.35">
      <c r="A62" s="56" t="s">
        <v>1422</v>
      </c>
      <c r="B62" s="56">
        <v>13301</v>
      </c>
      <c r="C62" s="56" t="s">
        <v>239</v>
      </c>
      <c r="D62" s="56">
        <v>0</v>
      </c>
      <c r="E62" s="56">
        <v>-1887</v>
      </c>
      <c r="F62" s="56">
        <v>-1348</v>
      </c>
      <c r="G62" s="56">
        <v>-1324</v>
      </c>
      <c r="H62" s="56">
        <v>-1345</v>
      </c>
      <c r="I62" s="56">
        <v>-1327</v>
      </c>
      <c r="J62" s="56">
        <v>-1277</v>
      </c>
      <c r="K62" s="56">
        <v>-1301</v>
      </c>
      <c r="L62" s="56">
        <v>-1314</v>
      </c>
      <c r="M62" s="56">
        <v>-1327</v>
      </c>
      <c r="N62" s="56">
        <v>-5904</v>
      </c>
      <c r="O62" s="56">
        <v>-12451</v>
      </c>
      <c r="P62" s="56"/>
      <c r="Q62" s="56"/>
      <c r="R62" s="56"/>
      <c r="S62" s="56"/>
    </row>
    <row r="63" spans="1:19" x14ac:dyDescent="0.35">
      <c r="A63" s="56" t="s">
        <v>1423</v>
      </c>
      <c r="B63" s="56">
        <v>13302</v>
      </c>
      <c r="C63" s="56" t="s">
        <v>239</v>
      </c>
      <c r="D63" s="56">
        <v>0</v>
      </c>
      <c r="E63" s="56">
        <v>-459</v>
      </c>
      <c r="F63" s="56">
        <v>-1021</v>
      </c>
      <c r="G63" s="56">
        <v>-2692</v>
      </c>
      <c r="H63" s="56">
        <v>-2770</v>
      </c>
      <c r="I63" s="56">
        <v>-2850</v>
      </c>
      <c r="J63" s="56">
        <v>-2935</v>
      </c>
      <c r="K63" s="56">
        <v>-3019</v>
      </c>
      <c r="L63" s="56">
        <v>-3092</v>
      </c>
      <c r="M63" s="56">
        <v>-3185</v>
      </c>
      <c r="N63" s="56">
        <v>-6942</v>
      </c>
      <c r="O63" s="56">
        <v>-22022</v>
      </c>
      <c r="P63" s="56"/>
      <c r="Q63" s="56"/>
      <c r="R63" s="56"/>
      <c r="S63" s="56"/>
    </row>
    <row r="64" spans="1:19" x14ac:dyDescent="0.35">
      <c r="A64" s="56" t="s">
        <v>1425</v>
      </c>
      <c r="B64" s="56" t="s">
        <v>1426</v>
      </c>
      <c r="C64" s="56" t="s">
        <v>239</v>
      </c>
      <c r="D64" s="56">
        <v>0</v>
      </c>
      <c r="E64" s="56">
        <v>-511</v>
      </c>
      <c r="F64" s="56">
        <v>-852</v>
      </c>
      <c r="G64" s="56">
        <v>-1050</v>
      </c>
      <c r="H64" s="56">
        <v>-1275</v>
      </c>
      <c r="I64" s="56">
        <v>-1572</v>
      </c>
      <c r="J64" s="56">
        <v>-1862</v>
      </c>
      <c r="K64" s="56">
        <v>-2104</v>
      </c>
      <c r="L64" s="56">
        <v>-2364</v>
      </c>
      <c r="M64" s="56">
        <v>-2615</v>
      </c>
      <c r="N64" s="56">
        <v>-3689</v>
      </c>
      <c r="O64" s="56">
        <v>-14209</v>
      </c>
      <c r="P64" s="56"/>
      <c r="Q64" s="56"/>
      <c r="R64" s="56"/>
      <c r="S64" s="56"/>
    </row>
    <row r="67" spans="3:19" x14ac:dyDescent="0.35">
      <c r="D67" s="1141">
        <v>2022</v>
      </c>
      <c r="E67" s="1141">
        <v>2023</v>
      </c>
      <c r="F67" s="1141">
        <v>2024</v>
      </c>
      <c r="G67" s="1141">
        <v>2025</v>
      </c>
      <c r="H67" s="1141">
        <v>2026</v>
      </c>
      <c r="I67" s="1141">
        <v>2027</v>
      </c>
      <c r="J67" s="1141">
        <v>2028</v>
      </c>
      <c r="K67" s="1141">
        <v>2029</v>
      </c>
      <c r="L67" s="1141">
        <v>2030</v>
      </c>
      <c r="M67" s="1142">
        <v>2031</v>
      </c>
      <c r="N67" s="1121" t="s">
        <v>1368</v>
      </c>
      <c r="O67" s="1143" t="s">
        <v>1369</v>
      </c>
      <c r="P67" s="1121"/>
      <c r="Q67" s="1121"/>
      <c r="R67" s="1121"/>
      <c r="S67" s="1121"/>
    </row>
    <row r="68" spans="3:19" x14ac:dyDescent="0.35">
      <c r="C68" s="1429" t="s">
        <v>1427</v>
      </c>
      <c r="D68" s="1430"/>
      <c r="E68" s="1430"/>
      <c r="F68" s="1430"/>
      <c r="G68" s="1430"/>
      <c r="H68" s="1430"/>
      <c r="I68" s="1430"/>
      <c r="J68" s="1430"/>
      <c r="K68" s="1430"/>
      <c r="L68" s="1430"/>
      <c r="M68" s="1430"/>
      <c r="N68" s="1430"/>
      <c r="O68" s="1431"/>
      <c r="P68" s="1120"/>
      <c r="Q68" s="1120"/>
      <c r="R68" s="1120"/>
      <c r="S68" s="1120"/>
    </row>
    <row r="69" spans="3:19" x14ac:dyDescent="0.35">
      <c r="C69" s="68" t="s">
        <v>1388</v>
      </c>
      <c r="D69" s="56">
        <f t="shared" ref="D69:O69" si="0">SUM(D3:D8)</f>
        <v>0</v>
      </c>
      <c r="E69" s="56">
        <f t="shared" si="0"/>
        <v>3947</v>
      </c>
      <c r="F69" s="56">
        <f t="shared" si="0"/>
        <v>4202</v>
      </c>
      <c r="G69" s="56">
        <f t="shared" si="0"/>
        <v>6275</v>
      </c>
      <c r="H69" s="56">
        <f t="shared" si="0"/>
        <v>7956</v>
      </c>
      <c r="I69" s="56">
        <f t="shared" si="0"/>
        <v>9969</v>
      </c>
      <c r="J69" s="56">
        <f t="shared" si="0"/>
        <v>12081</v>
      </c>
      <c r="K69" s="56">
        <f t="shared" si="0"/>
        <v>14493</v>
      </c>
      <c r="L69" s="56">
        <f t="shared" si="0"/>
        <v>16921</v>
      </c>
      <c r="M69" s="56">
        <f t="shared" si="0"/>
        <v>17112</v>
      </c>
      <c r="N69" s="56">
        <f t="shared" si="0"/>
        <v>22380</v>
      </c>
      <c r="O69" s="56">
        <f t="shared" si="0"/>
        <v>92956</v>
      </c>
      <c r="P69" s="56"/>
      <c r="Q69" s="56"/>
      <c r="R69" s="56"/>
      <c r="S69" s="56"/>
    </row>
    <row r="70" spans="3:19" x14ac:dyDescent="0.35">
      <c r="C70" s="68" t="s">
        <v>1256</v>
      </c>
      <c r="D70" s="56">
        <f t="shared" ref="D70:O70" si="1">SUM(D9)</f>
        <v>0</v>
      </c>
      <c r="E70" s="56">
        <f t="shared" si="1"/>
        <v>65</v>
      </c>
      <c r="F70" s="56">
        <f t="shared" si="1"/>
        <v>150</v>
      </c>
      <c r="G70" s="56">
        <f t="shared" si="1"/>
        <v>290</v>
      </c>
      <c r="H70" s="56">
        <f t="shared" si="1"/>
        <v>290</v>
      </c>
      <c r="I70" s="56">
        <f t="shared" si="1"/>
        <v>290</v>
      </c>
      <c r="J70" s="56">
        <f t="shared" si="1"/>
        <v>285</v>
      </c>
      <c r="K70" s="56">
        <f t="shared" si="1"/>
        <v>250</v>
      </c>
      <c r="L70" s="56">
        <f t="shared" si="1"/>
        <v>220</v>
      </c>
      <c r="M70" s="56">
        <f t="shared" si="1"/>
        <v>160</v>
      </c>
      <c r="N70" s="68">
        <f t="shared" si="1"/>
        <v>795</v>
      </c>
      <c r="O70" s="224">
        <f t="shared" si="1"/>
        <v>2000</v>
      </c>
      <c r="P70" s="56"/>
      <c r="Q70" s="56"/>
      <c r="R70" s="56"/>
      <c r="S70" s="56"/>
    </row>
    <row r="71" spans="3:19" x14ac:dyDescent="0.35">
      <c r="C71" s="68" t="s">
        <v>210</v>
      </c>
      <c r="D71" s="56">
        <f t="shared" ref="D71:O71" si="2">SUM(D10:D11)</f>
        <v>0</v>
      </c>
      <c r="E71" s="56">
        <f t="shared" si="2"/>
        <v>110</v>
      </c>
      <c r="F71" s="56">
        <f t="shared" si="2"/>
        <v>739</v>
      </c>
      <c r="G71" s="56">
        <f t="shared" si="2"/>
        <v>1195</v>
      </c>
      <c r="H71" s="56">
        <f t="shared" si="2"/>
        <v>1497</v>
      </c>
      <c r="I71" s="56">
        <f t="shared" si="2"/>
        <v>1910</v>
      </c>
      <c r="J71" s="56">
        <f t="shared" si="2"/>
        <v>2405</v>
      </c>
      <c r="K71" s="56">
        <f t="shared" si="2"/>
        <v>2922</v>
      </c>
      <c r="L71" s="56">
        <f t="shared" si="2"/>
        <v>3463</v>
      </c>
      <c r="M71" s="56">
        <f t="shared" si="2"/>
        <v>4007</v>
      </c>
      <c r="N71" s="68">
        <f t="shared" si="2"/>
        <v>3541</v>
      </c>
      <c r="O71" s="224">
        <f t="shared" si="2"/>
        <v>18248</v>
      </c>
      <c r="P71" s="56"/>
      <c r="Q71" s="56"/>
      <c r="R71" s="56"/>
      <c r="S71" s="56"/>
    </row>
    <row r="72" spans="3:19" x14ac:dyDescent="0.35">
      <c r="C72" s="68" t="s">
        <v>211</v>
      </c>
      <c r="D72" s="56">
        <f t="shared" ref="D72:O72" si="3">SUM(D12:D25)</f>
        <v>0</v>
      </c>
      <c r="E72" s="56">
        <f t="shared" si="3"/>
        <v>-415</v>
      </c>
      <c r="F72" s="56">
        <f t="shared" si="3"/>
        <v>2768</v>
      </c>
      <c r="G72" s="56">
        <f t="shared" si="3"/>
        <v>-12473</v>
      </c>
      <c r="H72" s="56">
        <f t="shared" si="3"/>
        <v>-5374</v>
      </c>
      <c r="I72" s="56">
        <f t="shared" si="3"/>
        <v>-25515</v>
      </c>
      <c r="J72" s="56">
        <f t="shared" si="3"/>
        <v>-43975</v>
      </c>
      <c r="K72" s="56">
        <f t="shared" si="3"/>
        <v>-46426</v>
      </c>
      <c r="L72" s="56">
        <f t="shared" si="3"/>
        <v>-56228</v>
      </c>
      <c r="M72" s="56">
        <f t="shared" si="3"/>
        <v>-60581</v>
      </c>
      <c r="N72" s="68">
        <f t="shared" si="3"/>
        <v>-15494</v>
      </c>
      <c r="O72" s="224">
        <f t="shared" si="3"/>
        <v>-248219</v>
      </c>
      <c r="P72" s="56"/>
      <c r="Q72" s="56"/>
      <c r="R72" s="56"/>
      <c r="S72" s="56"/>
    </row>
    <row r="73" spans="3:19" x14ac:dyDescent="0.35">
      <c r="C73" s="68" t="s">
        <v>1390</v>
      </c>
      <c r="D73" s="56">
        <f t="shared" ref="D73:O73" si="4">SUM(D26:D31)</f>
        <v>-622</v>
      </c>
      <c r="E73" s="56">
        <f t="shared" si="4"/>
        <v>21096</v>
      </c>
      <c r="F73" s="56">
        <f t="shared" si="4"/>
        <v>12256</v>
      </c>
      <c r="G73" s="56">
        <f t="shared" si="4"/>
        <v>11149</v>
      </c>
      <c r="H73" s="56">
        <f t="shared" si="4"/>
        <v>-6525</v>
      </c>
      <c r="I73" s="56">
        <f t="shared" si="4"/>
        <v>2029</v>
      </c>
      <c r="J73" s="56">
        <f t="shared" si="4"/>
        <v>2582</v>
      </c>
      <c r="K73" s="56">
        <f t="shared" si="4"/>
        <v>2236</v>
      </c>
      <c r="L73" s="56">
        <f t="shared" si="4"/>
        <v>1411</v>
      </c>
      <c r="M73" s="56">
        <f t="shared" si="4"/>
        <v>772</v>
      </c>
      <c r="N73" s="68">
        <f t="shared" si="4"/>
        <v>37354</v>
      </c>
      <c r="O73" s="224">
        <f t="shared" si="4"/>
        <v>46384</v>
      </c>
      <c r="P73" s="56"/>
      <c r="Q73" s="56"/>
      <c r="R73" s="56"/>
      <c r="S73" s="56"/>
    </row>
    <row r="74" spans="3:19" x14ac:dyDescent="0.35">
      <c r="C74" s="68" t="s">
        <v>1393</v>
      </c>
      <c r="D74" s="56">
        <f t="shared" ref="D74:O74" si="5">SUM(D32:D40)</f>
        <v>0</v>
      </c>
      <c r="E74" s="56">
        <f t="shared" si="5"/>
        <v>1216</v>
      </c>
      <c r="F74" s="56">
        <f t="shared" si="5"/>
        <v>3498</v>
      </c>
      <c r="G74" s="56">
        <f t="shared" si="5"/>
        <v>5088</v>
      </c>
      <c r="H74" s="56">
        <f t="shared" si="5"/>
        <v>6663</v>
      </c>
      <c r="I74" s="56">
        <f t="shared" si="5"/>
        <v>7992</v>
      </c>
      <c r="J74" s="56">
        <f t="shared" si="5"/>
        <v>8297</v>
      </c>
      <c r="K74" s="56">
        <f t="shared" si="5"/>
        <v>8309</v>
      </c>
      <c r="L74" s="56">
        <f t="shared" si="5"/>
        <v>7568</v>
      </c>
      <c r="M74" s="56">
        <f t="shared" si="5"/>
        <v>6524</v>
      </c>
      <c r="N74" s="319">
        <f t="shared" si="5"/>
        <v>16463</v>
      </c>
      <c r="O74" s="225">
        <f t="shared" si="5"/>
        <v>55153</v>
      </c>
      <c r="P74" s="56"/>
      <c r="Q74" s="56"/>
      <c r="R74" s="56"/>
      <c r="S74" s="56"/>
    </row>
    <row r="75" spans="3:19" x14ac:dyDescent="0.35">
      <c r="C75" s="1429" t="s">
        <v>1428</v>
      </c>
      <c r="D75" s="1430"/>
      <c r="E75" s="1430"/>
      <c r="F75" s="1430"/>
      <c r="G75" s="1430"/>
      <c r="H75" s="1430"/>
      <c r="I75" s="1430"/>
      <c r="J75" s="1430"/>
      <c r="K75" s="1430"/>
      <c r="L75" s="1430"/>
      <c r="M75" s="1430"/>
      <c r="N75" s="1430"/>
      <c r="O75" s="1431"/>
      <c r="P75" s="1120"/>
      <c r="Q75" s="1120"/>
      <c r="R75" s="1120"/>
      <c r="S75" s="1120"/>
    </row>
    <row r="76" spans="3:19" x14ac:dyDescent="0.35">
      <c r="C76" s="68" t="s">
        <v>385</v>
      </c>
      <c r="D76" s="56">
        <v>0</v>
      </c>
      <c r="E76" s="56">
        <v>596</v>
      </c>
      <c r="F76" s="56">
        <v>1406</v>
      </c>
      <c r="G76" s="56">
        <v>1885</v>
      </c>
      <c r="H76" s="56">
        <v>2113</v>
      </c>
      <c r="I76" s="56">
        <v>2058</v>
      </c>
      <c r="J76" s="56">
        <v>1745</v>
      </c>
      <c r="K76" s="56">
        <v>1369</v>
      </c>
      <c r="L76" s="56">
        <v>970</v>
      </c>
      <c r="M76" s="56">
        <v>369</v>
      </c>
      <c r="N76" s="748">
        <v>6000</v>
      </c>
      <c r="O76" s="449">
        <v>12511</v>
      </c>
      <c r="P76" s="56"/>
      <c r="Q76" s="56"/>
      <c r="R76" s="56"/>
      <c r="S76" s="56"/>
    </row>
    <row r="77" spans="3:19" x14ac:dyDescent="0.35">
      <c r="C77" s="68" t="s">
        <v>134</v>
      </c>
      <c r="D77" s="56">
        <v>0</v>
      </c>
      <c r="E77" s="56">
        <v>754</v>
      </c>
      <c r="F77" s="56">
        <v>2328</v>
      </c>
      <c r="G77" s="56">
        <v>3782</v>
      </c>
      <c r="H77" s="56">
        <v>5158</v>
      </c>
      <c r="I77" s="56">
        <v>4539</v>
      </c>
      <c r="J77" s="56">
        <v>3010</v>
      </c>
      <c r="K77" s="56">
        <v>1730</v>
      </c>
      <c r="L77" s="56">
        <v>790</v>
      </c>
      <c r="M77" s="56">
        <v>244</v>
      </c>
      <c r="N77" s="68">
        <v>12022</v>
      </c>
      <c r="O77" s="224">
        <v>22335</v>
      </c>
      <c r="P77" s="56"/>
      <c r="Q77" s="56"/>
      <c r="R77" s="56"/>
      <c r="S77" s="56"/>
    </row>
    <row r="78" spans="3:19" x14ac:dyDescent="0.35">
      <c r="C78" s="68" t="s">
        <v>192</v>
      </c>
      <c r="D78" s="56">
        <v>0</v>
      </c>
      <c r="E78" s="56">
        <v>68</v>
      </c>
      <c r="F78" s="56">
        <v>1363</v>
      </c>
      <c r="G78" s="56">
        <v>2433</v>
      </c>
      <c r="H78" s="56">
        <v>2803</v>
      </c>
      <c r="I78" s="56">
        <v>1741</v>
      </c>
      <c r="J78" s="56">
        <v>570</v>
      </c>
      <c r="K78" s="56">
        <v>35</v>
      </c>
      <c r="L78" s="56">
        <v>0</v>
      </c>
      <c r="M78" s="56">
        <v>0</v>
      </c>
      <c r="N78" s="68">
        <v>6667</v>
      </c>
      <c r="O78" s="224">
        <v>9013</v>
      </c>
      <c r="P78" s="56"/>
      <c r="Q78" s="56"/>
      <c r="R78" s="56"/>
      <c r="S78" s="56"/>
    </row>
    <row r="79" spans="3:19" x14ac:dyDescent="0.35">
      <c r="C79" s="68" t="s">
        <v>52</v>
      </c>
      <c r="D79" s="56">
        <v>0</v>
      </c>
      <c r="E79" s="56">
        <v>81</v>
      </c>
      <c r="F79" s="56">
        <v>350</v>
      </c>
      <c r="G79" s="56">
        <v>1354</v>
      </c>
      <c r="H79" s="56">
        <v>2869</v>
      </c>
      <c r="I79" s="56">
        <v>3890</v>
      </c>
      <c r="J79" s="56">
        <v>3430</v>
      </c>
      <c r="K79" s="56">
        <v>2260</v>
      </c>
      <c r="L79" s="56">
        <v>1320</v>
      </c>
      <c r="M79" s="56">
        <v>665</v>
      </c>
      <c r="N79" s="68">
        <v>4654</v>
      </c>
      <c r="O79" s="224">
        <v>16219</v>
      </c>
      <c r="P79" s="56"/>
      <c r="Q79" s="56"/>
      <c r="R79" s="56"/>
      <c r="S79" s="56"/>
    </row>
    <row r="80" spans="3:19" x14ac:dyDescent="0.35">
      <c r="C80" s="68" t="s">
        <v>57</v>
      </c>
      <c r="D80" s="56">
        <v>0</v>
      </c>
      <c r="E80" s="56">
        <v>794</v>
      </c>
      <c r="F80" s="56">
        <v>3183</v>
      </c>
      <c r="G80" s="56">
        <v>5818</v>
      </c>
      <c r="H80" s="56">
        <v>7253</v>
      </c>
      <c r="I80" s="56">
        <v>5628</v>
      </c>
      <c r="J80" s="56">
        <v>1977</v>
      </c>
      <c r="K80" s="56">
        <v>229</v>
      </c>
      <c r="L80" s="56">
        <v>33</v>
      </c>
      <c r="M80" s="56">
        <v>1</v>
      </c>
      <c r="N80" s="68">
        <v>17048</v>
      </c>
      <c r="O80" s="224">
        <v>24916</v>
      </c>
      <c r="P80" s="56"/>
      <c r="Q80" s="56"/>
      <c r="R80" s="56"/>
      <c r="S80" s="56"/>
    </row>
    <row r="81" spans="1:20" x14ac:dyDescent="0.35">
      <c r="C81" s="68"/>
      <c r="N81" s="319"/>
      <c r="O81" s="225"/>
      <c r="P81" s="56"/>
      <c r="Q81" s="56"/>
      <c r="R81" s="56"/>
      <c r="S81" s="56"/>
    </row>
    <row r="82" spans="1:20" x14ac:dyDescent="0.35">
      <c r="C82" s="1429" t="s">
        <v>1397</v>
      </c>
      <c r="D82" s="1430"/>
      <c r="E82" s="1430"/>
      <c r="F82" s="1430"/>
      <c r="G82" s="1430"/>
      <c r="H82" s="1430"/>
      <c r="I82" s="1430"/>
      <c r="J82" s="1430"/>
      <c r="K82" s="1430"/>
      <c r="L82" s="1430"/>
      <c r="M82" s="1430"/>
      <c r="N82" s="1430"/>
      <c r="O82" s="1431"/>
      <c r="P82" s="1120"/>
      <c r="Q82" s="1120"/>
      <c r="R82" s="1120"/>
      <c r="S82" s="1120"/>
    </row>
    <row r="83" spans="1:20" x14ac:dyDescent="0.35">
      <c r="C83" s="68" t="s">
        <v>1399</v>
      </c>
      <c r="D83" s="56">
        <f t="shared" ref="D83:O83" si="6">SUM(D43:D57)</f>
        <v>0</v>
      </c>
      <c r="E83" s="56">
        <f t="shared" si="6"/>
        <v>35317</v>
      </c>
      <c r="F83" s="56">
        <f t="shared" si="6"/>
        <v>36033</v>
      </c>
      <c r="G83" s="56">
        <f t="shared" si="6"/>
        <v>21076</v>
      </c>
      <c r="H83" s="56">
        <f t="shared" si="6"/>
        <v>13346</v>
      </c>
      <c r="I83" s="56">
        <f t="shared" si="6"/>
        <v>27508</v>
      </c>
      <c r="J83" s="56">
        <f t="shared" si="6"/>
        <v>35850</v>
      </c>
      <c r="K83" s="56">
        <f t="shared" si="6"/>
        <v>18640</v>
      </c>
      <c r="L83" s="56">
        <f t="shared" si="6"/>
        <v>8394</v>
      </c>
      <c r="M83" s="56">
        <f t="shared" si="6"/>
        <v>7982</v>
      </c>
      <c r="N83" s="56">
        <f t="shared" si="6"/>
        <v>105769</v>
      </c>
      <c r="O83" s="56">
        <f t="shared" si="6"/>
        <v>204144</v>
      </c>
      <c r="P83" s="56"/>
      <c r="Q83" s="56"/>
      <c r="R83" s="56"/>
      <c r="S83" s="56"/>
    </row>
    <row r="84" spans="1:20" x14ac:dyDescent="0.35">
      <c r="C84" s="68" t="s">
        <v>484</v>
      </c>
      <c r="D84" s="56">
        <f>SUM(D58:D59)</f>
        <v>0</v>
      </c>
      <c r="E84" s="56">
        <f t="shared" ref="E84:O84" si="7">SUM(E58:E59)</f>
        <v>-3155</v>
      </c>
      <c r="F84" s="56">
        <f t="shared" si="7"/>
        <v>-2231</v>
      </c>
      <c r="G84" s="56">
        <f t="shared" si="7"/>
        <v>-1608</v>
      </c>
      <c r="H84" s="56">
        <f t="shared" si="7"/>
        <v>-770</v>
      </c>
      <c r="I84" s="56">
        <f t="shared" si="7"/>
        <v>-983</v>
      </c>
      <c r="J84" s="56">
        <f t="shared" si="7"/>
        <v>-1211</v>
      </c>
      <c r="K84" s="56">
        <f t="shared" si="7"/>
        <v>-1471</v>
      </c>
      <c r="L84" s="56">
        <f t="shared" si="7"/>
        <v>-1810</v>
      </c>
      <c r="M84" s="56">
        <f t="shared" si="7"/>
        <v>-2325</v>
      </c>
      <c r="N84" s="56">
        <f t="shared" si="7"/>
        <v>-7767</v>
      </c>
      <c r="O84" s="56">
        <f t="shared" si="7"/>
        <v>-15566</v>
      </c>
      <c r="P84" s="56"/>
      <c r="Q84" s="56"/>
      <c r="R84" s="56"/>
      <c r="S84" s="56"/>
    </row>
    <row r="85" spans="1:20" x14ac:dyDescent="0.35">
      <c r="C85" s="68" t="s">
        <v>239</v>
      </c>
      <c r="D85" s="56">
        <f>SUM(D60:D64)</f>
        <v>0</v>
      </c>
      <c r="E85" s="56">
        <f t="shared" ref="E85:O85" si="8">SUM(E60:E64)</f>
        <v>452</v>
      </c>
      <c r="F85" s="56">
        <f t="shared" si="8"/>
        <v>-8670</v>
      </c>
      <c r="G85" s="56">
        <f t="shared" si="8"/>
        <v>-4527</v>
      </c>
      <c r="H85" s="56">
        <f t="shared" si="8"/>
        <v>-705</v>
      </c>
      <c r="I85" s="56">
        <f t="shared" si="8"/>
        <v>15813</v>
      </c>
      <c r="J85" s="56">
        <f t="shared" si="8"/>
        <v>20372</v>
      </c>
      <c r="K85" s="56">
        <f t="shared" si="8"/>
        <v>24847</v>
      </c>
      <c r="L85" s="56">
        <f t="shared" si="8"/>
        <v>28113</v>
      </c>
      <c r="M85" s="56">
        <f t="shared" si="8"/>
        <v>24777</v>
      </c>
      <c r="N85" s="56">
        <f t="shared" si="8"/>
        <v>-13451</v>
      </c>
      <c r="O85" s="56">
        <f t="shared" si="8"/>
        <v>100468</v>
      </c>
      <c r="P85" s="56"/>
      <c r="Q85" s="56"/>
      <c r="R85" s="56"/>
      <c r="S85" s="56"/>
    </row>
    <row r="87" spans="1:20" x14ac:dyDescent="0.35">
      <c r="A87" s="46" t="s">
        <v>1379</v>
      </c>
    </row>
    <row r="88" spans="1:20" x14ac:dyDescent="0.35">
      <c r="A88" s="1056" t="s">
        <v>1186</v>
      </c>
      <c r="B88" s="1057" t="s">
        <v>1187</v>
      </c>
      <c r="C88" s="1058">
        <v>2022</v>
      </c>
      <c r="D88" s="1058">
        <v>2023</v>
      </c>
      <c r="E88" s="1058">
        <v>2024</v>
      </c>
      <c r="F88" s="1058">
        <v>2025</v>
      </c>
      <c r="G88" s="1058">
        <v>2026</v>
      </c>
      <c r="H88" s="1058">
        <v>2027</v>
      </c>
      <c r="I88" s="1058">
        <v>2028</v>
      </c>
      <c r="J88" s="1058">
        <v>2029</v>
      </c>
      <c r="K88" s="1058">
        <v>2030</v>
      </c>
      <c r="L88" s="1058">
        <v>2031</v>
      </c>
      <c r="M88" s="1059" t="s">
        <v>1188</v>
      </c>
      <c r="N88" s="1059" t="s">
        <v>1189</v>
      </c>
      <c r="O88" s="1060" t="s">
        <v>1190</v>
      </c>
      <c r="P88" s="1060"/>
      <c r="Q88" s="1060"/>
      <c r="R88" s="1060"/>
      <c r="S88" s="1060"/>
      <c r="T88" s="1061" t="s">
        <v>1191</v>
      </c>
    </row>
    <row r="89" spans="1:20" x14ac:dyDescent="0.35">
      <c r="A89" s="1062" t="s">
        <v>1192</v>
      </c>
      <c r="B89" s="1063" t="s">
        <v>1193</v>
      </c>
      <c r="C89" s="1064">
        <v>0</v>
      </c>
      <c r="D89" s="1064">
        <v>3</v>
      </c>
      <c r="E89" s="1064">
        <v>3</v>
      </c>
      <c r="F89" s="1064">
        <v>3</v>
      </c>
      <c r="G89" s="1064">
        <v>3</v>
      </c>
      <c r="H89" s="1064">
        <v>1</v>
      </c>
      <c r="I89" s="1064">
        <v>0</v>
      </c>
      <c r="J89" s="1064">
        <v>0</v>
      </c>
      <c r="K89" s="1064">
        <v>0</v>
      </c>
      <c r="L89" s="1064">
        <v>0</v>
      </c>
      <c r="M89" s="1064">
        <v>12</v>
      </c>
      <c r="N89" s="1064">
        <v>13</v>
      </c>
      <c r="O89" s="1065" t="s">
        <v>1194</v>
      </c>
      <c r="P89" s="1065"/>
      <c r="Q89" s="1065"/>
      <c r="R89" s="1065"/>
      <c r="S89" s="1065"/>
      <c r="T89" s="1066"/>
    </row>
    <row r="90" spans="1:20" ht="24" customHeight="1" x14ac:dyDescent="0.35">
      <c r="A90" s="1062" t="s">
        <v>1195</v>
      </c>
      <c r="B90" s="1063" t="s">
        <v>1196</v>
      </c>
      <c r="C90" s="1064">
        <v>0</v>
      </c>
      <c r="D90" s="1064">
        <v>65</v>
      </c>
      <c r="E90" s="1064">
        <v>1360</v>
      </c>
      <c r="F90" s="1064">
        <v>2430</v>
      </c>
      <c r="G90" s="1064">
        <v>2800</v>
      </c>
      <c r="H90" s="1064">
        <v>1740</v>
      </c>
      <c r="I90" s="1064">
        <v>570</v>
      </c>
      <c r="J90" s="1064">
        <v>35</v>
      </c>
      <c r="K90" s="1064">
        <v>0</v>
      </c>
      <c r="L90" s="1064">
        <v>0</v>
      </c>
      <c r="M90" s="1064">
        <v>6655</v>
      </c>
      <c r="N90" s="1064">
        <v>9000</v>
      </c>
      <c r="O90" s="1065" t="s">
        <v>1194</v>
      </c>
      <c r="P90" s="1065"/>
      <c r="Q90" s="1065"/>
      <c r="R90" s="1065"/>
      <c r="S90" s="1065"/>
      <c r="T90" s="1067"/>
    </row>
    <row r="91" spans="1:20" x14ac:dyDescent="0.35">
      <c r="A91" s="1068" t="s">
        <v>1197</v>
      </c>
      <c r="B91" s="1069" t="s">
        <v>1198</v>
      </c>
      <c r="C91" s="1070">
        <v>0</v>
      </c>
      <c r="D91" s="1070">
        <v>0</v>
      </c>
      <c r="E91" s="1070">
        <v>601</v>
      </c>
      <c r="F91" s="1071">
        <v>1038</v>
      </c>
      <c r="G91" s="1071">
        <v>1251</v>
      </c>
      <c r="H91" s="1071">
        <v>1431</v>
      </c>
      <c r="I91" s="1071">
        <v>1492</v>
      </c>
      <c r="J91" s="1071">
        <v>1530</v>
      </c>
      <c r="K91" s="1071">
        <v>1567</v>
      </c>
      <c r="L91" s="1071">
        <v>1606</v>
      </c>
      <c r="M91" s="1071">
        <v>2890</v>
      </c>
      <c r="N91" s="1071">
        <v>10516</v>
      </c>
      <c r="O91" s="1072" t="s">
        <v>1199</v>
      </c>
      <c r="P91" s="1072"/>
      <c r="Q91" s="1072"/>
      <c r="R91" s="1072"/>
      <c r="S91" s="1072"/>
      <c r="T91" s="1073"/>
    </row>
    <row r="92" spans="1:20" x14ac:dyDescent="0.35">
      <c r="A92" s="1074" t="s">
        <v>1200</v>
      </c>
      <c r="B92" s="1075" t="s">
        <v>1201</v>
      </c>
      <c r="C92" s="1141">
        <v>0</v>
      </c>
      <c r="D92" s="1141">
        <v>30</v>
      </c>
      <c r="E92" s="1141">
        <v>120</v>
      </c>
      <c r="F92" s="1141">
        <v>165</v>
      </c>
      <c r="G92" s="1141">
        <v>370</v>
      </c>
      <c r="H92" s="1141">
        <v>470</v>
      </c>
      <c r="I92" s="1141">
        <v>420</v>
      </c>
      <c r="J92" s="1141">
        <v>285</v>
      </c>
      <c r="K92" s="1141">
        <v>220</v>
      </c>
      <c r="L92" s="1142">
        <v>65</v>
      </c>
      <c r="M92" s="1141">
        <v>685</v>
      </c>
      <c r="N92" s="1076">
        <v>2145</v>
      </c>
      <c r="O92" s="1077" t="s">
        <v>1202</v>
      </c>
      <c r="P92" s="1122"/>
      <c r="Q92" s="1122"/>
      <c r="R92" s="1122"/>
      <c r="S92" s="1122"/>
      <c r="T92" s="1078" t="s">
        <v>1203</v>
      </c>
    </row>
    <row r="93" spans="1:20" x14ac:dyDescent="0.35">
      <c r="A93" s="1062" t="s">
        <v>1204</v>
      </c>
      <c r="B93" s="1063" t="s">
        <v>1205</v>
      </c>
      <c r="C93" s="1064">
        <v>0</v>
      </c>
      <c r="D93" s="1064">
        <v>2</v>
      </c>
      <c r="E93" s="1064">
        <v>10</v>
      </c>
      <c r="F93" s="1064">
        <v>25</v>
      </c>
      <c r="G93" s="1064">
        <v>28</v>
      </c>
      <c r="H93" s="1064">
        <v>17</v>
      </c>
      <c r="I93" s="1064">
        <v>11</v>
      </c>
      <c r="J93" s="1064">
        <v>4</v>
      </c>
      <c r="K93" s="1064">
        <v>2</v>
      </c>
      <c r="L93" s="1064">
        <v>1</v>
      </c>
      <c r="M93" s="1064">
        <v>65</v>
      </c>
      <c r="N93" s="1064">
        <v>100</v>
      </c>
      <c r="O93" s="1065" t="s">
        <v>1202</v>
      </c>
      <c r="P93" s="1065"/>
      <c r="Q93" s="1065"/>
      <c r="R93" s="1065"/>
      <c r="S93" s="1065"/>
      <c r="T93" s="1066" t="s">
        <v>1206</v>
      </c>
    </row>
    <row r="94" spans="1:20" ht="24" customHeight="1" x14ac:dyDescent="0.35">
      <c r="A94" s="1079" t="s">
        <v>1207</v>
      </c>
      <c r="B94" s="1080" t="s">
        <v>1208</v>
      </c>
      <c r="C94" s="1064">
        <v>0</v>
      </c>
      <c r="D94" s="1064">
        <v>36</v>
      </c>
      <c r="E94" s="1064">
        <v>30</v>
      </c>
      <c r="F94" s="1064">
        <v>14</v>
      </c>
      <c r="G94" s="1064">
        <v>7</v>
      </c>
      <c r="H94" s="1064">
        <v>0</v>
      </c>
      <c r="I94" s="1064">
        <v>0</v>
      </c>
      <c r="J94" s="1064">
        <v>0</v>
      </c>
      <c r="K94" s="1064">
        <v>0</v>
      </c>
      <c r="L94" s="1064">
        <v>0</v>
      </c>
      <c r="M94" s="1064">
        <v>87</v>
      </c>
      <c r="N94" s="1064">
        <v>87</v>
      </c>
      <c r="O94" s="1065" t="s">
        <v>1202</v>
      </c>
      <c r="P94" s="1065"/>
      <c r="Q94" s="1065"/>
      <c r="R94" s="1065"/>
      <c r="S94" s="1065"/>
      <c r="T94" s="1066" t="s">
        <v>1209</v>
      </c>
    </row>
    <row r="95" spans="1:20" x14ac:dyDescent="0.35">
      <c r="A95" s="1062" t="s">
        <v>1210</v>
      </c>
      <c r="B95" s="1063" t="s">
        <v>1211</v>
      </c>
      <c r="C95" s="1064">
        <v>0</v>
      </c>
      <c r="D95" s="1081">
        <v>5240</v>
      </c>
      <c r="E95" s="1081">
        <v>4175</v>
      </c>
      <c r="F95" s="1081">
        <v>5215</v>
      </c>
      <c r="G95" s="1081">
        <v>6493</v>
      </c>
      <c r="H95" s="1081">
        <v>7982</v>
      </c>
      <c r="I95" s="1081">
        <v>9820</v>
      </c>
      <c r="J95" s="1081">
        <v>11813</v>
      </c>
      <c r="K95" s="1081">
        <v>14269</v>
      </c>
      <c r="L95" s="1081">
        <v>14605</v>
      </c>
      <c r="M95" s="1081">
        <v>21123</v>
      </c>
      <c r="N95" s="1081">
        <v>79612</v>
      </c>
      <c r="O95" s="1082" t="s">
        <v>1202</v>
      </c>
      <c r="P95" s="1082"/>
      <c r="Q95" s="1082"/>
      <c r="R95" s="1082"/>
      <c r="S95" s="1082"/>
      <c r="T95" s="1066"/>
    </row>
    <row r="96" spans="1:20" x14ac:dyDescent="0.35">
      <c r="A96" s="1062" t="s">
        <v>1212</v>
      </c>
      <c r="B96" s="1063" t="s">
        <v>1213</v>
      </c>
      <c r="C96" s="1083">
        <v>0</v>
      </c>
      <c r="D96" s="1083">
        <v>55</v>
      </c>
      <c r="E96" s="1083">
        <v>55</v>
      </c>
      <c r="F96" s="1083">
        <v>55</v>
      </c>
      <c r="G96" s="1083">
        <v>55</v>
      </c>
      <c r="H96" s="1083">
        <v>55</v>
      </c>
      <c r="I96" s="1083">
        <v>55</v>
      </c>
      <c r="J96" s="1083">
        <v>55</v>
      </c>
      <c r="K96" s="1083">
        <v>55</v>
      </c>
      <c r="L96" s="1083">
        <v>55</v>
      </c>
      <c r="M96" s="1083">
        <v>220</v>
      </c>
      <c r="N96" s="1083">
        <v>495</v>
      </c>
      <c r="O96" s="1084" t="s">
        <v>1202</v>
      </c>
      <c r="P96" s="1084"/>
      <c r="Q96" s="1084"/>
      <c r="R96" s="1084"/>
      <c r="S96" s="1084"/>
      <c r="T96" s="1067"/>
    </row>
    <row r="97" spans="1:20" x14ac:dyDescent="0.35">
      <c r="A97" s="1062" t="s">
        <v>1214</v>
      </c>
      <c r="B97" s="1063" t="s">
        <v>1215</v>
      </c>
      <c r="C97" s="1064">
        <v>0</v>
      </c>
      <c r="D97" s="1064">
        <v>19</v>
      </c>
      <c r="E97" s="1064">
        <v>26</v>
      </c>
      <c r="F97" s="1064">
        <v>27</v>
      </c>
      <c r="G97" s="1064">
        <v>17</v>
      </c>
      <c r="H97" s="1064">
        <v>7</v>
      </c>
      <c r="I97" s="1064">
        <v>3</v>
      </c>
      <c r="J97" s="1064">
        <v>1</v>
      </c>
      <c r="K97" s="1064">
        <v>0</v>
      </c>
      <c r="L97" s="1064">
        <v>0</v>
      </c>
      <c r="M97" s="1064">
        <v>89</v>
      </c>
      <c r="N97" s="1064">
        <v>100</v>
      </c>
      <c r="O97" s="1082" t="s">
        <v>1202</v>
      </c>
      <c r="P97" s="1082"/>
      <c r="Q97" s="1082"/>
      <c r="R97" s="1082"/>
      <c r="S97" s="1082"/>
      <c r="T97" s="1067"/>
    </row>
    <row r="98" spans="1:20" x14ac:dyDescent="0.35">
      <c r="A98" s="1062" t="s">
        <v>1216</v>
      </c>
      <c r="B98" s="1063" t="s">
        <v>1217</v>
      </c>
      <c r="C98" s="1064">
        <v>0</v>
      </c>
      <c r="D98" s="1064">
        <v>15</v>
      </c>
      <c r="E98" s="1064">
        <v>15</v>
      </c>
      <c r="F98" s="1064">
        <v>15</v>
      </c>
      <c r="G98" s="1064">
        <v>10</v>
      </c>
      <c r="H98" s="1064">
        <v>10</v>
      </c>
      <c r="I98" s="1064">
        <v>10</v>
      </c>
      <c r="J98" s="1064">
        <v>10</v>
      </c>
      <c r="K98" s="1064">
        <v>10</v>
      </c>
      <c r="L98" s="1064">
        <v>5</v>
      </c>
      <c r="M98" s="1064">
        <v>55</v>
      </c>
      <c r="N98" s="1064">
        <v>100</v>
      </c>
      <c r="O98" s="1065" t="s">
        <v>1202</v>
      </c>
      <c r="P98" s="1065"/>
      <c r="Q98" s="1065"/>
      <c r="R98" s="1065"/>
      <c r="S98" s="1065"/>
      <c r="T98" s="1067"/>
    </row>
    <row r="99" spans="1:20" ht="36" customHeight="1" x14ac:dyDescent="0.35">
      <c r="A99" s="1062" t="s">
        <v>1218</v>
      </c>
      <c r="B99" s="1063" t="s">
        <v>1219</v>
      </c>
      <c r="C99" s="1085">
        <v>0</v>
      </c>
      <c r="D99" s="1085">
        <v>22</v>
      </c>
      <c r="E99" s="1085">
        <v>96</v>
      </c>
      <c r="F99" s="1085">
        <v>170</v>
      </c>
      <c r="G99" s="1085">
        <v>213</v>
      </c>
      <c r="H99" s="1085">
        <v>160</v>
      </c>
      <c r="I99" s="1085">
        <v>47</v>
      </c>
      <c r="J99" s="1085">
        <v>2</v>
      </c>
      <c r="K99" s="1085">
        <v>0</v>
      </c>
      <c r="L99" s="1085">
        <v>0</v>
      </c>
      <c r="M99" s="1085">
        <v>501</v>
      </c>
      <c r="N99" s="1085">
        <v>710</v>
      </c>
      <c r="O99" s="1064" t="s">
        <v>1202</v>
      </c>
      <c r="P99" s="1064"/>
      <c r="Q99" s="1064"/>
      <c r="R99" s="1064"/>
      <c r="S99" s="1064"/>
      <c r="T99" s="1067"/>
    </row>
    <row r="100" spans="1:20" ht="36" customHeight="1" x14ac:dyDescent="0.35">
      <c r="A100" s="1062" t="s">
        <v>1220</v>
      </c>
      <c r="B100" s="1063" t="s">
        <v>1221</v>
      </c>
      <c r="C100" s="1086"/>
      <c r="D100" s="1086">
        <v>90</v>
      </c>
      <c r="E100" s="1086">
        <v>260</v>
      </c>
      <c r="F100" s="1086">
        <v>427</v>
      </c>
      <c r="G100" s="1086">
        <v>560</v>
      </c>
      <c r="H100" s="1086">
        <v>572</v>
      </c>
      <c r="I100" s="1086">
        <v>534</v>
      </c>
      <c r="J100" s="1086">
        <v>275</v>
      </c>
      <c r="K100" s="1086">
        <v>162</v>
      </c>
      <c r="L100" s="1086">
        <v>70</v>
      </c>
      <c r="M100" s="1086">
        <v>1347</v>
      </c>
      <c r="N100" s="1086">
        <v>2960</v>
      </c>
      <c r="O100" s="1087" t="s">
        <v>1202</v>
      </c>
      <c r="P100" s="1087"/>
      <c r="Q100" s="1087"/>
      <c r="R100" s="1087"/>
      <c r="S100" s="1087"/>
      <c r="T100" s="1067"/>
    </row>
    <row r="101" spans="1:20" x14ac:dyDescent="0.35">
      <c r="A101" s="1062" t="s">
        <v>1222</v>
      </c>
      <c r="B101" s="1063" t="s">
        <v>1223</v>
      </c>
      <c r="C101" s="1064">
        <v>0</v>
      </c>
      <c r="D101" s="1064">
        <v>40</v>
      </c>
      <c r="E101" s="1064">
        <v>60</v>
      </c>
      <c r="F101" s="1064">
        <v>52</v>
      </c>
      <c r="G101" s="1064">
        <v>40</v>
      </c>
      <c r="H101" s="1064">
        <v>27</v>
      </c>
      <c r="I101" s="1064">
        <v>19</v>
      </c>
      <c r="J101" s="1064">
        <v>10</v>
      </c>
      <c r="K101" s="1064">
        <v>2</v>
      </c>
      <c r="L101" s="1064">
        <v>0</v>
      </c>
      <c r="M101" s="1064">
        <v>192</v>
      </c>
      <c r="N101" s="1064">
        <v>250</v>
      </c>
      <c r="O101" s="1065" t="s">
        <v>1202</v>
      </c>
      <c r="P101" s="1065"/>
      <c r="Q101" s="1065"/>
      <c r="R101" s="1065"/>
      <c r="S101" s="1065"/>
      <c r="T101" s="1067"/>
    </row>
    <row r="102" spans="1:20" x14ac:dyDescent="0.35">
      <c r="A102" s="1079" t="s">
        <v>1224</v>
      </c>
      <c r="B102" s="1080" t="s">
        <v>1225</v>
      </c>
      <c r="C102" s="1064">
        <v>0</v>
      </c>
      <c r="D102" s="1064">
        <v>49</v>
      </c>
      <c r="E102" s="1064">
        <v>62</v>
      </c>
      <c r="F102" s="1064">
        <v>62</v>
      </c>
      <c r="G102" s="1064">
        <v>62</v>
      </c>
      <c r="H102" s="1064">
        <v>63</v>
      </c>
      <c r="I102" s="1064">
        <v>63</v>
      </c>
      <c r="J102" s="1064">
        <v>63</v>
      </c>
      <c r="K102" s="1064">
        <v>64</v>
      </c>
      <c r="L102" s="1064">
        <v>12</v>
      </c>
      <c r="M102" s="1064">
        <v>235</v>
      </c>
      <c r="N102" s="1064">
        <v>500</v>
      </c>
      <c r="O102" s="1065" t="s">
        <v>1202</v>
      </c>
      <c r="P102" s="1065"/>
      <c r="Q102" s="1065"/>
      <c r="R102" s="1065"/>
      <c r="S102" s="1065"/>
      <c r="T102" s="1067"/>
    </row>
    <row r="103" spans="1:20" x14ac:dyDescent="0.35">
      <c r="A103" s="1062" t="s">
        <v>1226</v>
      </c>
      <c r="B103" s="1063" t="s">
        <v>1227</v>
      </c>
      <c r="C103" s="1064">
        <v>0</v>
      </c>
      <c r="D103" s="1064">
        <v>0</v>
      </c>
      <c r="E103" s="1064">
        <v>0</v>
      </c>
      <c r="F103" s="1064">
        <v>0</v>
      </c>
      <c r="G103" s="1064">
        <v>-20</v>
      </c>
      <c r="H103" s="1064">
        <v>-28</v>
      </c>
      <c r="I103" s="1064">
        <v>-28</v>
      </c>
      <c r="J103" s="1064">
        <v>-28</v>
      </c>
      <c r="K103" s="1064">
        <v>-28</v>
      </c>
      <c r="L103" s="1064">
        <v>-28</v>
      </c>
      <c r="M103" s="1064">
        <v>-20</v>
      </c>
      <c r="N103" s="1064">
        <v>-160</v>
      </c>
      <c r="O103" s="1065" t="s">
        <v>1202</v>
      </c>
      <c r="P103" s="1065"/>
      <c r="Q103" s="1065"/>
      <c r="R103" s="1065"/>
      <c r="S103" s="1065"/>
      <c r="T103" s="1067"/>
    </row>
    <row r="104" spans="1:20" ht="24" customHeight="1" x14ac:dyDescent="0.35">
      <c r="A104" s="1062" t="s">
        <v>1228</v>
      </c>
      <c r="B104" s="1063" t="s">
        <v>1229</v>
      </c>
      <c r="C104" s="1064">
        <v>0</v>
      </c>
      <c r="D104" s="1064">
        <v>-235</v>
      </c>
      <c r="E104" s="1064">
        <v>-44</v>
      </c>
      <c r="F104" s="1064">
        <v>-22</v>
      </c>
      <c r="G104" s="1064">
        <v>-26</v>
      </c>
      <c r="H104" s="1064">
        <v>-23</v>
      </c>
      <c r="I104" s="1064">
        <v>-19</v>
      </c>
      <c r="J104" s="1064">
        <v>-41</v>
      </c>
      <c r="K104" s="1064">
        <v>-35</v>
      </c>
      <c r="L104" s="1064">
        <v>-39</v>
      </c>
      <c r="M104" s="1064">
        <v>-327</v>
      </c>
      <c r="N104" s="1064">
        <v>-484</v>
      </c>
      <c r="O104" s="1065" t="s">
        <v>1202</v>
      </c>
      <c r="P104" s="1065"/>
      <c r="Q104" s="1065"/>
      <c r="R104" s="1065"/>
      <c r="S104" s="1065"/>
      <c r="T104" s="1067"/>
    </row>
    <row r="105" spans="1:20" x14ac:dyDescent="0.35">
      <c r="A105" s="1062" t="s">
        <v>1230</v>
      </c>
      <c r="B105" s="1063" t="s">
        <v>1231</v>
      </c>
      <c r="C105" s="1064">
        <v>0</v>
      </c>
      <c r="D105" s="1064">
        <v>7</v>
      </c>
      <c r="E105" s="1064">
        <v>8</v>
      </c>
      <c r="F105" s="1064">
        <v>6</v>
      </c>
      <c r="G105" s="1064">
        <v>2</v>
      </c>
      <c r="H105" s="1064">
        <v>1</v>
      </c>
      <c r="I105" s="1064">
        <v>0</v>
      </c>
      <c r="J105" s="1064">
        <v>0</v>
      </c>
      <c r="K105" s="1064">
        <v>0</v>
      </c>
      <c r="L105" s="1064">
        <v>0</v>
      </c>
      <c r="M105" s="1064">
        <v>23</v>
      </c>
      <c r="N105" s="1064">
        <v>24</v>
      </c>
      <c r="O105" s="1065" t="s">
        <v>1202</v>
      </c>
      <c r="P105" s="1065"/>
      <c r="Q105" s="1065"/>
      <c r="R105" s="1065"/>
      <c r="S105" s="1065"/>
      <c r="T105" s="1067"/>
    </row>
    <row r="106" spans="1:20" ht="36" customHeight="1" x14ac:dyDescent="0.35">
      <c r="A106" s="1062" t="s">
        <v>1232</v>
      </c>
      <c r="B106" s="1063" t="s">
        <v>1233</v>
      </c>
      <c r="C106" s="1064">
        <v>0</v>
      </c>
      <c r="D106" s="1064">
        <v>50</v>
      </c>
      <c r="E106" s="1064">
        <v>77</v>
      </c>
      <c r="F106" s="1064">
        <v>87</v>
      </c>
      <c r="G106" s="1064">
        <v>81</v>
      </c>
      <c r="H106" s="1064">
        <v>50</v>
      </c>
      <c r="I106" s="1064">
        <v>30</v>
      </c>
      <c r="J106" s="1064">
        <v>10</v>
      </c>
      <c r="K106" s="1064">
        <v>0</v>
      </c>
      <c r="L106" s="1064">
        <v>0</v>
      </c>
      <c r="M106" s="1064">
        <v>295</v>
      </c>
      <c r="N106" s="1064">
        <v>385</v>
      </c>
      <c r="O106" s="1065" t="s">
        <v>1202</v>
      </c>
      <c r="P106" s="1065"/>
      <c r="Q106" s="1065"/>
      <c r="R106" s="1065"/>
      <c r="S106" s="1065"/>
      <c r="T106" s="1067"/>
    </row>
    <row r="107" spans="1:20" x14ac:dyDescent="0.35">
      <c r="A107" s="1079" t="s">
        <v>1234</v>
      </c>
      <c r="B107" s="1080" t="s">
        <v>1235</v>
      </c>
      <c r="C107" s="1064">
        <v>0</v>
      </c>
      <c r="D107" s="1064">
        <v>3</v>
      </c>
      <c r="E107" s="1064">
        <v>2</v>
      </c>
      <c r="F107" s="1064">
        <v>0</v>
      </c>
      <c r="G107" s="1064">
        <v>0</v>
      </c>
      <c r="H107" s="1064">
        <v>0</v>
      </c>
      <c r="I107" s="1064">
        <v>0</v>
      </c>
      <c r="J107" s="1064">
        <v>0</v>
      </c>
      <c r="K107" s="1064">
        <v>0</v>
      </c>
      <c r="L107" s="1064">
        <v>0</v>
      </c>
      <c r="M107" s="1064">
        <v>5</v>
      </c>
      <c r="N107" s="1064">
        <v>5</v>
      </c>
      <c r="O107" s="1065" t="s">
        <v>1236</v>
      </c>
      <c r="P107" s="1065"/>
      <c r="Q107" s="1065"/>
      <c r="R107" s="1065"/>
      <c r="S107" s="1065"/>
      <c r="T107" s="1067"/>
    </row>
    <row r="108" spans="1:20" x14ac:dyDescent="0.35">
      <c r="A108" s="1079" t="s">
        <v>1237</v>
      </c>
      <c r="B108" s="1080" t="s">
        <v>1238</v>
      </c>
      <c r="C108" s="1064">
        <v>0</v>
      </c>
      <c r="D108" s="1064">
        <v>70</v>
      </c>
      <c r="E108" s="1064">
        <v>80</v>
      </c>
      <c r="F108" s="1064">
        <v>62</v>
      </c>
      <c r="G108" s="1064">
        <v>25</v>
      </c>
      <c r="H108" s="1064">
        <v>13</v>
      </c>
      <c r="I108" s="1064">
        <v>0</v>
      </c>
      <c r="J108" s="1064">
        <v>0</v>
      </c>
      <c r="K108" s="1064">
        <v>0</v>
      </c>
      <c r="L108" s="1064">
        <v>0</v>
      </c>
      <c r="M108" s="1064">
        <v>237</v>
      </c>
      <c r="N108" s="1064">
        <v>250</v>
      </c>
      <c r="O108" s="1065" t="s">
        <v>1236</v>
      </c>
      <c r="P108" s="1065"/>
      <c r="Q108" s="1065"/>
      <c r="R108" s="1065"/>
      <c r="S108" s="1065"/>
      <c r="T108" s="1067"/>
    </row>
    <row r="109" spans="1:20" ht="24" customHeight="1" x14ac:dyDescent="0.35">
      <c r="A109" s="1079" t="s">
        <v>1239</v>
      </c>
      <c r="B109" s="1080" t="s">
        <v>1240</v>
      </c>
      <c r="C109" s="1083">
        <v>0</v>
      </c>
      <c r="D109" s="1083">
        <v>33</v>
      </c>
      <c r="E109" s="1083">
        <v>54</v>
      </c>
      <c r="F109" s="1083">
        <v>37</v>
      </c>
      <c r="G109" s="1083">
        <v>16</v>
      </c>
      <c r="H109" s="1083">
        <v>0</v>
      </c>
      <c r="I109" s="1083">
        <v>0</v>
      </c>
      <c r="J109" s="1083">
        <v>0</v>
      </c>
      <c r="K109" s="1083">
        <v>0</v>
      </c>
      <c r="L109" s="1083">
        <v>0</v>
      </c>
      <c r="M109" s="1083">
        <v>140</v>
      </c>
      <c r="N109" s="1083">
        <v>140</v>
      </c>
      <c r="O109" s="1065" t="s">
        <v>1202</v>
      </c>
      <c r="P109" s="1065"/>
      <c r="Q109" s="1065"/>
      <c r="R109" s="1065"/>
      <c r="S109" s="1065"/>
      <c r="T109" s="1067"/>
    </row>
    <row r="110" spans="1:20" x14ac:dyDescent="0.35">
      <c r="A110" s="1062" t="s">
        <v>1241</v>
      </c>
      <c r="B110" s="1063" t="s">
        <v>1242</v>
      </c>
      <c r="C110" s="1064">
        <v>0</v>
      </c>
      <c r="D110" s="1064">
        <v>40</v>
      </c>
      <c r="E110" s="1064">
        <v>40</v>
      </c>
      <c r="F110" s="1064">
        <v>30</v>
      </c>
      <c r="G110" s="1064">
        <v>10</v>
      </c>
      <c r="H110" s="1064">
        <v>5</v>
      </c>
      <c r="I110" s="1064">
        <v>0</v>
      </c>
      <c r="J110" s="1064">
        <v>0</v>
      </c>
      <c r="K110" s="1064">
        <v>0</v>
      </c>
      <c r="L110" s="1064">
        <v>0</v>
      </c>
      <c r="M110" s="1064">
        <v>120</v>
      </c>
      <c r="N110" s="1064">
        <v>125</v>
      </c>
      <c r="O110" s="1065" t="s">
        <v>1202</v>
      </c>
      <c r="P110" s="1065"/>
      <c r="Q110" s="1065"/>
      <c r="R110" s="1065"/>
      <c r="S110" s="1065"/>
      <c r="T110" s="1067"/>
    </row>
    <row r="111" spans="1:20" x14ac:dyDescent="0.35">
      <c r="A111" s="1079" t="s">
        <v>1243</v>
      </c>
      <c r="B111" s="1063" t="s">
        <v>1244</v>
      </c>
      <c r="C111" s="1064">
        <v>0</v>
      </c>
      <c r="D111" s="1064">
        <v>5</v>
      </c>
      <c r="E111" s="1064">
        <v>8</v>
      </c>
      <c r="F111" s="1064">
        <v>8</v>
      </c>
      <c r="G111" s="1064">
        <v>8</v>
      </c>
      <c r="H111" s="1064">
        <v>4</v>
      </c>
      <c r="I111" s="1064">
        <v>0</v>
      </c>
      <c r="J111" s="1064">
        <v>0</v>
      </c>
      <c r="K111" s="1064">
        <v>0</v>
      </c>
      <c r="L111" s="1064">
        <v>0</v>
      </c>
      <c r="M111" s="1064">
        <v>29</v>
      </c>
      <c r="N111" s="1064">
        <v>33</v>
      </c>
      <c r="O111" s="1065" t="s">
        <v>1202</v>
      </c>
      <c r="P111" s="1065"/>
      <c r="Q111" s="1065"/>
      <c r="R111" s="1065"/>
      <c r="S111" s="1065"/>
      <c r="T111" s="1067"/>
    </row>
    <row r="112" spans="1:20" x14ac:dyDescent="0.35">
      <c r="A112" s="1062" t="s">
        <v>1245</v>
      </c>
      <c r="B112" s="1080" t="s">
        <v>1246</v>
      </c>
      <c r="C112" s="1064">
        <v>0</v>
      </c>
      <c r="D112" s="1064">
        <v>3</v>
      </c>
      <c r="E112" s="1064">
        <v>8</v>
      </c>
      <c r="F112" s="1064">
        <v>8</v>
      </c>
      <c r="G112" s="1064">
        <v>8</v>
      </c>
      <c r="H112" s="1064">
        <v>3</v>
      </c>
      <c r="I112" s="1064">
        <v>0</v>
      </c>
      <c r="J112" s="1064">
        <v>0</v>
      </c>
      <c r="K112" s="1064">
        <v>0</v>
      </c>
      <c r="L112" s="1064">
        <v>0</v>
      </c>
      <c r="M112" s="1064">
        <v>27</v>
      </c>
      <c r="N112" s="1064">
        <v>30</v>
      </c>
      <c r="O112" s="1065" t="s">
        <v>1202</v>
      </c>
      <c r="P112" s="1065"/>
      <c r="Q112" s="1065"/>
      <c r="R112" s="1065"/>
      <c r="S112" s="1065"/>
      <c r="T112" s="1067"/>
    </row>
    <row r="113" spans="1:20" ht="24" customHeight="1" x14ac:dyDescent="0.35">
      <c r="A113" s="1062" t="s">
        <v>1247</v>
      </c>
      <c r="B113" s="1063" t="s">
        <v>1248</v>
      </c>
      <c r="C113" s="1083">
        <v>0</v>
      </c>
      <c r="D113" s="1083">
        <v>165</v>
      </c>
      <c r="E113" s="1083">
        <v>165</v>
      </c>
      <c r="F113" s="1083">
        <v>230</v>
      </c>
      <c r="G113" s="1083">
        <v>340</v>
      </c>
      <c r="H113" s="1083">
        <v>490</v>
      </c>
      <c r="I113" s="1083">
        <v>540</v>
      </c>
      <c r="J113" s="1083">
        <v>640</v>
      </c>
      <c r="K113" s="1083">
        <v>475</v>
      </c>
      <c r="L113" s="1083">
        <v>330</v>
      </c>
      <c r="M113" s="1083">
        <v>900</v>
      </c>
      <c r="N113" s="1083">
        <v>3375</v>
      </c>
      <c r="O113" s="1082" t="s">
        <v>1202</v>
      </c>
      <c r="P113" s="1082"/>
      <c r="Q113" s="1082"/>
      <c r="R113" s="1082"/>
      <c r="S113" s="1082"/>
      <c r="T113" s="1067"/>
    </row>
    <row r="114" spans="1:20" ht="24" customHeight="1" x14ac:dyDescent="0.35">
      <c r="A114" s="1088" t="s">
        <v>1218</v>
      </c>
      <c r="B114" s="1089" t="s">
        <v>1249</v>
      </c>
      <c r="C114" s="1064">
        <v>0</v>
      </c>
      <c r="D114" s="1064">
        <v>195</v>
      </c>
      <c r="E114" s="1064">
        <v>448</v>
      </c>
      <c r="F114" s="1064">
        <v>641</v>
      </c>
      <c r="G114" s="1064">
        <v>716</v>
      </c>
      <c r="H114" s="1064">
        <v>681</v>
      </c>
      <c r="I114" s="1064">
        <v>528</v>
      </c>
      <c r="J114" s="1064">
        <v>421</v>
      </c>
      <c r="K114" s="1064">
        <v>323</v>
      </c>
      <c r="L114" s="1064">
        <v>23</v>
      </c>
      <c r="M114" s="1081">
        <v>2000</v>
      </c>
      <c r="N114" s="1081">
        <v>3976</v>
      </c>
      <c r="O114" s="1082" t="s">
        <v>1202</v>
      </c>
      <c r="P114" s="1082"/>
      <c r="Q114" s="1082"/>
      <c r="R114" s="1082"/>
      <c r="S114" s="1082"/>
      <c r="T114" s="1090"/>
    </row>
    <row r="115" spans="1:20" ht="30" customHeight="1" x14ac:dyDescent="0.35">
      <c r="A115" s="1074" t="s">
        <v>1250</v>
      </c>
      <c r="B115" s="1075" t="s">
        <v>1251</v>
      </c>
      <c r="C115" s="1091">
        <v>0</v>
      </c>
      <c r="D115" s="1091">
        <v>20</v>
      </c>
      <c r="E115" s="1091">
        <v>57</v>
      </c>
      <c r="F115" s="1091">
        <v>96</v>
      </c>
      <c r="G115" s="1091">
        <v>150</v>
      </c>
      <c r="H115" s="1091">
        <v>200</v>
      </c>
      <c r="I115" s="1091">
        <v>185</v>
      </c>
      <c r="J115" s="1091">
        <v>147</v>
      </c>
      <c r="K115" s="1091">
        <v>106</v>
      </c>
      <c r="L115" s="1091">
        <v>39</v>
      </c>
      <c r="M115" s="1091">
        <v>323</v>
      </c>
      <c r="N115" s="1092">
        <v>1000</v>
      </c>
      <c r="O115" s="1093" t="s">
        <v>1252</v>
      </c>
      <c r="P115" s="1123"/>
      <c r="Q115" s="1123"/>
      <c r="R115" s="1123"/>
      <c r="S115" s="1123"/>
      <c r="T115" s="1094" t="s">
        <v>1253</v>
      </c>
    </row>
    <row r="116" spans="1:20" x14ac:dyDescent="0.35">
      <c r="A116" s="1079" t="s">
        <v>1254</v>
      </c>
      <c r="B116" s="1063" t="s">
        <v>1255</v>
      </c>
      <c r="C116" s="1064">
        <v>0</v>
      </c>
      <c r="D116" s="1064">
        <v>15</v>
      </c>
      <c r="E116" s="1064">
        <v>53</v>
      </c>
      <c r="F116" s="1064">
        <v>57</v>
      </c>
      <c r="G116" s="1064">
        <v>48</v>
      </c>
      <c r="H116" s="1064">
        <v>43</v>
      </c>
      <c r="I116" s="1064">
        <v>17</v>
      </c>
      <c r="J116" s="1064">
        <v>2</v>
      </c>
      <c r="K116" s="1064">
        <v>0</v>
      </c>
      <c r="L116" s="1064">
        <v>0</v>
      </c>
      <c r="M116" s="1064">
        <v>173</v>
      </c>
      <c r="N116" s="1064">
        <v>235</v>
      </c>
      <c r="O116" s="1065" t="s">
        <v>1256</v>
      </c>
      <c r="P116" s="1065"/>
      <c r="Q116" s="1065"/>
      <c r="R116" s="1065"/>
      <c r="S116" s="1065"/>
      <c r="T116" s="1066" t="s">
        <v>1257</v>
      </c>
    </row>
    <row r="117" spans="1:20" x14ac:dyDescent="0.35">
      <c r="A117" s="1062" t="s">
        <v>1258</v>
      </c>
      <c r="B117" s="1063" t="s">
        <v>1259</v>
      </c>
      <c r="C117" s="1064">
        <v>0</v>
      </c>
      <c r="D117" s="1064">
        <v>15</v>
      </c>
      <c r="E117" s="1064">
        <v>53</v>
      </c>
      <c r="F117" s="1064">
        <v>57</v>
      </c>
      <c r="G117" s="1064">
        <v>48</v>
      </c>
      <c r="H117" s="1064">
        <v>43</v>
      </c>
      <c r="I117" s="1064">
        <v>17</v>
      </c>
      <c r="J117" s="1064">
        <v>2</v>
      </c>
      <c r="K117" s="1064">
        <v>0</v>
      </c>
      <c r="L117" s="1064">
        <v>0</v>
      </c>
      <c r="M117" s="1064">
        <v>173</v>
      </c>
      <c r="N117" s="1064">
        <v>235</v>
      </c>
      <c r="O117" s="1065" t="s">
        <v>1256</v>
      </c>
      <c r="P117" s="1065"/>
      <c r="Q117" s="1065"/>
      <c r="R117" s="1065"/>
      <c r="S117" s="1065"/>
      <c r="T117" s="1066" t="s">
        <v>1257</v>
      </c>
    </row>
    <row r="118" spans="1:20" x14ac:dyDescent="0.35">
      <c r="A118" s="1079" t="s">
        <v>1260</v>
      </c>
      <c r="B118" s="1080" t="s">
        <v>1261</v>
      </c>
      <c r="C118" s="1064">
        <v>0</v>
      </c>
      <c r="D118" s="1064">
        <v>42</v>
      </c>
      <c r="E118" s="1064">
        <v>18</v>
      </c>
      <c r="F118" s="1064">
        <v>0</v>
      </c>
      <c r="G118" s="1064">
        <v>0</v>
      </c>
      <c r="H118" s="1064">
        <v>0</v>
      </c>
      <c r="I118" s="1064">
        <v>0</v>
      </c>
      <c r="J118" s="1064">
        <v>0</v>
      </c>
      <c r="K118" s="1064">
        <v>0</v>
      </c>
      <c r="L118" s="1064">
        <v>0</v>
      </c>
      <c r="M118" s="1064">
        <v>60</v>
      </c>
      <c r="N118" s="1064">
        <v>60</v>
      </c>
      <c r="O118" s="1065" t="s">
        <v>1252</v>
      </c>
      <c r="P118" s="1065"/>
      <c r="Q118" s="1065"/>
      <c r="R118" s="1065"/>
      <c r="S118" s="1065"/>
      <c r="T118" s="1067" t="s">
        <v>1262</v>
      </c>
    </row>
    <row r="119" spans="1:20" x14ac:dyDescent="0.35">
      <c r="A119" s="1062" t="s">
        <v>1263</v>
      </c>
      <c r="B119" s="1063" t="s">
        <v>1264</v>
      </c>
      <c r="C119" s="1064">
        <v>0</v>
      </c>
      <c r="D119" s="1064">
        <v>2</v>
      </c>
      <c r="E119" s="1064">
        <v>13</v>
      </c>
      <c r="F119" s="1064">
        <v>26</v>
      </c>
      <c r="G119" s="1064">
        <v>30</v>
      </c>
      <c r="H119" s="1064">
        <v>24</v>
      </c>
      <c r="I119" s="1064">
        <v>0</v>
      </c>
      <c r="J119" s="1064">
        <v>0</v>
      </c>
      <c r="K119" s="1064">
        <v>0</v>
      </c>
      <c r="L119" s="1064">
        <v>0</v>
      </c>
      <c r="M119" s="1064">
        <v>71</v>
      </c>
      <c r="N119" s="1064">
        <v>95</v>
      </c>
      <c r="O119" s="1065" t="s">
        <v>1252</v>
      </c>
      <c r="P119" s="1065"/>
      <c r="Q119" s="1065"/>
      <c r="R119" s="1065"/>
      <c r="S119" s="1065"/>
      <c r="T119" s="1066" t="s">
        <v>1265</v>
      </c>
    </row>
    <row r="120" spans="1:20" ht="36" customHeight="1" x14ac:dyDescent="0.35">
      <c r="A120" s="1062" t="s">
        <v>1266</v>
      </c>
      <c r="B120" s="1063" t="s">
        <v>1267</v>
      </c>
      <c r="C120" s="1064">
        <v>0</v>
      </c>
      <c r="D120" s="1064">
        <v>3</v>
      </c>
      <c r="E120" s="1064">
        <v>19</v>
      </c>
      <c r="F120" s="1064">
        <v>67</v>
      </c>
      <c r="G120" s="1064">
        <v>86</v>
      </c>
      <c r="H120" s="1064">
        <v>59</v>
      </c>
      <c r="I120" s="1064">
        <v>35</v>
      </c>
      <c r="J120" s="1064">
        <v>19</v>
      </c>
      <c r="K120" s="1064">
        <v>6</v>
      </c>
      <c r="L120" s="1064">
        <v>0</v>
      </c>
      <c r="M120" s="1064">
        <v>175</v>
      </c>
      <c r="N120" s="1064">
        <v>294</v>
      </c>
      <c r="O120" s="1065" t="s">
        <v>1252</v>
      </c>
      <c r="P120" s="1065"/>
      <c r="Q120" s="1065"/>
      <c r="R120" s="1065"/>
      <c r="S120" s="1065"/>
      <c r="T120" s="1090" t="s">
        <v>1268</v>
      </c>
    </row>
    <row r="121" spans="1:20" x14ac:dyDescent="0.35">
      <c r="A121" s="1062" t="s">
        <v>1269</v>
      </c>
      <c r="B121" s="1063" t="s">
        <v>1270</v>
      </c>
      <c r="C121" s="1064">
        <v>0</v>
      </c>
      <c r="D121" s="1064">
        <v>65</v>
      </c>
      <c r="E121" s="1064">
        <v>150</v>
      </c>
      <c r="F121" s="1064">
        <v>290</v>
      </c>
      <c r="G121" s="1064">
        <v>290</v>
      </c>
      <c r="H121" s="1064">
        <v>290</v>
      </c>
      <c r="I121" s="1064">
        <v>285</v>
      </c>
      <c r="J121" s="1064">
        <v>250</v>
      </c>
      <c r="K121" s="1064">
        <v>220</v>
      </c>
      <c r="L121" s="1064">
        <v>160</v>
      </c>
      <c r="M121" s="1064">
        <v>795</v>
      </c>
      <c r="N121" s="1081">
        <v>2000</v>
      </c>
      <c r="O121" s="1065" t="s">
        <v>1252</v>
      </c>
      <c r="P121" s="1065"/>
      <c r="Q121" s="1065"/>
      <c r="R121" s="1065"/>
      <c r="S121" s="1065"/>
      <c r="T121" s="1067"/>
    </row>
    <row r="122" spans="1:20" x14ac:dyDescent="0.35">
      <c r="A122" s="1062" t="s">
        <v>1271</v>
      </c>
      <c r="B122" s="1063" t="s">
        <v>1272</v>
      </c>
      <c r="C122" s="1064">
        <v>0</v>
      </c>
      <c r="D122" s="1064">
        <v>5</v>
      </c>
      <c r="E122" s="1064">
        <v>20</v>
      </c>
      <c r="F122" s="1064">
        <v>65</v>
      </c>
      <c r="G122" s="1064">
        <v>105</v>
      </c>
      <c r="H122" s="1064">
        <v>140</v>
      </c>
      <c r="I122" s="1064">
        <v>175</v>
      </c>
      <c r="J122" s="1064">
        <v>210</v>
      </c>
      <c r="K122" s="1064">
        <v>150</v>
      </c>
      <c r="L122" s="1064">
        <v>35</v>
      </c>
      <c r="M122" s="1064">
        <v>195</v>
      </c>
      <c r="N122" s="1064">
        <v>905</v>
      </c>
      <c r="O122" s="1095" t="s">
        <v>1252</v>
      </c>
      <c r="P122" s="1095"/>
      <c r="Q122" s="1095"/>
      <c r="R122" s="1095"/>
      <c r="S122" s="1095"/>
      <c r="T122" s="1096"/>
    </row>
    <row r="123" spans="1:20" x14ac:dyDescent="0.35">
      <c r="A123" s="1062" t="s">
        <v>1273</v>
      </c>
      <c r="B123" s="1063" t="s">
        <v>1274</v>
      </c>
      <c r="C123" s="1064">
        <v>0</v>
      </c>
      <c r="D123" s="1064">
        <v>10</v>
      </c>
      <c r="E123" s="1064">
        <v>150</v>
      </c>
      <c r="F123" s="1064">
        <v>300</v>
      </c>
      <c r="G123" s="1064">
        <v>590</v>
      </c>
      <c r="H123" s="1064">
        <v>460</v>
      </c>
      <c r="I123" s="1064">
        <v>295</v>
      </c>
      <c r="J123" s="1064">
        <v>195</v>
      </c>
      <c r="K123" s="1064">
        <v>0</v>
      </c>
      <c r="L123" s="1064">
        <v>0</v>
      </c>
      <c r="M123" s="1081">
        <v>1050</v>
      </c>
      <c r="N123" s="1081">
        <v>2000</v>
      </c>
      <c r="O123" s="1065" t="s">
        <v>1252</v>
      </c>
      <c r="P123" s="1065"/>
      <c r="Q123" s="1065"/>
      <c r="R123" s="1065"/>
      <c r="S123" s="1065"/>
      <c r="T123" s="1067"/>
    </row>
    <row r="124" spans="1:20" x14ac:dyDescent="0.35">
      <c r="A124" s="1062" t="s">
        <v>1275</v>
      </c>
      <c r="B124" s="1063" t="s">
        <v>1276</v>
      </c>
      <c r="C124" s="1064"/>
      <c r="D124" s="1064"/>
      <c r="E124" s="1064"/>
      <c r="F124" s="1064"/>
      <c r="G124" s="1064"/>
      <c r="H124" s="1064"/>
      <c r="I124" s="1064"/>
      <c r="J124" s="1064"/>
      <c r="K124" s="1064"/>
      <c r="L124" s="1064"/>
      <c r="M124" s="1064"/>
      <c r="N124" s="1064"/>
      <c r="O124" s="1065"/>
      <c r="P124" s="1065"/>
      <c r="Q124" s="1065"/>
      <c r="R124" s="1065"/>
      <c r="S124" s="1065"/>
      <c r="T124" s="1067"/>
    </row>
    <row r="125" spans="1:20" ht="24" customHeight="1" x14ac:dyDescent="0.35">
      <c r="A125" s="1079" t="s">
        <v>1277</v>
      </c>
      <c r="B125" s="1080" t="s">
        <v>1278</v>
      </c>
      <c r="C125" s="1083">
        <v>0</v>
      </c>
      <c r="D125" s="1083">
        <v>72</v>
      </c>
      <c r="E125" s="1083">
        <v>123</v>
      </c>
      <c r="F125" s="1083">
        <v>122</v>
      </c>
      <c r="G125" s="1083">
        <v>115</v>
      </c>
      <c r="H125" s="1083">
        <v>55</v>
      </c>
      <c r="I125" s="1083">
        <v>55</v>
      </c>
      <c r="J125" s="1083">
        <v>33</v>
      </c>
      <c r="K125" s="1083">
        <v>0</v>
      </c>
      <c r="L125" s="1083">
        <v>0</v>
      </c>
      <c r="M125" s="1083">
        <v>432</v>
      </c>
      <c r="N125" s="1083">
        <v>575</v>
      </c>
      <c r="O125" s="1064" t="s">
        <v>1252</v>
      </c>
      <c r="P125" s="1064"/>
      <c r="Q125" s="1064"/>
      <c r="R125" s="1064"/>
      <c r="S125" s="1064"/>
      <c r="T125" s="1067"/>
    </row>
    <row r="126" spans="1:20" x14ac:dyDescent="0.35">
      <c r="A126" s="1062" t="s">
        <v>1279</v>
      </c>
      <c r="B126" s="1063" t="s">
        <v>1280</v>
      </c>
      <c r="C126" s="1064">
        <v>0</v>
      </c>
      <c r="D126" s="1064">
        <v>1</v>
      </c>
      <c r="E126" s="1064">
        <v>2</v>
      </c>
      <c r="F126" s="1064">
        <v>2</v>
      </c>
      <c r="G126" s="1064">
        <v>2</v>
      </c>
      <c r="H126" s="1064">
        <v>2</v>
      </c>
      <c r="I126" s="1064">
        <v>2</v>
      </c>
      <c r="J126" s="1064">
        <v>2</v>
      </c>
      <c r="K126" s="1064">
        <v>2</v>
      </c>
      <c r="L126" s="1064">
        <v>1</v>
      </c>
      <c r="M126" s="1064">
        <v>7</v>
      </c>
      <c r="N126" s="1064">
        <v>16</v>
      </c>
      <c r="O126" s="1065" t="s">
        <v>1252</v>
      </c>
      <c r="P126" s="1065"/>
      <c r="Q126" s="1065"/>
      <c r="R126" s="1065"/>
      <c r="S126" s="1065"/>
      <c r="T126" s="1067"/>
    </row>
    <row r="127" spans="1:20" x14ac:dyDescent="0.35">
      <c r="A127" s="1062" t="s">
        <v>1281</v>
      </c>
      <c r="B127" s="1063" t="s">
        <v>1282</v>
      </c>
      <c r="C127" s="1064">
        <v>0</v>
      </c>
      <c r="D127" s="1064">
        <v>49</v>
      </c>
      <c r="E127" s="1064">
        <v>190</v>
      </c>
      <c r="F127" s="1064">
        <v>379</v>
      </c>
      <c r="G127" s="1064">
        <v>531</v>
      </c>
      <c r="H127" s="1064">
        <v>619</v>
      </c>
      <c r="I127" s="1064">
        <v>580</v>
      </c>
      <c r="J127" s="1064">
        <v>387</v>
      </c>
      <c r="K127" s="1064">
        <v>196</v>
      </c>
      <c r="L127" s="1064">
        <v>69</v>
      </c>
      <c r="M127" s="1081">
        <v>1149</v>
      </c>
      <c r="N127" s="1081">
        <v>3000</v>
      </c>
      <c r="O127" s="1065" t="s">
        <v>1252</v>
      </c>
      <c r="P127" s="1065"/>
      <c r="Q127" s="1065"/>
      <c r="R127" s="1065"/>
      <c r="S127" s="1065"/>
      <c r="T127" s="1067"/>
    </row>
    <row r="128" spans="1:20" x14ac:dyDescent="0.35">
      <c r="A128" s="1079" t="s">
        <v>1283</v>
      </c>
      <c r="B128" s="1080" t="s">
        <v>1284</v>
      </c>
      <c r="C128" s="1064">
        <v>0</v>
      </c>
      <c r="D128" s="1064">
        <v>22</v>
      </c>
      <c r="E128" s="1064">
        <v>22</v>
      </c>
      <c r="F128" s="1064">
        <v>6</v>
      </c>
      <c r="G128" s="1064">
        <v>0</v>
      </c>
      <c r="H128" s="1064">
        <v>0</v>
      </c>
      <c r="I128" s="1064">
        <v>0</v>
      </c>
      <c r="J128" s="1064">
        <v>0</v>
      </c>
      <c r="K128" s="1064">
        <v>0</v>
      </c>
      <c r="L128" s="1064">
        <v>0</v>
      </c>
      <c r="M128" s="1064">
        <v>50</v>
      </c>
      <c r="N128" s="1064">
        <v>50</v>
      </c>
      <c r="O128" s="1065" t="s">
        <v>1252</v>
      </c>
      <c r="P128" s="1065"/>
      <c r="Q128" s="1065"/>
      <c r="R128" s="1065"/>
      <c r="S128" s="1065"/>
      <c r="T128" s="1066"/>
    </row>
    <row r="129" spans="1:20" x14ac:dyDescent="0.35">
      <c r="A129" s="1062" t="s">
        <v>1285</v>
      </c>
      <c r="B129" s="1063" t="s">
        <v>1286</v>
      </c>
      <c r="C129" s="1064">
        <v>0</v>
      </c>
      <c r="D129" s="1064">
        <v>30</v>
      </c>
      <c r="E129" s="1064">
        <v>30</v>
      </c>
      <c r="F129" s="1064">
        <v>40</v>
      </c>
      <c r="G129" s="1064">
        <v>15</v>
      </c>
      <c r="H129" s="1064">
        <v>5</v>
      </c>
      <c r="I129" s="1064">
        <v>5</v>
      </c>
      <c r="J129" s="1064">
        <v>0</v>
      </c>
      <c r="K129" s="1064">
        <v>0</v>
      </c>
      <c r="L129" s="1064">
        <v>0</v>
      </c>
      <c r="M129" s="1064">
        <v>115</v>
      </c>
      <c r="N129" s="1064">
        <v>125</v>
      </c>
      <c r="O129" s="1065" t="s">
        <v>1252</v>
      </c>
      <c r="P129" s="1065"/>
      <c r="Q129" s="1065"/>
      <c r="R129" s="1065"/>
      <c r="S129" s="1065"/>
      <c r="T129" s="1067"/>
    </row>
    <row r="130" spans="1:20" x14ac:dyDescent="0.35">
      <c r="A130" s="1062" t="s">
        <v>1287</v>
      </c>
      <c r="B130" s="1063" t="s">
        <v>1288</v>
      </c>
      <c r="C130" s="1064">
        <v>0</v>
      </c>
      <c r="D130" s="1064">
        <v>10</v>
      </c>
      <c r="E130" s="1064">
        <v>230</v>
      </c>
      <c r="F130" s="1064">
        <v>660</v>
      </c>
      <c r="G130" s="1064">
        <v>945</v>
      </c>
      <c r="H130" s="1064">
        <v>605</v>
      </c>
      <c r="I130" s="1064">
        <v>100</v>
      </c>
      <c r="J130" s="1064">
        <v>0</v>
      </c>
      <c r="K130" s="1064">
        <v>0</v>
      </c>
      <c r="L130" s="1064">
        <v>0</v>
      </c>
      <c r="M130" s="1081">
        <v>1845</v>
      </c>
      <c r="N130" s="1081">
        <v>2550</v>
      </c>
      <c r="O130" s="1065" t="s">
        <v>1252</v>
      </c>
      <c r="P130" s="1065"/>
      <c r="Q130" s="1065"/>
      <c r="R130" s="1065"/>
      <c r="S130" s="1065"/>
      <c r="T130" s="1067"/>
    </row>
    <row r="131" spans="1:20" x14ac:dyDescent="0.35">
      <c r="A131" s="1062" t="s">
        <v>1289</v>
      </c>
      <c r="B131" s="1063" t="s">
        <v>1290</v>
      </c>
      <c r="C131" s="1064">
        <v>0</v>
      </c>
      <c r="D131" s="1064">
        <v>10</v>
      </c>
      <c r="E131" s="1064">
        <v>45</v>
      </c>
      <c r="F131" s="1064">
        <v>70</v>
      </c>
      <c r="G131" s="1064">
        <v>100</v>
      </c>
      <c r="H131" s="1064">
        <v>100</v>
      </c>
      <c r="I131" s="1064">
        <v>100</v>
      </c>
      <c r="J131" s="1064">
        <v>100</v>
      </c>
      <c r="K131" s="1064">
        <v>100</v>
      </c>
      <c r="L131" s="1064">
        <v>100</v>
      </c>
      <c r="M131" s="1064">
        <v>225</v>
      </c>
      <c r="N131" s="1064">
        <v>725</v>
      </c>
      <c r="O131" s="1065" t="s">
        <v>1252</v>
      </c>
      <c r="P131" s="1065"/>
      <c r="Q131" s="1065"/>
      <c r="R131" s="1065"/>
      <c r="S131" s="1065"/>
      <c r="T131" s="1067"/>
    </row>
    <row r="132" spans="1:20" x14ac:dyDescent="0.35">
      <c r="A132" s="1079" t="s">
        <v>1291</v>
      </c>
      <c r="B132" s="1080" t="s">
        <v>1292</v>
      </c>
      <c r="C132" s="1064">
        <v>0</v>
      </c>
      <c r="D132" s="1064">
        <v>14</v>
      </c>
      <c r="E132" s="1064">
        <v>11</v>
      </c>
      <c r="F132" s="1064">
        <v>0</v>
      </c>
      <c r="G132" s="1064">
        <v>0</v>
      </c>
      <c r="H132" s="1064">
        <v>0</v>
      </c>
      <c r="I132" s="1064">
        <v>0</v>
      </c>
      <c r="J132" s="1064">
        <v>0</v>
      </c>
      <c r="K132" s="1064">
        <v>0</v>
      </c>
      <c r="L132" s="1064">
        <v>0</v>
      </c>
      <c r="M132" s="1064">
        <v>25</v>
      </c>
      <c r="N132" s="1064">
        <v>25</v>
      </c>
      <c r="O132" s="1065" t="s">
        <v>1256</v>
      </c>
      <c r="P132" s="1065"/>
      <c r="Q132" s="1065"/>
      <c r="R132" s="1065"/>
      <c r="S132" s="1065"/>
      <c r="T132" s="1066"/>
    </row>
    <row r="133" spans="1:20" x14ac:dyDescent="0.35">
      <c r="A133" s="1079" t="s">
        <v>1293</v>
      </c>
      <c r="B133" s="1080" t="s">
        <v>1294</v>
      </c>
      <c r="C133" s="1064">
        <v>0</v>
      </c>
      <c r="D133" s="1064">
        <v>84</v>
      </c>
      <c r="E133" s="1064">
        <v>320</v>
      </c>
      <c r="F133" s="1064">
        <v>638</v>
      </c>
      <c r="G133" s="1064">
        <v>928</v>
      </c>
      <c r="H133" s="1064">
        <v>940</v>
      </c>
      <c r="I133" s="1064">
        <v>720</v>
      </c>
      <c r="J133" s="1064">
        <v>300</v>
      </c>
      <c r="K133" s="1064">
        <v>120</v>
      </c>
      <c r="L133" s="1064">
        <v>0</v>
      </c>
      <c r="M133" s="1081">
        <v>1970</v>
      </c>
      <c r="N133" s="1081">
        <v>4050</v>
      </c>
      <c r="O133" s="1065" t="s">
        <v>1256</v>
      </c>
      <c r="P133" s="1065"/>
      <c r="Q133" s="1065"/>
      <c r="R133" s="1065"/>
      <c r="S133" s="1065"/>
      <c r="T133" s="1067"/>
    </row>
    <row r="134" spans="1:20" x14ac:dyDescent="0.35">
      <c r="A134" s="1062" t="s">
        <v>1295</v>
      </c>
      <c r="B134" s="1063" t="s">
        <v>1296</v>
      </c>
      <c r="C134" s="1064">
        <v>0</v>
      </c>
      <c r="D134" s="1064">
        <v>40</v>
      </c>
      <c r="E134" s="1064">
        <v>200</v>
      </c>
      <c r="F134" s="1064">
        <v>400</v>
      </c>
      <c r="G134" s="1064">
        <v>660</v>
      </c>
      <c r="H134" s="1064">
        <v>640</v>
      </c>
      <c r="I134" s="1064">
        <v>515</v>
      </c>
      <c r="J134" s="1064">
        <v>240</v>
      </c>
      <c r="K134" s="1064">
        <v>105</v>
      </c>
      <c r="L134" s="1064">
        <v>0</v>
      </c>
      <c r="M134" s="1081">
        <v>1300</v>
      </c>
      <c r="N134" s="1081">
        <v>2800</v>
      </c>
      <c r="O134" s="1065" t="s">
        <v>1256</v>
      </c>
      <c r="P134" s="1065"/>
      <c r="Q134" s="1065"/>
      <c r="R134" s="1065"/>
      <c r="S134" s="1065"/>
      <c r="T134" s="1067"/>
    </row>
    <row r="135" spans="1:20" x14ac:dyDescent="0.35">
      <c r="A135" s="1062" t="s">
        <v>1297</v>
      </c>
      <c r="B135" s="1063" t="s">
        <v>1298</v>
      </c>
      <c r="C135" s="1097">
        <v>0</v>
      </c>
      <c r="D135" s="1097">
        <v>138</v>
      </c>
      <c r="E135" s="1097">
        <v>566</v>
      </c>
      <c r="F135" s="1097">
        <v>994</v>
      </c>
      <c r="G135" s="1098">
        <v>1328</v>
      </c>
      <c r="H135" s="1098">
        <v>1791</v>
      </c>
      <c r="I135" s="1098">
        <v>2350</v>
      </c>
      <c r="J135" s="1098">
        <v>2928</v>
      </c>
      <c r="K135" s="1098">
        <v>3548</v>
      </c>
      <c r="L135" s="1098">
        <v>4162</v>
      </c>
      <c r="M135" s="1098">
        <v>3026</v>
      </c>
      <c r="N135" s="1098">
        <v>17805</v>
      </c>
      <c r="O135" s="1099" t="s">
        <v>54</v>
      </c>
      <c r="P135" s="1099"/>
      <c r="Q135" s="1099"/>
      <c r="R135" s="1099"/>
      <c r="S135" s="1099"/>
      <c r="T135" s="1100"/>
    </row>
    <row r="136" spans="1:20" x14ac:dyDescent="0.35">
      <c r="A136" s="1062" t="s">
        <v>1299</v>
      </c>
      <c r="B136" s="1063" t="s">
        <v>1300</v>
      </c>
      <c r="C136" s="1097">
        <v>0</v>
      </c>
      <c r="D136" s="1097">
        <v>0</v>
      </c>
      <c r="E136" s="1097">
        <v>235</v>
      </c>
      <c r="F136" s="1097">
        <v>317</v>
      </c>
      <c r="G136" s="1097">
        <v>304</v>
      </c>
      <c r="H136" s="1097">
        <v>314</v>
      </c>
      <c r="I136" s="1097">
        <v>324</v>
      </c>
      <c r="J136" s="1097">
        <v>335</v>
      </c>
      <c r="K136" s="1097">
        <v>346</v>
      </c>
      <c r="L136" s="1097">
        <v>359</v>
      </c>
      <c r="M136" s="1097">
        <v>856</v>
      </c>
      <c r="N136" s="1098">
        <v>2534</v>
      </c>
      <c r="O136" s="1099" t="s">
        <v>54</v>
      </c>
      <c r="P136" s="1099"/>
      <c r="Q136" s="1099"/>
      <c r="R136" s="1099"/>
      <c r="S136" s="1099"/>
      <c r="T136" s="1067"/>
    </row>
    <row r="137" spans="1:20" ht="24" customHeight="1" x14ac:dyDescent="0.35">
      <c r="A137" s="1062" t="s">
        <v>1301</v>
      </c>
      <c r="B137" s="1063" t="s">
        <v>1302</v>
      </c>
      <c r="C137" s="1101"/>
      <c r="D137" s="1101">
        <v>333</v>
      </c>
      <c r="E137" s="1101">
        <v>314</v>
      </c>
      <c r="F137" s="1101">
        <v>314</v>
      </c>
      <c r="G137" s="1101">
        <v>-4530</v>
      </c>
      <c r="H137" s="1101">
        <v>-9118</v>
      </c>
      <c r="I137" s="1101">
        <v>-18184</v>
      </c>
      <c r="J137" s="1101">
        <v>-20493</v>
      </c>
      <c r="K137" s="1101">
        <v>-23289</v>
      </c>
      <c r="L137" s="1101">
        <v>-24298</v>
      </c>
      <c r="M137" s="1101">
        <v>-569</v>
      </c>
      <c r="N137" s="1101">
        <v>-95951</v>
      </c>
      <c r="O137" s="1102" t="s">
        <v>55</v>
      </c>
      <c r="P137" s="1102"/>
      <c r="Q137" s="1102"/>
      <c r="R137" s="1102"/>
      <c r="S137" s="1102"/>
      <c r="T137" s="1103"/>
    </row>
    <row r="138" spans="1:20" ht="36" customHeight="1" x14ac:dyDescent="0.35">
      <c r="A138" s="1062" t="s">
        <v>1297</v>
      </c>
      <c r="B138" s="1063" t="s">
        <v>1303</v>
      </c>
      <c r="C138" s="1104">
        <v>0</v>
      </c>
      <c r="D138" s="1104">
        <v>-2447</v>
      </c>
      <c r="E138" s="1104">
        <v>-3716</v>
      </c>
      <c r="F138" s="1104">
        <v>-19171</v>
      </c>
      <c r="G138" s="1104">
        <v>-7014</v>
      </c>
      <c r="H138" s="1104">
        <v>-7706</v>
      </c>
      <c r="I138" s="1104">
        <v>-8497</v>
      </c>
      <c r="J138" s="1104">
        <v>-9360</v>
      </c>
      <c r="K138" s="1104">
        <v>-10602</v>
      </c>
      <c r="L138" s="1104">
        <v>-11603</v>
      </c>
      <c r="M138" s="1104">
        <v>-32348</v>
      </c>
      <c r="N138" s="1104">
        <v>-80116</v>
      </c>
      <c r="O138" s="1102" t="s">
        <v>55</v>
      </c>
      <c r="P138" s="1102"/>
      <c r="Q138" s="1102"/>
      <c r="R138" s="1102"/>
      <c r="S138" s="1102"/>
      <c r="T138" s="1067"/>
    </row>
    <row r="139" spans="1:20" x14ac:dyDescent="0.35">
      <c r="A139" s="1062" t="s">
        <v>1304</v>
      </c>
      <c r="B139" s="1063" t="s">
        <v>1305</v>
      </c>
      <c r="C139" s="1101">
        <v>0</v>
      </c>
      <c r="D139" s="1101">
        <v>53</v>
      </c>
      <c r="E139" s="1101">
        <v>1991</v>
      </c>
      <c r="F139" s="1101">
        <v>3308</v>
      </c>
      <c r="G139" s="1101">
        <v>3545</v>
      </c>
      <c r="H139" s="1101">
        <v>4537</v>
      </c>
      <c r="I139" s="1101">
        <v>4476</v>
      </c>
      <c r="J139" s="1101">
        <v>3947</v>
      </c>
      <c r="K139" s="1101">
        <v>1781</v>
      </c>
      <c r="L139" s="1101">
        <v>1462</v>
      </c>
      <c r="M139" s="1101">
        <v>8897</v>
      </c>
      <c r="N139" s="1101">
        <v>25100</v>
      </c>
      <c r="O139" s="1102" t="s">
        <v>55</v>
      </c>
      <c r="P139" s="1102"/>
      <c r="Q139" s="1102"/>
      <c r="R139" s="1102"/>
      <c r="S139" s="1102"/>
      <c r="T139" s="1067"/>
    </row>
    <row r="140" spans="1:20" x14ac:dyDescent="0.35">
      <c r="A140" s="1062" t="s">
        <v>1306</v>
      </c>
      <c r="B140" s="1063" t="s">
        <v>1307</v>
      </c>
      <c r="C140" s="1105">
        <v>0</v>
      </c>
      <c r="D140" s="1105">
        <v>0</v>
      </c>
      <c r="E140" s="1105">
        <v>0</v>
      </c>
      <c r="F140" s="1105">
        <v>0</v>
      </c>
      <c r="G140" s="1105">
        <v>0</v>
      </c>
      <c r="H140" s="1106">
        <v>-16290</v>
      </c>
      <c r="I140" s="1106">
        <v>-25656</v>
      </c>
      <c r="J140" s="1106">
        <v>-23394</v>
      </c>
      <c r="K140" s="1106">
        <v>-27561</v>
      </c>
      <c r="L140" s="1106">
        <v>-29250</v>
      </c>
      <c r="M140" s="1105">
        <v>0</v>
      </c>
      <c r="N140" s="1106">
        <v>-122151</v>
      </c>
      <c r="O140" s="1102" t="s">
        <v>55</v>
      </c>
      <c r="P140" s="1102"/>
      <c r="Q140" s="1102"/>
      <c r="R140" s="1102"/>
      <c r="S140" s="1102"/>
      <c r="T140" s="1067"/>
    </row>
    <row r="141" spans="1:20" ht="36" customHeight="1" x14ac:dyDescent="0.35">
      <c r="A141" s="1062" t="s">
        <v>1308</v>
      </c>
      <c r="B141" s="1063" t="s">
        <v>1309</v>
      </c>
      <c r="C141" s="1101">
        <v>0</v>
      </c>
      <c r="D141" s="1101">
        <v>-70</v>
      </c>
      <c r="E141" s="1101">
        <v>300</v>
      </c>
      <c r="F141" s="1101">
        <v>862</v>
      </c>
      <c r="G141" s="1101">
        <v>577</v>
      </c>
      <c r="H141" s="1101">
        <v>464</v>
      </c>
      <c r="I141" s="1101">
        <v>549</v>
      </c>
      <c r="J141" s="1101">
        <v>501</v>
      </c>
      <c r="K141" s="1101">
        <v>591</v>
      </c>
      <c r="L141" s="1101">
        <v>630</v>
      </c>
      <c r="M141" s="1101">
        <v>1669</v>
      </c>
      <c r="N141" s="1101">
        <v>4404</v>
      </c>
      <c r="O141" s="1102" t="s">
        <v>55</v>
      </c>
      <c r="P141" s="1102"/>
      <c r="Q141" s="1102"/>
      <c r="R141" s="1102"/>
      <c r="S141" s="1102"/>
      <c r="T141" s="1067"/>
    </row>
    <row r="142" spans="1:20" x14ac:dyDescent="0.35">
      <c r="A142" s="1062" t="s">
        <v>1310</v>
      </c>
      <c r="B142" s="1063" t="s">
        <v>1311</v>
      </c>
      <c r="C142" s="1105">
        <v>0</v>
      </c>
      <c r="D142" s="1105">
        <v>0</v>
      </c>
      <c r="E142" s="1105">
        <v>195</v>
      </c>
      <c r="F142" s="1105">
        <v>230</v>
      </c>
      <c r="G142" s="1105">
        <v>248</v>
      </c>
      <c r="H142" s="1105">
        <v>266</v>
      </c>
      <c r="I142" s="1105">
        <v>311</v>
      </c>
      <c r="J142" s="1105">
        <v>281</v>
      </c>
      <c r="K142" s="1105">
        <v>327</v>
      </c>
      <c r="L142" s="1105">
        <v>347</v>
      </c>
      <c r="M142" s="1105">
        <v>673</v>
      </c>
      <c r="N142" s="1106">
        <v>2205</v>
      </c>
      <c r="O142" s="1102" t="s">
        <v>55</v>
      </c>
      <c r="P142" s="1102"/>
      <c r="Q142" s="1102"/>
      <c r="R142" s="1102"/>
      <c r="S142" s="1102"/>
      <c r="T142" s="1067"/>
    </row>
    <row r="143" spans="1:20" x14ac:dyDescent="0.35">
      <c r="A143" s="1079" t="s">
        <v>1312</v>
      </c>
      <c r="B143" s="1080" t="s">
        <v>1313</v>
      </c>
      <c r="C143" s="1107">
        <v>0</v>
      </c>
      <c r="D143" s="1107">
        <v>70</v>
      </c>
      <c r="E143" s="1107">
        <v>132</v>
      </c>
      <c r="F143" s="1107">
        <v>51</v>
      </c>
      <c r="G143" s="1107">
        <v>20</v>
      </c>
      <c r="H143" s="1107">
        <v>8</v>
      </c>
      <c r="I143" s="1107">
        <v>0</v>
      </c>
      <c r="J143" s="1107">
        <v>0</v>
      </c>
      <c r="K143" s="1107">
        <v>0</v>
      </c>
      <c r="L143" s="1107">
        <v>0</v>
      </c>
      <c r="M143" s="1107">
        <v>273</v>
      </c>
      <c r="N143" s="1107">
        <v>281</v>
      </c>
      <c r="O143" s="1108" t="s">
        <v>1314</v>
      </c>
      <c r="P143" s="1108"/>
      <c r="Q143" s="1108"/>
      <c r="R143" s="1108"/>
      <c r="S143" s="1108"/>
      <c r="T143" s="1067" t="s">
        <v>1315</v>
      </c>
    </row>
    <row r="144" spans="1:20" x14ac:dyDescent="0.35">
      <c r="A144" s="1079" t="s">
        <v>1316</v>
      </c>
      <c r="B144" s="1080" t="s">
        <v>1317</v>
      </c>
      <c r="C144" s="1107">
        <v>0</v>
      </c>
      <c r="D144" s="1107">
        <v>465</v>
      </c>
      <c r="E144" s="1109">
        <v>2420</v>
      </c>
      <c r="F144" s="1109">
        <v>4755</v>
      </c>
      <c r="G144" s="1109">
        <v>5980</v>
      </c>
      <c r="H144" s="1109">
        <v>4694</v>
      </c>
      <c r="I144" s="1109">
        <v>1573</v>
      </c>
      <c r="J144" s="1107">
        <v>93</v>
      </c>
      <c r="K144" s="1107">
        <v>0</v>
      </c>
      <c r="L144" s="1107">
        <v>0</v>
      </c>
      <c r="M144" s="1109">
        <v>13620</v>
      </c>
      <c r="N144" s="1109">
        <v>19980</v>
      </c>
      <c r="O144" s="1108" t="s">
        <v>1314</v>
      </c>
      <c r="P144" s="1108"/>
      <c r="Q144" s="1108"/>
      <c r="R144" s="1108"/>
      <c r="S144" s="1108"/>
      <c r="T144" s="1067" t="s">
        <v>1318</v>
      </c>
    </row>
    <row r="145" spans="1:20" x14ac:dyDescent="0.35">
      <c r="A145" s="1062" t="s">
        <v>1319</v>
      </c>
      <c r="B145" s="1063" t="s">
        <v>1320</v>
      </c>
      <c r="C145" s="1107">
        <v>0</v>
      </c>
      <c r="D145" s="1107">
        <v>20</v>
      </c>
      <c r="E145" s="1107">
        <v>65</v>
      </c>
      <c r="F145" s="1107">
        <v>110</v>
      </c>
      <c r="G145" s="1107">
        <v>135</v>
      </c>
      <c r="H145" s="1107">
        <v>180</v>
      </c>
      <c r="I145" s="1107">
        <v>230</v>
      </c>
      <c r="J145" s="1107">
        <v>180</v>
      </c>
      <c r="K145" s="1107">
        <v>60</v>
      </c>
      <c r="L145" s="1107">
        <v>10</v>
      </c>
      <c r="M145" s="1107">
        <v>330</v>
      </c>
      <c r="N145" s="1107">
        <v>990</v>
      </c>
      <c r="O145" s="1108" t="s">
        <v>1314</v>
      </c>
      <c r="P145" s="1108"/>
      <c r="Q145" s="1108"/>
      <c r="R145" s="1108"/>
      <c r="S145" s="1108"/>
      <c r="T145" s="1090" t="s">
        <v>1321</v>
      </c>
    </row>
    <row r="146" spans="1:20" x14ac:dyDescent="0.35">
      <c r="A146" s="1062" t="s">
        <v>1322</v>
      </c>
      <c r="B146" s="1063" t="s">
        <v>1323</v>
      </c>
      <c r="C146" s="1107">
        <v>0</v>
      </c>
      <c r="D146" s="1109">
        <v>20892</v>
      </c>
      <c r="E146" s="1109">
        <v>11288</v>
      </c>
      <c r="F146" s="1109">
        <v>9651</v>
      </c>
      <c r="G146" s="1109">
        <v>-8548</v>
      </c>
      <c r="H146" s="1107">
        <v>-463</v>
      </c>
      <c r="I146" s="1107">
        <v>0</v>
      </c>
      <c r="J146" s="1107">
        <v>0</v>
      </c>
      <c r="K146" s="1107">
        <v>0</v>
      </c>
      <c r="L146" s="1107">
        <v>0</v>
      </c>
      <c r="M146" s="1109">
        <v>33283</v>
      </c>
      <c r="N146" s="1109">
        <v>32820</v>
      </c>
      <c r="O146" s="1110" t="s">
        <v>1314</v>
      </c>
      <c r="P146" s="1110"/>
      <c r="Q146" s="1110"/>
      <c r="R146" s="1110"/>
      <c r="S146" s="1110"/>
      <c r="T146" s="1067"/>
    </row>
    <row r="147" spans="1:20" x14ac:dyDescent="0.35">
      <c r="A147" s="1062" t="s">
        <v>1324</v>
      </c>
      <c r="B147" s="1063" t="s">
        <v>1325</v>
      </c>
      <c r="C147" s="1107">
        <v>0</v>
      </c>
      <c r="D147" s="1107">
        <v>24</v>
      </c>
      <c r="E147" s="1107">
        <v>65</v>
      </c>
      <c r="F147" s="1107">
        <v>112</v>
      </c>
      <c r="G147" s="1107">
        <v>130</v>
      </c>
      <c r="H147" s="1107">
        <v>98</v>
      </c>
      <c r="I147" s="1107">
        <v>56</v>
      </c>
      <c r="J147" s="1107">
        <v>15</v>
      </c>
      <c r="K147" s="1107">
        <v>0</v>
      </c>
      <c r="L147" s="1107">
        <v>0</v>
      </c>
      <c r="M147" s="1107">
        <v>331</v>
      </c>
      <c r="N147" s="1107">
        <v>500</v>
      </c>
      <c r="O147" s="1110" t="s">
        <v>1314</v>
      </c>
      <c r="P147" s="1110"/>
      <c r="Q147" s="1110"/>
      <c r="R147" s="1110"/>
      <c r="S147" s="1110"/>
      <c r="T147" s="1067"/>
    </row>
    <row r="148" spans="1:20" x14ac:dyDescent="0.35">
      <c r="A148" s="1111" t="s">
        <v>1326</v>
      </c>
      <c r="B148" s="1112" t="s">
        <v>1327</v>
      </c>
      <c r="C148" s="1107">
        <v>0</v>
      </c>
      <c r="D148" s="1107">
        <v>50</v>
      </c>
      <c r="E148" s="1107">
        <v>500</v>
      </c>
      <c r="F148" s="1107">
        <v>920</v>
      </c>
      <c r="G148" s="1109">
        <v>1310</v>
      </c>
      <c r="H148" s="1109">
        <v>1680</v>
      </c>
      <c r="I148" s="1109">
        <v>1780</v>
      </c>
      <c r="J148" s="1109">
        <v>1640</v>
      </c>
      <c r="K148" s="1109">
        <v>1090</v>
      </c>
      <c r="L148" s="1107">
        <v>630</v>
      </c>
      <c r="M148" s="1109">
        <v>2780</v>
      </c>
      <c r="N148" s="1109">
        <v>9600</v>
      </c>
      <c r="O148" s="1110" t="s">
        <v>1314</v>
      </c>
      <c r="P148" s="1110"/>
      <c r="Q148" s="1110"/>
      <c r="R148" s="1110"/>
      <c r="S148" s="1110"/>
      <c r="T148" s="1113"/>
    </row>
    <row r="149" spans="1:20" x14ac:dyDescent="0.35">
      <c r="A149" s="1062" t="s">
        <v>1328</v>
      </c>
      <c r="B149" s="1063" t="s">
        <v>1329</v>
      </c>
      <c r="C149" s="1107">
        <v>0</v>
      </c>
      <c r="D149" s="1107">
        <v>30</v>
      </c>
      <c r="E149" s="1107">
        <v>90</v>
      </c>
      <c r="F149" s="1107">
        <v>90</v>
      </c>
      <c r="G149" s="1107">
        <v>85</v>
      </c>
      <c r="H149" s="1107">
        <v>70</v>
      </c>
      <c r="I149" s="1107">
        <v>65</v>
      </c>
      <c r="J149" s="1107">
        <v>65</v>
      </c>
      <c r="K149" s="1107">
        <v>35</v>
      </c>
      <c r="L149" s="1107">
        <v>15</v>
      </c>
      <c r="M149" s="1107">
        <v>295</v>
      </c>
      <c r="N149" s="1107">
        <v>545</v>
      </c>
      <c r="O149" s="1110" t="s">
        <v>1314</v>
      </c>
      <c r="P149" s="1110"/>
      <c r="Q149" s="1110"/>
      <c r="R149" s="1110"/>
      <c r="S149" s="1110"/>
      <c r="T149" s="1067"/>
    </row>
    <row r="150" spans="1:20" x14ac:dyDescent="0.35">
      <c r="A150" s="1062" t="s">
        <v>1330</v>
      </c>
      <c r="B150" s="1063" t="s">
        <v>1331</v>
      </c>
      <c r="C150" s="1107">
        <v>0</v>
      </c>
      <c r="D150" s="1107">
        <v>185</v>
      </c>
      <c r="E150" s="1107">
        <v>394</v>
      </c>
      <c r="F150" s="1107">
        <v>639</v>
      </c>
      <c r="G150" s="1107">
        <v>722</v>
      </c>
      <c r="H150" s="1107">
        <v>595</v>
      </c>
      <c r="I150" s="1107">
        <v>346</v>
      </c>
      <c r="J150" s="1107">
        <v>101</v>
      </c>
      <c r="K150" s="1107">
        <v>18</v>
      </c>
      <c r="L150" s="1107">
        <v>0</v>
      </c>
      <c r="M150" s="1109">
        <v>1940</v>
      </c>
      <c r="N150" s="1109">
        <v>3000</v>
      </c>
      <c r="O150" s="1108" t="s">
        <v>1314</v>
      </c>
      <c r="P150" s="1108"/>
      <c r="Q150" s="1108"/>
      <c r="R150" s="1108"/>
      <c r="S150" s="1108"/>
      <c r="T150" s="1067"/>
    </row>
    <row r="151" spans="1:20" x14ac:dyDescent="0.35">
      <c r="A151" s="1062" t="s">
        <v>1332</v>
      </c>
      <c r="B151" s="1063" t="s">
        <v>1333</v>
      </c>
      <c r="C151" s="1107">
        <v>0</v>
      </c>
      <c r="D151" s="1107">
        <v>8</v>
      </c>
      <c r="E151" s="1107">
        <v>26</v>
      </c>
      <c r="F151" s="1107">
        <v>41</v>
      </c>
      <c r="G151" s="1107">
        <v>38</v>
      </c>
      <c r="H151" s="1107">
        <v>22</v>
      </c>
      <c r="I151" s="1107">
        <v>11</v>
      </c>
      <c r="J151" s="1107">
        <v>4</v>
      </c>
      <c r="K151" s="1107">
        <v>0</v>
      </c>
      <c r="L151" s="1107">
        <v>0</v>
      </c>
      <c r="M151" s="1107">
        <v>113</v>
      </c>
      <c r="N151" s="1107">
        <v>150</v>
      </c>
      <c r="O151" s="1108" t="s">
        <v>1314</v>
      </c>
      <c r="P151" s="1108"/>
      <c r="Q151" s="1108"/>
      <c r="R151" s="1108"/>
      <c r="S151" s="1108"/>
      <c r="T151" s="1067"/>
    </row>
    <row r="152" spans="1:20" ht="24" customHeight="1" x14ac:dyDescent="0.35">
      <c r="A152" s="1079" t="s">
        <v>1334</v>
      </c>
      <c r="B152" s="1080" t="s">
        <v>1335</v>
      </c>
      <c r="C152" s="1114">
        <v>0</v>
      </c>
      <c r="D152" s="1115">
        <v>77</v>
      </c>
      <c r="E152" s="1115">
        <v>232</v>
      </c>
      <c r="F152" s="1115">
        <v>341</v>
      </c>
      <c r="G152" s="1115">
        <v>496</v>
      </c>
      <c r="H152" s="1115">
        <v>310</v>
      </c>
      <c r="I152" s="1115">
        <v>47</v>
      </c>
      <c r="J152" s="1115">
        <v>31</v>
      </c>
      <c r="K152" s="1115">
        <v>15</v>
      </c>
      <c r="L152" s="1115">
        <v>1</v>
      </c>
      <c r="M152" s="1116">
        <v>1146</v>
      </c>
      <c r="N152" s="1116">
        <v>1550</v>
      </c>
      <c r="O152" s="1117" t="s">
        <v>1336</v>
      </c>
      <c r="P152" s="1124"/>
      <c r="Q152" s="1124"/>
      <c r="R152" s="1124"/>
      <c r="S152" s="1124"/>
      <c r="T152" s="1067" t="s">
        <v>1337</v>
      </c>
    </row>
    <row r="153" spans="1:20" ht="30" customHeight="1" x14ac:dyDescent="0.35">
      <c r="A153" s="1062" t="s">
        <v>1338</v>
      </c>
      <c r="B153" s="1063" t="s">
        <v>1339</v>
      </c>
      <c r="C153" s="1118">
        <v>0</v>
      </c>
      <c r="D153" s="1118">
        <v>264</v>
      </c>
      <c r="E153" s="1118">
        <v>715</v>
      </c>
      <c r="F153" s="1118">
        <v>1393</v>
      </c>
      <c r="G153" s="1118">
        <v>2492</v>
      </c>
      <c r="H153" s="1118">
        <v>3364</v>
      </c>
      <c r="I153" s="1118">
        <v>3209</v>
      </c>
      <c r="J153" s="1118">
        <v>2750</v>
      </c>
      <c r="K153" s="1118">
        <v>1783</v>
      </c>
      <c r="L153" s="1118">
        <v>744</v>
      </c>
      <c r="M153" s="1119">
        <v>4864</v>
      </c>
      <c r="N153" s="1119">
        <v>16714</v>
      </c>
      <c r="O153" s="1125" t="s">
        <v>52</v>
      </c>
      <c r="P153" s="1125"/>
      <c r="Q153" s="1125"/>
      <c r="R153" s="1125"/>
      <c r="S153" s="1125"/>
      <c r="T153" s="1126" t="s">
        <v>1340</v>
      </c>
    </row>
    <row r="154" spans="1:20" x14ac:dyDescent="0.35">
      <c r="A154" s="1062" t="s">
        <v>1341</v>
      </c>
      <c r="B154" s="1063" t="s">
        <v>1342</v>
      </c>
      <c r="C154" s="1127">
        <v>0</v>
      </c>
      <c r="D154" s="1127">
        <v>0</v>
      </c>
      <c r="E154" s="1127">
        <v>50</v>
      </c>
      <c r="F154" s="1127">
        <v>270</v>
      </c>
      <c r="G154" s="1127">
        <v>680</v>
      </c>
      <c r="H154" s="1127">
        <v>850</v>
      </c>
      <c r="I154" s="1127">
        <v>730</v>
      </c>
      <c r="J154" s="1127">
        <v>485</v>
      </c>
      <c r="K154" s="1127">
        <v>285</v>
      </c>
      <c r="L154" s="1127">
        <v>145</v>
      </c>
      <c r="M154" s="1128">
        <v>1000</v>
      </c>
      <c r="N154" s="1128">
        <v>3495</v>
      </c>
      <c r="O154" s="1129" t="s">
        <v>52</v>
      </c>
      <c r="P154" s="1129"/>
      <c r="Q154" s="1129"/>
      <c r="R154" s="1129"/>
      <c r="S154" s="1129"/>
      <c r="T154" s="1130" t="s">
        <v>1343</v>
      </c>
    </row>
    <row r="155" spans="1:20" x14ac:dyDescent="0.35">
      <c r="A155" s="1062" t="s">
        <v>1344</v>
      </c>
      <c r="B155" s="1063" t="s">
        <v>1345</v>
      </c>
      <c r="C155" s="1127">
        <v>0</v>
      </c>
      <c r="D155" s="1127">
        <v>5</v>
      </c>
      <c r="E155" s="1127">
        <v>5</v>
      </c>
      <c r="F155" s="1127">
        <v>10</v>
      </c>
      <c r="G155" s="1127">
        <v>25</v>
      </c>
      <c r="H155" s="1127">
        <v>70</v>
      </c>
      <c r="I155" s="1127">
        <v>175</v>
      </c>
      <c r="J155" s="1127">
        <v>385</v>
      </c>
      <c r="K155" s="1127">
        <v>460</v>
      </c>
      <c r="L155" s="1127">
        <v>325</v>
      </c>
      <c r="M155" s="1127">
        <v>45</v>
      </c>
      <c r="N155" s="1128">
        <v>1460</v>
      </c>
      <c r="O155" s="1131" t="s">
        <v>52</v>
      </c>
      <c r="P155" s="1131"/>
      <c r="Q155" s="1131"/>
      <c r="R155" s="1131"/>
      <c r="S155" s="1131"/>
      <c r="T155" s="1130" t="s">
        <v>1346</v>
      </c>
    </row>
    <row r="156" spans="1:20" x14ac:dyDescent="0.35">
      <c r="A156" s="1079" t="s">
        <v>1347</v>
      </c>
      <c r="B156" s="1080" t="s">
        <v>1348</v>
      </c>
      <c r="C156" s="1127">
        <v>0</v>
      </c>
      <c r="D156" s="1127">
        <v>6</v>
      </c>
      <c r="E156" s="1127">
        <v>8</v>
      </c>
      <c r="F156" s="1127">
        <v>1</v>
      </c>
      <c r="G156" s="1127">
        <v>0</v>
      </c>
      <c r="H156" s="1127">
        <v>0</v>
      </c>
      <c r="I156" s="1127">
        <v>0</v>
      </c>
      <c r="J156" s="1127">
        <v>0</v>
      </c>
      <c r="K156" s="1127">
        <v>0</v>
      </c>
      <c r="L156" s="1127">
        <v>0</v>
      </c>
      <c r="M156" s="1127">
        <v>15</v>
      </c>
      <c r="N156" s="1127">
        <v>15</v>
      </c>
      <c r="O156" s="1131" t="s">
        <v>52</v>
      </c>
      <c r="P156" s="1131"/>
      <c r="Q156" s="1131"/>
      <c r="R156" s="1131"/>
      <c r="S156" s="1131"/>
      <c r="T156" s="1130" t="s">
        <v>1349</v>
      </c>
    </row>
    <row r="157" spans="1:20" ht="24" customHeight="1" x14ac:dyDescent="0.35">
      <c r="A157" s="1062" t="s">
        <v>1350</v>
      </c>
      <c r="B157" s="1063" t="s">
        <v>1351</v>
      </c>
      <c r="C157" s="1127">
        <v>0</v>
      </c>
      <c r="D157" s="1127">
        <v>5</v>
      </c>
      <c r="E157" s="1127">
        <v>41</v>
      </c>
      <c r="F157" s="1127">
        <v>116</v>
      </c>
      <c r="G157" s="1127">
        <v>284</v>
      </c>
      <c r="H157" s="1127">
        <v>417</v>
      </c>
      <c r="I157" s="1127">
        <v>459</v>
      </c>
      <c r="J157" s="1127">
        <v>355</v>
      </c>
      <c r="K157" s="1127">
        <v>210</v>
      </c>
      <c r="L157" s="1127">
        <v>90</v>
      </c>
      <c r="M157" s="1127">
        <v>446</v>
      </c>
      <c r="N157" s="1128">
        <v>1977</v>
      </c>
      <c r="O157" s="1132" t="s">
        <v>52</v>
      </c>
      <c r="P157" s="1132"/>
      <c r="Q157" s="1132"/>
      <c r="R157" s="1132"/>
      <c r="S157" s="1132"/>
      <c r="T157" s="1133" t="s">
        <v>1352</v>
      </c>
    </row>
    <row r="158" spans="1:20" ht="24" customHeight="1" x14ac:dyDescent="0.35">
      <c r="A158" s="1062" t="s">
        <v>1353</v>
      </c>
      <c r="B158" s="1063" t="s">
        <v>1354</v>
      </c>
      <c r="C158" s="1127">
        <v>0</v>
      </c>
      <c r="D158" s="1127">
        <v>20</v>
      </c>
      <c r="E158" s="1127">
        <v>100</v>
      </c>
      <c r="F158" s="1127">
        <v>460</v>
      </c>
      <c r="G158" s="1128">
        <v>1070</v>
      </c>
      <c r="H158" s="1128">
        <v>1430</v>
      </c>
      <c r="I158" s="1128">
        <v>1110</v>
      </c>
      <c r="J158" s="1127">
        <v>660</v>
      </c>
      <c r="K158" s="1127">
        <v>300</v>
      </c>
      <c r="L158" s="1127">
        <v>100</v>
      </c>
      <c r="M158" s="1128">
        <v>1650</v>
      </c>
      <c r="N158" s="1128">
        <v>5250</v>
      </c>
      <c r="O158" s="1131" t="s">
        <v>52</v>
      </c>
      <c r="P158" s="1131"/>
      <c r="Q158" s="1131"/>
      <c r="R158" s="1131"/>
      <c r="S158" s="1131"/>
      <c r="T158" s="1130" t="s">
        <v>1355</v>
      </c>
    </row>
    <row r="159" spans="1:20" x14ac:dyDescent="0.35">
      <c r="A159" s="1062" t="s">
        <v>1356</v>
      </c>
      <c r="B159" s="1063" t="s">
        <v>1357</v>
      </c>
      <c r="C159" s="1145">
        <v>0</v>
      </c>
      <c r="D159" s="1145">
        <v>56</v>
      </c>
      <c r="E159" s="1145">
        <v>141</v>
      </c>
      <c r="F159" s="1145">
        <v>230</v>
      </c>
      <c r="G159" s="1145">
        <v>343</v>
      </c>
      <c r="H159" s="1145">
        <v>470</v>
      </c>
      <c r="I159" s="1145">
        <v>620</v>
      </c>
      <c r="J159" s="1145">
        <v>802</v>
      </c>
      <c r="K159" s="1145">
        <v>1024</v>
      </c>
      <c r="L159" s="1145">
        <v>1330</v>
      </c>
      <c r="M159" s="1145">
        <v>769</v>
      </c>
      <c r="N159" s="1145">
        <v>5015</v>
      </c>
      <c r="O159" s="1129" t="s">
        <v>52</v>
      </c>
      <c r="P159" s="1129"/>
      <c r="Q159" s="1129"/>
      <c r="R159" s="1129"/>
      <c r="S159" s="1129"/>
      <c r="T159" s="1067"/>
    </row>
    <row r="160" spans="1:20" x14ac:dyDescent="0.35">
      <c r="A160" s="1062" t="s">
        <v>1358</v>
      </c>
      <c r="B160" s="1063" t="s">
        <v>1359</v>
      </c>
      <c r="C160" s="1127"/>
      <c r="D160" s="1127"/>
      <c r="E160" s="1127"/>
      <c r="F160" s="1127"/>
      <c r="G160" s="1127"/>
      <c r="H160" s="1127"/>
      <c r="I160" s="1127"/>
      <c r="J160" s="1127"/>
      <c r="K160" s="1127"/>
      <c r="L160" s="1127"/>
      <c r="M160" s="1127"/>
      <c r="N160" s="1128"/>
      <c r="O160" s="1132"/>
      <c r="P160" s="1132"/>
      <c r="Q160" s="1132"/>
      <c r="R160" s="1132"/>
      <c r="S160" s="1132"/>
      <c r="T160" s="1067"/>
    </row>
    <row r="161" spans="1:21" x14ac:dyDescent="0.35">
      <c r="A161" s="1062" t="s">
        <v>1360</v>
      </c>
      <c r="B161" s="1063" t="s">
        <v>1361</v>
      </c>
      <c r="C161" s="1127"/>
      <c r="D161" s="1127"/>
      <c r="E161" s="1127"/>
      <c r="F161" s="1127"/>
      <c r="G161" s="1127"/>
      <c r="H161" s="1127"/>
      <c r="I161" s="1127"/>
      <c r="J161" s="1127"/>
      <c r="K161" s="1127"/>
      <c r="L161" s="1127"/>
      <c r="M161" s="1127"/>
      <c r="N161" s="1128"/>
      <c r="O161" s="1146"/>
      <c r="P161" s="1146"/>
      <c r="Q161" s="1146"/>
      <c r="R161" s="1146"/>
      <c r="S161" s="1146"/>
      <c r="T161" s="1147"/>
    </row>
    <row r="162" spans="1:21" x14ac:dyDescent="0.35">
      <c r="A162" s="1062" t="s">
        <v>1362</v>
      </c>
      <c r="B162" s="1063" t="s">
        <v>1363</v>
      </c>
      <c r="C162" s="1127">
        <v>0</v>
      </c>
      <c r="D162" s="1127">
        <v>20</v>
      </c>
      <c r="E162" s="1127">
        <v>70</v>
      </c>
      <c r="F162" s="1127">
        <v>130</v>
      </c>
      <c r="G162" s="1127">
        <v>155</v>
      </c>
      <c r="H162" s="1127">
        <v>155</v>
      </c>
      <c r="I162" s="1127">
        <v>155</v>
      </c>
      <c r="J162" s="1127">
        <v>135</v>
      </c>
      <c r="K162" s="1127">
        <v>80</v>
      </c>
      <c r="L162" s="1127">
        <v>20</v>
      </c>
      <c r="M162" s="1127">
        <v>375</v>
      </c>
      <c r="N162" s="1127">
        <v>920</v>
      </c>
      <c r="O162" s="1131" t="s">
        <v>52</v>
      </c>
      <c r="P162" s="1131"/>
      <c r="Q162" s="1131"/>
      <c r="R162" s="1131"/>
      <c r="S162" s="1131"/>
      <c r="T162" s="1067"/>
    </row>
    <row r="163" spans="1:21" x14ac:dyDescent="0.35">
      <c r="A163" s="1079" t="s">
        <v>1364</v>
      </c>
      <c r="B163" s="1080" t="s">
        <v>1365</v>
      </c>
      <c r="C163" s="1127">
        <v>0</v>
      </c>
      <c r="D163" s="1127">
        <v>15</v>
      </c>
      <c r="E163" s="1127">
        <v>12</v>
      </c>
      <c r="F163" s="1127">
        <v>8</v>
      </c>
      <c r="G163" s="1127">
        <v>4</v>
      </c>
      <c r="H163" s="1127">
        <v>0</v>
      </c>
      <c r="I163" s="1127">
        <v>0</v>
      </c>
      <c r="J163" s="1127">
        <v>0</v>
      </c>
      <c r="K163" s="1127">
        <v>0</v>
      </c>
      <c r="L163" s="1127">
        <v>0</v>
      </c>
      <c r="M163" s="1127">
        <v>39</v>
      </c>
      <c r="N163" s="1127">
        <v>39</v>
      </c>
      <c r="O163" s="1131" t="s">
        <v>52</v>
      </c>
      <c r="P163" s="1131"/>
      <c r="Q163" s="1131"/>
      <c r="R163" s="1131"/>
      <c r="S163" s="1131"/>
      <c r="T163" s="1067"/>
    </row>
    <row r="164" spans="1:21" x14ac:dyDescent="0.35">
      <c r="A164" s="1062" t="s">
        <v>1366</v>
      </c>
      <c r="B164" s="1063" t="s">
        <v>1367</v>
      </c>
      <c r="C164" s="1148">
        <v>0</v>
      </c>
      <c r="D164" s="1148">
        <v>25</v>
      </c>
      <c r="E164" s="1148">
        <v>100</v>
      </c>
      <c r="F164" s="1148">
        <v>125</v>
      </c>
      <c r="G164" s="1148">
        <v>100</v>
      </c>
      <c r="H164" s="1148">
        <v>75</v>
      </c>
      <c r="I164" s="1148">
        <v>30</v>
      </c>
      <c r="J164" s="1148">
        <v>20</v>
      </c>
      <c r="K164" s="1148">
        <v>0</v>
      </c>
      <c r="L164" s="1148">
        <v>0</v>
      </c>
      <c r="M164" s="1148">
        <v>350</v>
      </c>
      <c r="N164" s="1148">
        <v>475</v>
      </c>
      <c r="O164" s="1149" t="s">
        <v>52</v>
      </c>
      <c r="P164" s="1149"/>
      <c r="Q164" s="1149"/>
      <c r="R164" s="1149"/>
      <c r="S164" s="1149"/>
      <c r="T164" s="1067"/>
    </row>
    <row r="165" spans="1:21" x14ac:dyDescent="0.35">
      <c r="A165" s="41"/>
      <c r="B165" s="17"/>
      <c r="C165" s="58"/>
      <c r="D165" s="58"/>
      <c r="E165" s="58"/>
      <c r="F165" s="58"/>
      <c r="G165" s="58"/>
      <c r="H165" s="58"/>
      <c r="I165" s="58"/>
      <c r="J165" s="58"/>
      <c r="K165" s="58"/>
      <c r="L165" s="58"/>
      <c r="M165" s="58"/>
      <c r="N165" s="58"/>
      <c r="O165" s="41"/>
      <c r="P165" s="41"/>
      <c r="Q165" s="41"/>
      <c r="R165" s="41"/>
      <c r="S165" s="41"/>
      <c r="T165" s="17"/>
    </row>
    <row r="167" spans="1:21" x14ac:dyDescent="0.35">
      <c r="A167" s="42" t="s">
        <v>1375</v>
      </c>
    </row>
    <row r="168" spans="1:21" x14ac:dyDescent="0.35">
      <c r="A168" s="1150"/>
      <c r="B168" s="1150"/>
      <c r="C168" s="1134"/>
      <c r="D168" s="1134">
        <v>2022</v>
      </c>
      <c r="E168" s="1134">
        <v>2023</v>
      </c>
      <c r="F168" s="1134">
        <v>2024</v>
      </c>
      <c r="G168" s="1134">
        <v>2025</v>
      </c>
      <c r="H168" s="1134">
        <v>2026</v>
      </c>
      <c r="I168" s="1134">
        <v>2027</v>
      </c>
      <c r="J168" s="1134">
        <v>2028</v>
      </c>
      <c r="K168" s="1134">
        <v>2029</v>
      </c>
      <c r="L168" s="1134">
        <v>2030</v>
      </c>
      <c r="M168" s="1135">
        <v>2031</v>
      </c>
      <c r="N168" s="1136" t="s">
        <v>1368</v>
      </c>
      <c r="O168" s="1136" t="s">
        <v>1369</v>
      </c>
      <c r="P168" s="1121"/>
      <c r="Q168" s="1121"/>
      <c r="R168" s="1121"/>
      <c r="S168" s="1121"/>
      <c r="U168" s="48"/>
    </row>
    <row r="169" spans="1:21" x14ac:dyDescent="0.35">
      <c r="A169" s="1151" t="s">
        <v>1370</v>
      </c>
      <c r="B169" s="1151"/>
      <c r="C169" s="1157"/>
      <c r="D169" s="1157">
        <f t="shared" ref="D169:O169" si="9">D78/1000</f>
        <v>0</v>
      </c>
      <c r="E169" s="1157">
        <f t="shared" si="9"/>
        <v>6.8000000000000005E-2</v>
      </c>
      <c r="F169" s="1157">
        <f t="shared" si="9"/>
        <v>1.363</v>
      </c>
      <c r="G169" s="1157">
        <f t="shared" si="9"/>
        <v>2.4329999999999998</v>
      </c>
      <c r="H169" s="1157">
        <f t="shared" si="9"/>
        <v>2.8029999999999999</v>
      </c>
      <c r="I169" s="1157">
        <f t="shared" si="9"/>
        <v>1.7410000000000001</v>
      </c>
      <c r="J169" s="1157">
        <f t="shared" si="9"/>
        <v>0.56999999999999995</v>
      </c>
      <c r="K169" s="1157">
        <f t="shared" si="9"/>
        <v>3.5000000000000003E-2</v>
      </c>
      <c r="L169" s="1157">
        <f t="shared" si="9"/>
        <v>0</v>
      </c>
      <c r="M169" s="1157">
        <f t="shared" si="9"/>
        <v>0</v>
      </c>
      <c r="N169" s="1157">
        <f t="shared" si="9"/>
        <v>6.6669999999999998</v>
      </c>
      <c r="O169" s="1157">
        <f t="shared" si="9"/>
        <v>9.0129999999999999</v>
      </c>
      <c r="P169" s="1157"/>
      <c r="Q169" s="1157"/>
      <c r="R169" s="1157"/>
      <c r="S169" s="1157"/>
      <c r="U169" s="48"/>
    </row>
    <row r="170" spans="1:21" x14ac:dyDescent="0.35">
      <c r="A170" s="1151" t="s">
        <v>1371</v>
      </c>
      <c r="B170" s="1151"/>
      <c r="C170" s="1157"/>
      <c r="D170" s="1157">
        <f t="shared" ref="D170:O170" si="10">(D77+D70)/1000</f>
        <v>0</v>
      </c>
      <c r="E170" s="1157">
        <f t="shared" si="10"/>
        <v>0.81899999999999995</v>
      </c>
      <c r="F170" s="1157">
        <f t="shared" si="10"/>
        <v>2.4780000000000002</v>
      </c>
      <c r="G170" s="1157">
        <f t="shared" si="10"/>
        <v>4.0720000000000001</v>
      </c>
      <c r="H170" s="1157">
        <f t="shared" si="10"/>
        <v>5.4480000000000004</v>
      </c>
      <c r="I170" s="1157">
        <f t="shared" si="10"/>
        <v>4.8289999999999997</v>
      </c>
      <c r="J170" s="1157">
        <f t="shared" si="10"/>
        <v>3.2949999999999999</v>
      </c>
      <c r="K170" s="1157">
        <f t="shared" si="10"/>
        <v>1.98</v>
      </c>
      <c r="L170" s="1157">
        <f t="shared" si="10"/>
        <v>1.01</v>
      </c>
      <c r="M170" s="1157">
        <f t="shared" si="10"/>
        <v>0.40400000000000003</v>
      </c>
      <c r="N170" s="1157">
        <f t="shared" si="10"/>
        <v>12.817</v>
      </c>
      <c r="O170" s="1157">
        <f t="shared" si="10"/>
        <v>24.335000000000001</v>
      </c>
      <c r="P170" s="1157"/>
      <c r="Q170" s="1157"/>
      <c r="R170" s="1157"/>
      <c r="S170" s="1157"/>
      <c r="U170" s="48"/>
    </row>
    <row r="171" spans="1:21" x14ac:dyDescent="0.35">
      <c r="A171" s="1151" t="s">
        <v>1372</v>
      </c>
      <c r="B171" s="1151"/>
      <c r="C171" s="1157"/>
      <c r="D171" s="1157">
        <f t="shared" ref="D171:O171" si="11">(D69+D76)/1000</f>
        <v>0</v>
      </c>
      <c r="E171" s="1157">
        <f t="shared" si="11"/>
        <v>4.5430000000000001</v>
      </c>
      <c r="F171" s="1157">
        <f t="shared" si="11"/>
        <v>5.6079999999999997</v>
      </c>
      <c r="G171" s="1157">
        <f t="shared" si="11"/>
        <v>8.16</v>
      </c>
      <c r="H171" s="1157">
        <f t="shared" si="11"/>
        <v>10.069000000000001</v>
      </c>
      <c r="I171" s="1157">
        <f t="shared" si="11"/>
        <v>12.026999999999999</v>
      </c>
      <c r="J171" s="1157">
        <f t="shared" si="11"/>
        <v>13.826000000000001</v>
      </c>
      <c r="K171" s="1157">
        <f t="shared" si="11"/>
        <v>15.862</v>
      </c>
      <c r="L171" s="1157">
        <f t="shared" si="11"/>
        <v>17.890999999999998</v>
      </c>
      <c r="M171" s="1157">
        <f t="shared" si="11"/>
        <v>17.481000000000002</v>
      </c>
      <c r="N171" s="1157">
        <f t="shared" si="11"/>
        <v>28.38</v>
      </c>
      <c r="O171" s="1157">
        <f t="shared" si="11"/>
        <v>105.467</v>
      </c>
      <c r="P171" s="1157"/>
      <c r="Q171" s="1157"/>
      <c r="R171" s="1157"/>
      <c r="S171" s="1157"/>
      <c r="U171" s="48"/>
    </row>
    <row r="172" spans="1:21" x14ac:dyDescent="0.35">
      <c r="A172" s="1152" t="s">
        <v>52</v>
      </c>
      <c r="B172" s="1152"/>
      <c r="C172" s="1157"/>
      <c r="D172" s="1157">
        <f t="shared" ref="D172:O172" si="12">(D79+D74)/1000</f>
        <v>0</v>
      </c>
      <c r="E172" s="1157">
        <f t="shared" si="12"/>
        <v>1.2969999999999999</v>
      </c>
      <c r="F172" s="1157">
        <f t="shared" si="12"/>
        <v>3.8479999999999999</v>
      </c>
      <c r="G172" s="1157">
        <f t="shared" si="12"/>
        <v>6.4420000000000002</v>
      </c>
      <c r="H172" s="1157">
        <f t="shared" si="12"/>
        <v>9.532</v>
      </c>
      <c r="I172" s="1157">
        <f t="shared" si="12"/>
        <v>11.882</v>
      </c>
      <c r="J172" s="1157">
        <f t="shared" si="12"/>
        <v>11.727</v>
      </c>
      <c r="K172" s="1157">
        <f t="shared" si="12"/>
        <v>10.569000000000001</v>
      </c>
      <c r="L172" s="1157">
        <f t="shared" si="12"/>
        <v>8.8879999999999999</v>
      </c>
      <c r="M172" s="1157">
        <f t="shared" si="12"/>
        <v>7.1890000000000001</v>
      </c>
      <c r="N172" s="1157">
        <f t="shared" si="12"/>
        <v>21.117000000000001</v>
      </c>
      <c r="O172" s="1157">
        <f t="shared" si="12"/>
        <v>71.372</v>
      </c>
      <c r="P172" s="1157"/>
      <c r="Q172" s="1157"/>
      <c r="R172" s="1157"/>
      <c r="S172" s="1157"/>
      <c r="U172" s="48"/>
    </row>
    <row r="173" spans="1:21" x14ac:dyDescent="0.35">
      <c r="A173" s="1153" t="s">
        <v>528</v>
      </c>
      <c r="B173" s="1153"/>
      <c r="C173" s="1157"/>
      <c r="D173" s="1157"/>
      <c r="E173" s="1157"/>
      <c r="F173" s="1157"/>
      <c r="G173" s="1157"/>
      <c r="H173" s="1157"/>
      <c r="I173" s="1157"/>
      <c r="J173" s="1157"/>
      <c r="K173" s="1157"/>
      <c r="L173" s="1157"/>
      <c r="M173" s="1157"/>
      <c r="N173" s="1157"/>
      <c r="O173" s="1157"/>
      <c r="P173" s="1157"/>
      <c r="Q173" s="1157"/>
      <c r="R173" s="1157"/>
      <c r="S173" s="1157"/>
      <c r="U173" s="48"/>
    </row>
    <row r="174" spans="1:21" x14ac:dyDescent="0.35">
      <c r="A174" s="1154" t="s">
        <v>54</v>
      </c>
      <c r="B174" s="1154"/>
      <c r="C174" s="1157"/>
      <c r="D174" s="1157">
        <f t="shared" ref="D174:O174" si="13">D71/1000</f>
        <v>0</v>
      </c>
      <c r="E174" s="1157">
        <f t="shared" si="13"/>
        <v>0.11</v>
      </c>
      <c r="F174" s="1157">
        <f t="shared" si="13"/>
        <v>0.73899999999999999</v>
      </c>
      <c r="G174" s="1157">
        <f t="shared" si="13"/>
        <v>1.1950000000000001</v>
      </c>
      <c r="H174" s="1157">
        <f t="shared" si="13"/>
        <v>1.4970000000000001</v>
      </c>
      <c r="I174" s="1157">
        <f t="shared" si="13"/>
        <v>1.91</v>
      </c>
      <c r="J174" s="1157">
        <f t="shared" si="13"/>
        <v>2.4049999999999998</v>
      </c>
      <c r="K174" s="1157">
        <f t="shared" si="13"/>
        <v>2.9220000000000002</v>
      </c>
      <c r="L174" s="1157">
        <f t="shared" si="13"/>
        <v>3.4630000000000001</v>
      </c>
      <c r="M174" s="1157">
        <f t="shared" si="13"/>
        <v>4.0069999999999997</v>
      </c>
      <c r="N174" s="1157">
        <f t="shared" si="13"/>
        <v>3.5409999999999999</v>
      </c>
      <c r="O174" s="1157">
        <f t="shared" si="13"/>
        <v>18.248000000000001</v>
      </c>
      <c r="P174" s="1157"/>
      <c r="Q174" s="1157"/>
      <c r="R174" s="1157"/>
      <c r="S174" s="1157"/>
      <c r="U174" s="48"/>
    </row>
    <row r="175" spans="1:21" x14ac:dyDescent="0.35">
      <c r="A175" s="1154" t="s">
        <v>1373</v>
      </c>
      <c r="B175" s="1154"/>
      <c r="C175" s="1157"/>
      <c r="D175" s="1157">
        <f t="shared" ref="D175:O175" si="14">D72/1000</f>
        <v>0</v>
      </c>
      <c r="E175" s="1157">
        <f t="shared" si="14"/>
        <v>-0.41499999999999998</v>
      </c>
      <c r="F175" s="1157">
        <f t="shared" si="14"/>
        <v>2.7679999999999998</v>
      </c>
      <c r="G175" s="1157">
        <f t="shared" si="14"/>
        <v>-12.473000000000001</v>
      </c>
      <c r="H175" s="1157">
        <f t="shared" si="14"/>
        <v>-5.3739999999999997</v>
      </c>
      <c r="I175" s="1157">
        <f t="shared" si="14"/>
        <v>-25.515000000000001</v>
      </c>
      <c r="J175" s="1157">
        <f t="shared" si="14"/>
        <v>-43.975000000000001</v>
      </c>
      <c r="K175" s="1157">
        <f t="shared" si="14"/>
        <v>-46.426000000000002</v>
      </c>
      <c r="L175" s="1157">
        <f t="shared" si="14"/>
        <v>-56.228000000000002</v>
      </c>
      <c r="M175" s="1157">
        <f t="shared" si="14"/>
        <v>-60.581000000000003</v>
      </c>
      <c r="N175" s="1157">
        <f t="shared" si="14"/>
        <v>-15.494</v>
      </c>
      <c r="O175" s="1157">
        <f t="shared" si="14"/>
        <v>-248.21899999999999</v>
      </c>
      <c r="P175" s="1157"/>
      <c r="Q175" s="1157"/>
      <c r="R175" s="1157"/>
      <c r="S175" s="1157"/>
      <c r="U175" s="48"/>
    </row>
    <row r="176" spans="1:21" x14ac:dyDescent="0.35">
      <c r="A176" s="1155" t="s">
        <v>57</v>
      </c>
      <c r="B176" s="1155"/>
      <c r="C176" s="1157"/>
      <c r="D176" s="1157">
        <f t="shared" ref="D176:O176" si="15">(D80+D73)/1000</f>
        <v>-0.622</v>
      </c>
      <c r="E176" s="1157">
        <f t="shared" si="15"/>
        <v>21.89</v>
      </c>
      <c r="F176" s="1157">
        <f t="shared" si="15"/>
        <v>15.439</v>
      </c>
      <c r="G176" s="1157">
        <f t="shared" si="15"/>
        <v>16.966999999999999</v>
      </c>
      <c r="H176" s="1157">
        <f t="shared" si="15"/>
        <v>0.72799999999999998</v>
      </c>
      <c r="I176" s="1157">
        <f t="shared" si="15"/>
        <v>7.657</v>
      </c>
      <c r="J176" s="1157">
        <f t="shared" si="15"/>
        <v>4.5590000000000002</v>
      </c>
      <c r="K176" s="1157">
        <f t="shared" si="15"/>
        <v>2.4649999999999999</v>
      </c>
      <c r="L176" s="1157">
        <f t="shared" si="15"/>
        <v>1.444</v>
      </c>
      <c r="M176" s="1157">
        <f t="shared" si="15"/>
        <v>0.77300000000000002</v>
      </c>
      <c r="N176" s="1157">
        <f t="shared" si="15"/>
        <v>54.402000000000001</v>
      </c>
      <c r="O176" s="1157">
        <f t="shared" si="15"/>
        <v>71.3</v>
      </c>
      <c r="P176" s="1157"/>
      <c r="Q176" s="1157"/>
      <c r="R176" s="1157"/>
      <c r="S176" s="1157"/>
      <c r="U176" s="48"/>
    </row>
    <row r="177" spans="1:21" x14ac:dyDescent="0.35">
      <c r="A177" s="1156" t="s">
        <v>1429</v>
      </c>
      <c r="B177" s="1156"/>
      <c r="C177" s="1157"/>
      <c r="D177" s="1144">
        <f t="shared" ref="D177:O177" si="16">D84/1000</f>
        <v>0</v>
      </c>
      <c r="E177" s="1144">
        <f t="shared" si="16"/>
        <v>-3.1549999999999998</v>
      </c>
      <c r="F177" s="1144">
        <f t="shared" si="16"/>
        <v>-2.2309999999999999</v>
      </c>
      <c r="G177" s="1144">
        <f t="shared" si="16"/>
        <v>-1.6080000000000001</v>
      </c>
      <c r="H177" s="1144">
        <f t="shared" si="16"/>
        <v>-0.77</v>
      </c>
      <c r="I177" s="1144">
        <f t="shared" si="16"/>
        <v>-0.98299999999999998</v>
      </c>
      <c r="J177" s="1144">
        <f t="shared" si="16"/>
        <v>-1.2110000000000001</v>
      </c>
      <c r="K177" s="1144">
        <f t="shared" si="16"/>
        <v>-1.4710000000000001</v>
      </c>
      <c r="L177" s="1144">
        <f t="shared" si="16"/>
        <v>-1.81</v>
      </c>
      <c r="M177" s="1144">
        <f t="shared" si="16"/>
        <v>-2.3250000000000002</v>
      </c>
      <c r="N177" s="1144">
        <f t="shared" si="16"/>
        <v>-7.7670000000000003</v>
      </c>
      <c r="O177" s="1144">
        <f t="shared" si="16"/>
        <v>-15.566000000000001</v>
      </c>
      <c r="P177" s="1144"/>
      <c r="Q177" s="1144"/>
      <c r="R177" s="1144"/>
      <c r="S177" s="1144"/>
      <c r="U177" s="48"/>
    </row>
    <row r="178" spans="1:21" x14ac:dyDescent="0.35">
      <c r="A178" s="1156" t="s">
        <v>239</v>
      </c>
      <c r="B178" s="1156"/>
      <c r="C178" s="1157"/>
      <c r="D178" s="1144">
        <f t="shared" ref="D178:O178" si="17">D85/1000</f>
        <v>0</v>
      </c>
      <c r="E178" s="1144">
        <f t="shared" si="17"/>
        <v>0.45200000000000001</v>
      </c>
      <c r="F178" s="1144">
        <f t="shared" si="17"/>
        <v>-8.67</v>
      </c>
      <c r="G178" s="1144">
        <f t="shared" si="17"/>
        <v>-4.5270000000000001</v>
      </c>
      <c r="H178" s="1144">
        <f t="shared" si="17"/>
        <v>-0.70499999999999996</v>
      </c>
      <c r="I178" s="1144">
        <f t="shared" si="17"/>
        <v>15.813000000000001</v>
      </c>
      <c r="J178" s="1144">
        <f t="shared" si="17"/>
        <v>20.372</v>
      </c>
      <c r="K178" s="1144">
        <f t="shared" si="17"/>
        <v>24.847000000000001</v>
      </c>
      <c r="L178" s="1144">
        <f t="shared" si="17"/>
        <v>28.113</v>
      </c>
      <c r="M178" s="1144">
        <f t="shared" si="17"/>
        <v>24.777000000000001</v>
      </c>
      <c r="N178" s="1144">
        <f t="shared" si="17"/>
        <v>-13.451000000000001</v>
      </c>
      <c r="O178" s="1144">
        <f t="shared" si="17"/>
        <v>100.468</v>
      </c>
      <c r="P178" s="1144"/>
      <c r="Q178" s="1144"/>
      <c r="R178" s="1144"/>
      <c r="S178" s="1144"/>
      <c r="U178" s="48"/>
    </row>
    <row r="179" spans="1:21" x14ac:dyDescent="0.35">
      <c r="A179" s="1156" t="s">
        <v>106</v>
      </c>
      <c r="B179" s="1156"/>
      <c r="C179" s="1157"/>
      <c r="D179" s="1144">
        <f t="shared" ref="D179:O179" si="18">D83/1000</f>
        <v>0</v>
      </c>
      <c r="E179" s="1144">
        <f t="shared" si="18"/>
        <v>35.317</v>
      </c>
      <c r="F179" s="1144">
        <f t="shared" si="18"/>
        <v>36.033000000000001</v>
      </c>
      <c r="G179" s="1144">
        <f t="shared" si="18"/>
        <v>21.076000000000001</v>
      </c>
      <c r="H179" s="1144">
        <f t="shared" si="18"/>
        <v>13.346</v>
      </c>
      <c r="I179" s="1144">
        <f t="shared" si="18"/>
        <v>27.507999999999999</v>
      </c>
      <c r="J179" s="1144">
        <f t="shared" si="18"/>
        <v>35.85</v>
      </c>
      <c r="K179" s="1144">
        <f t="shared" si="18"/>
        <v>18.64</v>
      </c>
      <c r="L179" s="1144">
        <f t="shared" si="18"/>
        <v>8.3940000000000001</v>
      </c>
      <c r="M179" s="1144">
        <f t="shared" si="18"/>
        <v>7.9820000000000002</v>
      </c>
      <c r="N179" s="1144">
        <f t="shared" si="18"/>
        <v>105.76900000000001</v>
      </c>
      <c r="O179" s="1144">
        <f t="shared" si="18"/>
        <v>204.14400000000001</v>
      </c>
      <c r="P179" s="1144"/>
      <c r="Q179" s="1144"/>
      <c r="R179" s="1144"/>
      <c r="S179" s="1144"/>
      <c r="U179" s="48"/>
    </row>
    <row r="182" spans="1:21" x14ac:dyDescent="0.35">
      <c r="A182" s="42" t="s">
        <v>1374</v>
      </c>
    </row>
    <row r="183" spans="1:21" x14ac:dyDescent="0.35">
      <c r="A183" s="1150"/>
      <c r="B183" s="1150"/>
      <c r="C183" s="1150"/>
      <c r="D183" s="1150" t="s">
        <v>183</v>
      </c>
      <c r="E183" s="1150" t="s">
        <v>184</v>
      </c>
      <c r="F183" s="1150" t="s">
        <v>185</v>
      </c>
      <c r="G183" s="1150" t="s">
        <v>186</v>
      </c>
      <c r="H183" s="1150" t="s">
        <v>187</v>
      </c>
      <c r="I183" s="1150" t="s">
        <v>188</v>
      </c>
      <c r="J183" s="1150" t="s">
        <v>189</v>
      </c>
      <c r="K183" s="1150" t="s">
        <v>190</v>
      </c>
      <c r="L183" s="1150" t="s">
        <v>191</v>
      </c>
      <c r="M183" s="1150" t="s">
        <v>175</v>
      </c>
      <c r="N183" s="1150" t="s">
        <v>176</v>
      </c>
      <c r="O183" s="1150" t="s">
        <v>177</v>
      </c>
      <c r="P183" s="1150" t="s">
        <v>765</v>
      </c>
      <c r="Q183" s="1150" t="s">
        <v>766</v>
      </c>
      <c r="R183" s="1150" t="s">
        <v>767</v>
      </c>
      <c r="S183" s="1150" t="s">
        <v>1157</v>
      </c>
      <c r="U183" s="48"/>
    </row>
    <row r="184" spans="1:21" x14ac:dyDescent="0.35">
      <c r="A184" s="1151" t="s">
        <v>1370</v>
      </c>
      <c r="B184" s="1151"/>
      <c r="C184" s="1158"/>
      <c r="D184" s="1158">
        <f t="shared" ref="D184:D191" si="19">D169</f>
        <v>0</v>
      </c>
      <c r="E184" s="1158">
        <f>D184</f>
        <v>0</v>
      </c>
      <c r="F184" s="1158">
        <f t="shared" ref="F184:F191" si="20">E169</f>
        <v>6.8000000000000005E-2</v>
      </c>
      <c r="G184" s="1158">
        <f>F184</f>
        <v>6.8000000000000005E-2</v>
      </c>
      <c r="H184" s="1158">
        <f>G184</f>
        <v>6.8000000000000005E-2</v>
      </c>
      <c r="I184" s="1158">
        <f>H184</f>
        <v>6.8000000000000005E-2</v>
      </c>
      <c r="J184" s="1158">
        <f t="shared" ref="J184:J191" si="21">F169</f>
        <v>1.363</v>
      </c>
      <c r="K184" s="1158">
        <f t="shared" ref="K184:M191" si="22">J184</f>
        <v>1.363</v>
      </c>
      <c r="L184" s="1158">
        <f t="shared" si="22"/>
        <v>1.363</v>
      </c>
      <c r="M184" s="1158">
        <f>L184</f>
        <v>1.363</v>
      </c>
      <c r="N184" s="1158">
        <f>G169</f>
        <v>2.4329999999999998</v>
      </c>
      <c r="O184" s="1158">
        <f>N184</f>
        <v>2.4329999999999998</v>
      </c>
      <c r="P184" s="1158">
        <f t="shared" ref="P184:Q184" si="23">O184</f>
        <v>2.4329999999999998</v>
      </c>
      <c r="Q184" s="1158">
        <f t="shared" si="23"/>
        <v>2.4329999999999998</v>
      </c>
      <c r="R184" s="1158">
        <f>H169</f>
        <v>2.8029999999999999</v>
      </c>
      <c r="S184" s="1158">
        <f>R184</f>
        <v>2.8029999999999999</v>
      </c>
      <c r="U184" s="48"/>
    </row>
    <row r="185" spans="1:21" x14ac:dyDescent="0.35">
      <c r="A185" s="1151" t="s">
        <v>1371</v>
      </c>
      <c r="B185" s="1151"/>
      <c r="C185" s="1158"/>
      <c r="D185" s="1158">
        <f t="shared" si="19"/>
        <v>0</v>
      </c>
      <c r="E185" s="1158">
        <f t="shared" ref="E185:E191" si="24">D185</f>
        <v>0</v>
      </c>
      <c r="F185" s="1158">
        <f t="shared" si="20"/>
        <v>0.81899999999999995</v>
      </c>
      <c r="G185" s="1158">
        <f t="shared" ref="G185:I191" si="25">F185</f>
        <v>0.81899999999999995</v>
      </c>
      <c r="H185" s="1158">
        <f t="shared" si="25"/>
        <v>0.81899999999999995</v>
      </c>
      <c r="I185" s="1158">
        <f t="shared" si="25"/>
        <v>0.81899999999999995</v>
      </c>
      <c r="J185" s="1158">
        <f>F170</f>
        <v>2.4780000000000002</v>
      </c>
      <c r="K185" s="1158">
        <f t="shared" si="22"/>
        <v>2.4780000000000002</v>
      </c>
      <c r="L185" s="1158">
        <f t="shared" si="22"/>
        <v>2.4780000000000002</v>
      </c>
      <c r="M185" s="1158">
        <f>L185</f>
        <v>2.4780000000000002</v>
      </c>
      <c r="N185" s="1158">
        <f>G170</f>
        <v>4.0720000000000001</v>
      </c>
      <c r="O185" s="1158">
        <f>N185</f>
        <v>4.0720000000000001</v>
      </c>
      <c r="P185" s="1158">
        <f t="shared" ref="P185:Q194" si="26">O185</f>
        <v>4.0720000000000001</v>
      </c>
      <c r="Q185" s="1158">
        <f t="shared" si="26"/>
        <v>4.0720000000000001</v>
      </c>
      <c r="R185" s="1158">
        <f>H170</f>
        <v>5.4480000000000004</v>
      </c>
      <c r="S185" s="1158">
        <f t="shared" ref="S185:S194" si="27">R185</f>
        <v>5.4480000000000004</v>
      </c>
      <c r="U185" s="48"/>
    </row>
    <row r="186" spans="1:21" x14ac:dyDescent="0.35">
      <c r="A186" s="1151" t="s">
        <v>1372</v>
      </c>
      <c r="B186" s="1151"/>
      <c r="C186" s="1158"/>
      <c r="D186" s="1158">
        <f t="shared" si="19"/>
        <v>0</v>
      </c>
      <c r="E186" s="1158">
        <f t="shared" si="24"/>
        <v>0</v>
      </c>
      <c r="F186" s="1158">
        <f t="shared" si="20"/>
        <v>4.5430000000000001</v>
      </c>
      <c r="G186" s="1158">
        <f t="shared" si="25"/>
        <v>4.5430000000000001</v>
      </c>
      <c r="H186" s="1158">
        <f t="shared" si="25"/>
        <v>4.5430000000000001</v>
      </c>
      <c r="I186" s="1158">
        <f t="shared" si="25"/>
        <v>4.5430000000000001</v>
      </c>
      <c r="J186" s="1158">
        <f t="shared" si="21"/>
        <v>5.6079999999999997</v>
      </c>
      <c r="K186" s="1158">
        <f t="shared" si="22"/>
        <v>5.6079999999999997</v>
      </c>
      <c r="L186" s="1158">
        <f t="shared" si="22"/>
        <v>5.6079999999999997</v>
      </c>
      <c r="M186" s="1158">
        <f t="shared" si="22"/>
        <v>5.6079999999999997</v>
      </c>
      <c r="N186" s="1158">
        <f>G171</f>
        <v>8.16</v>
      </c>
      <c r="O186" s="1158">
        <f t="shared" ref="O186:O191" si="28">N186</f>
        <v>8.16</v>
      </c>
      <c r="P186" s="1158">
        <f t="shared" si="26"/>
        <v>8.16</v>
      </c>
      <c r="Q186" s="1158">
        <f t="shared" si="26"/>
        <v>8.16</v>
      </c>
      <c r="R186" s="1158">
        <f t="shared" ref="R186:R194" si="29">H171</f>
        <v>10.069000000000001</v>
      </c>
      <c r="S186" s="1158">
        <f t="shared" si="27"/>
        <v>10.069000000000001</v>
      </c>
      <c r="U186" s="48"/>
    </row>
    <row r="187" spans="1:21" x14ac:dyDescent="0.35">
      <c r="A187" s="1152" t="s">
        <v>52</v>
      </c>
      <c r="B187" s="1152"/>
      <c r="C187" s="1158"/>
      <c r="D187" s="1158">
        <f t="shared" si="19"/>
        <v>0</v>
      </c>
      <c r="E187" s="1158">
        <f t="shared" si="24"/>
        <v>0</v>
      </c>
      <c r="F187" s="1158">
        <f t="shared" si="20"/>
        <v>1.2969999999999999</v>
      </c>
      <c r="G187" s="1158">
        <f t="shared" si="25"/>
        <v>1.2969999999999999</v>
      </c>
      <c r="H187" s="1158">
        <f t="shared" si="25"/>
        <v>1.2969999999999999</v>
      </c>
      <c r="I187" s="1158">
        <f t="shared" si="25"/>
        <v>1.2969999999999999</v>
      </c>
      <c r="J187" s="1158">
        <f t="shared" si="21"/>
        <v>3.8479999999999999</v>
      </c>
      <c r="K187" s="1158">
        <f t="shared" si="22"/>
        <v>3.8479999999999999</v>
      </c>
      <c r="L187" s="1158">
        <f t="shared" si="22"/>
        <v>3.8479999999999999</v>
      </c>
      <c r="M187" s="1158">
        <f t="shared" si="22"/>
        <v>3.8479999999999999</v>
      </c>
      <c r="N187" s="1158">
        <f t="shared" ref="N187:N191" si="30">G172</f>
        <v>6.4420000000000002</v>
      </c>
      <c r="O187" s="1158">
        <f t="shared" si="28"/>
        <v>6.4420000000000002</v>
      </c>
      <c r="P187" s="1158">
        <f t="shared" si="26"/>
        <v>6.4420000000000002</v>
      </c>
      <c r="Q187" s="1158">
        <f t="shared" si="26"/>
        <v>6.4420000000000002</v>
      </c>
      <c r="R187" s="1158">
        <f t="shared" si="29"/>
        <v>9.532</v>
      </c>
      <c r="S187" s="1158">
        <f t="shared" si="27"/>
        <v>9.532</v>
      </c>
      <c r="U187" s="48"/>
    </row>
    <row r="188" spans="1:21" x14ac:dyDescent="0.35">
      <c r="A188" s="1153" t="s">
        <v>528</v>
      </c>
      <c r="B188" s="1153"/>
      <c r="C188" s="1158"/>
      <c r="D188" s="1158">
        <f t="shared" si="19"/>
        <v>0</v>
      </c>
      <c r="E188" s="1158">
        <f t="shared" si="24"/>
        <v>0</v>
      </c>
      <c r="F188" s="1158">
        <f t="shared" si="20"/>
        <v>0</v>
      </c>
      <c r="G188" s="1158">
        <f t="shared" si="25"/>
        <v>0</v>
      </c>
      <c r="H188" s="1158">
        <f t="shared" si="25"/>
        <v>0</v>
      </c>
      <c r="I188" s="1158">
        <f t="shared" si="25"/>
        <v>0</v>
      </c>
      <c r="J188" s="1158">
        <f t="shared" si="21"/>
        <v>0</v>
      </c>
      <c r="K188" s="1158">
        <f t="shared" si="22"/>
        <v>0</v>
      </c>
      <c r="L188" s="1158">
        <f t="shared" si="22"/>
        <v>0</v>
      </c>
      <c r="M188" s="1158">
        <f t="shared" si="22"/>
        <v>0</v>
      </c>
      <c r="N188" s="1158">
        <f t="shared" si="30"/>
        <v>0</v>
      </c>
      <c r="O188" s="1158">
        <f t="shared" si="28"/>
        <v>0</v>
      </c>
      <c r="P188" s="1158">
        <f t="shared" si="26"/>
        <v>0</v>
      </c>
      <c r="Q188" s="1158">
        <f t="shared" si="26"/>
        <v>0</v>
      </c>
      <c r="R188" s="1158">
        <f t="shared" si="29"/>
        <v>0</v>
      </c>
      <c r="S188" s="1158">
        <f t="shared" si="27"/>
        <v>0</v>
      </c>
      <c r="U188" s="48"/>
    </row>
    <row r="189" spans="1:21" x14ac:dyDescent="0.35">
      <c r="A189" s="1154" t="s">
        <v>54</v>
      </c>
      <c r="B189" s="1154"/>
      <c r="C189" s="1158"/>
      <c r="D189" s="1158">
        <f t="shared" si="19"/>
        <v>0</v>
      </c>
      <c r="E189" s="1158">
        <f t="shared" si="24"/>
        <v>0</v>
      </c>
      <c r="F189" s="1158">
        <f t="shared" si="20"/>
        <v>0.11</v>
      </c>
      <c r="G189" s="1158">
        <f t="shared" si="25"/>
        <v>0.11</v>
      </c>
      <c r="H189" s="1158">
        <f t="shared" si="25"/>
        <v>0.11</v>
      </c>
      <c r="I189" s="1158">
        <f t="shared" si="25"/>
        <v>0.11</v>
      </c>
      <c r="J189" s="1158">
        <f t="shared" si="21"/>
        <v>0.73899999999999999</v>
      </c>
      <c r="K189" s="1158">
        <f t="shared" si="22"/>
        <v>0.73899999999999999</v>
      </c>
      <c r="L189" s="1158">
        <f t="shared" si="22"/>
        <v>0.73899999999999999</v>
      </c>
      <c r="M189" s="1158">
        <f t="shared" si="22"/>
        <v>0.73899999999999999</v>
      </c>
      <c r="N189" s="1158">
        <f t="shared" si="30"/>
        <v>1.1950000000000001</v>
      </c>
      <c r="O189" s="1158">
        <f t="shared" si="28"/>
        <v>1.1950000000000001</v>
      </c>
      <c r="P189" s="1158">
        <f t="shared" si="26"/>
        <v>1.1950000000000001</v>
      </c>
      <c r="Q189" s="1158">
        <f t="shared" si="26"/>
        <v>1.1950000000000001</v>
      </c>
      <c r="R189" s="1158">
        <f t="shared" si="29"/>
        <v>1.4970000000000001</v>
      </c>
      <c r="S189" s="1158">
        <f t="shared" si="27"/>
        <v>1.4970000000000001</v>
      </c>
      <c r="U189" s="48"/>
    </row>
    <row r="190" spans="1:21" x14ac:dyDescent="0.35">
      <c r="A190" s="1154" t="s">
        <v>1373</v>
      </c>
      <c r="B190" s="1154"/>
      <c r="C190" s="1158"/>
      <c r="D190" s="1158">
        <f t="shared" si="19"/>
        <v>0</v>
      </c>
      <c r="E190" s="1158">
        <f t="shared" si="24"/>
        <v>0</v>
      </c>
      <c r="F190" s="1158">
        <f t="shared" si="20"/>
        <v>-0.41499999999999998</v>
      </c>
      <c r="G190" s="1158">
        <f t="shared" si="25"/>
        <v>-0.41499999999999998</v>
      </c>
      <c r="H190" s="1158">
        <f t="shared" si="25"/>
        <v>-0.41499999999999998</v>
      </c>
      <c r="I190" s="1158">
        <f t="shared" si="25"/>
        <v>-0.41499999999999998</v>
      </c>
      <c r="J190" s="1158">
        <f t="shared" si="21"/>
        <v>2.7679999999999998</v>
      </c>
      <c r="K190" s="1158">
        <f t="shared" si="22"/>
        <v>2.7679999999999998</v>
      </c>
      <c r="L190" s="1158">
        <f t="shared" si="22"/>
        <v>2.7679999999999998</v>
      </c>
      <c r="M190" s="1158">
        <f t="shared" si="22"/>
        <v>2.7679999999999998</v>
      </c>
      <c r="N190" s="1158">
        <f t="shared" si="30"/>
        <v>-12.473000000000001</v>
      </c>
      <c r="O190" s="1158">
        <f t="shared" si="28"/>
        <v>-12.473000000000001</v>
      </c>
      <c r="P190" s="1158">
        <f t="shared" si="26"/>
        <v>-12.473000000000001</v>
      </c>
      <c r="Q190" s="1158">
        <f t="shared" si="26"/>
        <v>-12.473000000000001</v>
      </c>
      <c r="R190" s="1158">
        <f t="shared" si="29"/>
        <v>-5.3739999999999997</v>
      </c>
      <c r="S190" s="1158">
        <f t="shared" si="27"/>
        <v>-5.3739999999999997</v>
      </c>
      <c r="U190" s="48"/>
    </row>
    <row r="191" spans="1:21" x14ac:dyDescent="0.35">
      <c r="A191" s="1155" t="s">
        <v>57</v>
      </c>
      <c r="B191" s="1155"/>
      <c r="C191" s="1158"/>
      <c r="D191" s="1158">
        <f t="shared" si="19"/>
        <v>-0.622</v>
      </c>
      <c r="E191" s="1158">
        <f t="shared" si="24"/>
        <v>-0.622</v>
      </c>
      <c r="F191" s="1158">
        <f t="shared" si="20"/>
        <v>21.89</v>
      </c>
      <c r="G191" s="1158">
        <f t="shared" si="25"/>
        <v>21.89</v>
      </c>
      <c r="H191" s="1158">
        <f t="shared" si="25"/>
        <v>21.89</v>
      </c>
      <c r="I191" s="1158">
        <f t="shared" si="25"/>
        <v>21.89</v>
      </c>
      <c r="J191" s="1158">
        <f t="shared" si="21"/>
        <v>15.439</v>
      </c>
      <c r="K191" s="1158">
        <f t="shared" si="22"/>
        <v>15.439</v>
      </c>
      <c r="L191" s="1158">
        <f t="shared" si="22"/>
        <v>15.439</v>
      </c>
      <c r="M191" s="1158">
        <f t="shared" si="22"/>
        <v>15.439</v>
      </c>
      <c r="N191" s="1158">
        <f t="shared" si="30"/>
        <v>16.966999999999999</v>
      </c>
      <c r="O191" s="1158">
        <f t="shared" si="28"/>
        <v>16.966999999999999</v>
      </c>
      <c r="P191" s="1158">
        <f t="shared" si="26"/>
        <v>16.966999999999999</v>
      </c>
      <c r="Q191" s="1158">
        <f t="shared" si="26"/>
        <v>16.966999999999999</v>
      </c>
      <c r="R191" s="1158">
        <f t="shared" si="29"/>
        <v>0.72799999999999998</v>
      </c>
      <c r="S191" s="1158">
        <f t="shared" si="27"/>
        <v>0.72799999999999998</v>
      </c>
      <c r="U191" s="48"/>
    </row>
    <row r="192" spans="1:21" x14ac:dyDescent="0.35">
      <c r="A192" s="1156" t="s">
        <v>486</v>
      </c>
      <c r="B192" s="1156"/>
      <c r="C192" s="1158"/>
      <c r="D192" s="1144">
        <f t="shared" ref="D192:D194" si="31">D177</f>
        <v>0</v>
      </c>
      <c r="E192" s="1144">
        <f t="shared" ref="E192:E194" si="32">D192</f>
        <v>0</v>
      </c>
      <c r="F192" s="1144">
        <f t="shared" ref="F192:F194" si="33">E177</f>
        <v>-3.1549999999999998</v>
      </c>
      <c r="G192" s="1144">
        <f t="shared" ref="G192:G194" si="34">F192</f>
        <v>-3.1549999999999998</v>
      </c>
      <c r="H192" s="1144">
        <f t="shared" ref="H192:H194" si="35">G192</f>
        <v>-3.1549999999999998</v>
      </c>
      <c r="I192" s="1144">
        <f t="shared" ref="I192:I194" si="36">H192</f>
        <v>-3.1549999999999998</v>
      </c>
      <c r="J192" s="1144">
        <f t="shared" ref="J192:J194" si="37">F177</f>
        <v>-2.2309999999999999</v>
      </c>
      <c r="K192" s="1144">
        <f t="shared" ref="K192:K194" si="38">J192</f>
        <v>-2.2309999999999999</v>
      </c>
      <c r="L192" s="1144">
        <f t="shared" ref="L192:L194" si="39">K192</f>
        <v>-2.2309999999999999</v>
      </c>
      <c r="M192" s="1144">
        <f t="shared" ref="M192:M194" si="40">L192</f>
        <v>-2.2309999999999999</v>
      </c>
      <c r="N192" s="1144">
        <f t="shared" ref="N192:N194" si="41">G177</f>
        <v>-1.6080000000000001</v>
      </c>
      <c r="O192" s="1144">
        <f t="shared" ref="O192:O194" si="42">N192</f>
        <v>-1.6080000000000001</v>
      </c>
      <c r="P192" s="1144">
        <f t="shared" si="26"/>
        <v>-1.6080000000000001</v>
      </c>
      <c r="Q192" s="1144">
        <f t="shared" si="26"/>
        <v>-1.6080000000000001</v>
      </c>
      <c r="R192" s="1158">
        <f t="shared" si="29"/>
        <v>-0.77</v>
      </c>
      <c r="S192" s="1158">
        <f t="shared" si="27"/>
        <v>-0.77</v>
      </c>
      <c r="U192" s="48"/>
    </row>
    <row r="193" spans="1:21" x14ac:dyDescent="0.35">
      <c r="A193" s="1156" t="s">
        <v>484</v>
      </c>
      <c r="B193" s="1156"/>
      <c r="C193" s="1158"/>
      <c r="D193" s="1144">
        <f t="shared" si="31"/>
        <v>0</v>
      </c>
      <c r="E193" s="1144">
        <f t="shared" si="32"/>
        <v>0</v>
      </c>
      <c r="F193" s="1144">
        <f t="shared" si="33"/>
        <v>0.45200000000000001</v>
      </c>
      <c r="G193" s="1144">
        <f t="shared" si="34"/>
        <v>0.45200000000000001</v>
      </c>
      <c r="H193" s="1144">
        <f t="shared" si="35"/>
        <v>0.45200000000000001</v>
      </c>
      <c r="I193" s="1144">
        <f t="shared" si="36"/>
        <v>0.45200000000000001</v>
      </c>
      <c r="J193" s="1144">
        <f t="shared" si="37"/>
        <v>-8.67</v>
      </c>
      <c r="K193" s="1144">
        <f t="shared" si="38"/>
        <v>-8.67</v>
      </c>
      <c r="L193" s="1144">
        <f t="shared" si="39"/>
        <v>-8.67</v>
      </c>
      <c r="M193" s="1144">
        <f t="shared" si="40"/>
        <v>-8.67</v>
      </c>
      <c r="N193" s="1144">
        <f t="shared" si="41"/>
        <v>-4.5270000000000001</v>
      </c>
      <c r="O193" s="1144">
        <f t="shared" si="42"/>
        <v>-4.5270000000000001</v>
      </c>
      <c r="P193" s="1144">
        <f t="shared" si="26"/>
        <v>-4.5270000000000001</v>
      </c>
      <c r="Q193" s="1144">
        <f t="shared" si="26"/>
        <v>-4.5270000000000001</v>
      </c>
      <c r="R193" s="1158">
        <f t="shared" si="29"/>
        <v>-0.70499999999999996</v>
      </c>
      <c r="S193" s="1158">
        <f t="shared" si="27"/>
        <v>-0.70499999999999996</v>
      </c>
      <c r="U193" s="48"/>
    </row>
    <row r="194" spans="1:21" x14ac:dyDescent="0.35">
      <c r="A194" s="1156" t="s">
        <v>106</v>
      </c>
      <c r="B194" s="1156"/>
      <c r="C194" s="1158"/>
      <c r="D194" s="1144">
        <f t="shared" si="31"/>
        <v>0</v>
      </c>
      <c r="E194" s="1144">
        <f t="shared" si="32"/>
        <v>0</v>
      </c>
      <c r="F194" s="1144">
        <f t="shared" si="33"/>
        <v>35.317</v>
      </c>
      <c r="G194" s="1144">
        <f t="shared" si="34"/>
        <v>35.317</v>
      </c>
      <c r="H194" s="1144">
        <f t="shared" si="35"/>
        <v>35.317</v>
      </c>
      <c r="I194" s="1144">
        <f t="shared" si="36"/>
        <v>35.317</v>
      </c>
      <c r="J194" s="1144">
        <f t="shared" si="37"/>
        <v>36.033000000000001</v>
      </c>
      <c r="K194" s="1144">
        <f t="shared" si="38"/>
        <v>36.033000000000001</v>
      </c>
      <c r="L194" s="1144">
        <f t="shared" si="39"/>
        <v>36.033000000000001</v>
      </c>
      <c r="M194" s="1144">
        <f t="shared" si="40"/>
        <v>36.033000000000001</v>
      </c>
      <c r="N194" s="1144">
        <f t="shared" si="41"/>
        <v>21.076000000000001</v>
      </c>
      <c r="O194" s="1144">
        <f t="shared" si="42"/>
        <v>21.076000000000001</v>
      </c>
      <c r="P194" s="1144">
        <f t="shared" si="26"/>
        <v>21.076000000000001</v>
      </c>
      <c r="Q194" s="1144">
        <f t="shared" si="26"/>
        <v>21.076000000000001</v>
      </c>
      <c r="R194" s="1158">
        <f t="shared" si="29"/>
        <v>13.346</v>
      </c>
      <c r="S194" s="1158">
        <f t="shared" si="27"/>
        <v>13.346</v>
      </c>
      <c r="U194" s="48"/>
    </row>
    <row r="197" spans="1:21" x14ac:dyDescent="0.35">
      <c r="A197" s="42" t="s">
        <v>1376</v>
      </c>
    </row>
    <row r="198" spans="1:21" x14ac:dyDescent="0.35">
      <c r="A198" s="1152" t="s">
        <v>52</v>
      </c>
      <c r="D198" s="1159">
        <v>0</v>
      </c>
      <c r="E198" s="1159">
        <v>0</v>
      </c>
      <c r="F198" s="1159">
        <v>2.3250000000000002</v>
      </c>
      <c r="G198" s="1159">
        <v>2.3250000000000002</v>
      </c>
      <c r="H198" s="1159">
        <v>2.3250000000000002</v>
      </c>
      <c r="I198" s="1159">
        <v>2.3250000000000002</v>
      </c>
      <c r="J198" s="1159">
        <v>5.5830000000000002</v>
      </c>
      <c r="K198" s="1159">
        <v>5.5830000000000002</v>
      </c>
      <c r="L198" s="1159">
        <v>5.5830000000000002</v>
      </c>
      <c r="M198" s="1159">
        <v>5.5830000000000002</v>
      </c>
      <c r="N198" s="1159">
        <v>8.0220000000000002</v>
      </c>
      <c r="O198" s="1159">
        <v>8.0220000000000002</v>
      </c>
      <c r="P198" s="1159"/>
      <c r="Q198" s="1159"/>
      <c r="R198" s="1159"/>
      <c r="S198" s="1159"/>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22"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40" t="s">
        <v>554</v>
      </c>
    </row>
    <row r="2" spans="1:6" ht="20.9" customHeight="1" x14ac:dyDescent="0.4">
      <c r="A2" s="1164" t="s">
        <v>555</v>
      </c>
      <c r="B2" s="1164" t="s">
        <v>556</v>
      </c>
      <c r="C2" s="1164" t="s">
        <v>557</v>
      </c>
      <c r="D2" s="1164" t="s">
        <v>558</v>
      </c>
    </row>
    <row r="3" spans="1:6" x14ac:dyDescent="0.35">
      <c r="A3" s="1165" t="s">
        <v>559</v>
      </c>
      <c r="B3" s="740">
        <f>SUM(B4:B7)</f>
        <v>325</v>
      </c>
      <c r="E3" s="1432" t="s">
        <v>560</v>
      </c>
      <c r="F3" s="1432"/>
    </row>
    <row r="4" spans="1:6" x14ac:dyDescent="0.35">
      <c r="A4" s="804" t="s">
        <v>561</v>
      </c>
      <c r="B4" s="740">
        <v>284</v>
      </c>
      <c r="E4" s="517" t="s">
        <v>51</v>
      </c>
      <c r="F4" s="517" t="s">
        <v>562</v>
      </c>
    </row>
    <row r="5" spans="1:6" x14ac:dyDescent="0.35">
      <c r="A5" s="804" t="s">
        <v>414</v>
      </c>
      <c r="B5" s="740">
        <v>20</v>
      </c>
      <c r="E5" s="240" t="s">
        <v>150</v>
      </c>
      <c r="F5" s="240">
        <f>SUM(B11:B16)</f>
        <v>82</v>
      </c>
    </row>
    <row r="6" spans="1:6" x14ac:dyDescent="0.35">
      <c r="A6" s="804" t="s">
        <v>421</v>
      </c>
      <c r="B6" s="740">
        <v>15</v>
      </c>
      <c r="E6" s="240" t="s">
        <v>49</v>
      </c>
      <c r="F6" s="240">
        <f>B23</f>
        <v>3</v>
      </c>
    </row>
    <row r="7" spans="1:6" x14ac:dyDescent="0.35">
      <c r="A7" s="804" t="s">
        <v>422</v>
      </c>
      <c r="B7" s="740">
        <v>6</v>
      </c>
      <c r="E7" s="240" t="s">
        <v>343</v>
      </c>
      <c r="F7" s="240">
        <f>B27-B28</f>
        <v>29</v>
      </c>
    </row>
    <row r="8" spans="1:6" x14ac:dyDescent="0.35">
      <c r="A8" s="517" t="s">
        <v>563</v>
      </c>
      <c r="B8" s="740">
        <v>121</v>
      </c>
      <c r="E8" s="240" t="s">
        <v>360</v>
      </c>
      <c r="F8" s="240">
        <f>B42</f>
        <v>2</v>
      </c>
    </row>
    <row r="9" spans="1:6" x14ac:dyDescent="0.35">
      <c r="A9" s="1166" t="s">
        <v>564</v>
      </c>
      <c r="B9" s="740">
        <v>166</v>
      </c>
      <c r="E9" s="240" t="s">
        <v>565</v>
      </c>
      <c r="F9" s="240">
        <f>B18+B20+B21</f>
        <v>34</v>
      </c>
    </row>
    <row r="10" spans="1:6" x14ac:dyDescent="0.35">
      <c r="A10" s="1163" t="s">
        <v>566</v>
      </c>
      <c r="B10" s="740">
        <v>82</v>
      </c>
      <c r="E10" s="517" t="s">
        <v>567</v>
      </c>
      <c r="F10" s="517" t="s">
        <v>568</v>
      </c>
    </row>
    <row r="11" spans="1:6" x14ac:dyDescent="0.35">
      <c r="A11" s="804" t="s">
        <v>569</v>
      </c>
      <c r="B11" s="740">
        <v>54</v>
      </c>
      <c r="E11" s="240" t="s">
        <v>316</v>
      </c>
      <c r="F11" s="240">
        <f>B4</f>
        <v>284</v>
      </c>
    </row>
    <row r="12" spans="1:6" x14ac:dyDescent="0.35">
      <c r="A12" s="804" t="s">
        <v>570</v>
      </c>
      <c r="B12" s="740">
        <v>20</v>
      </c>
      <c r="E12" s="240" t="s">
        <v>571</v>
      </c>
      <c r="F12" s="240">
        <f>B5</f>
        <v>20</v>
      </c>
    </row>
    <row r="13" spans="1:6" x14ac:dyDescent="0.35">
      <c r="A13" s="804" t="s">
        <v>572</v>
      </c>
      <c r="B13" s="740">
        <v>4</v>
      </c>
      <c r="E13" s="240" t="s">
        <v>421</v>
      </c>
      <c r="F13" s="240">
        <f>B6</f>
        <v>15</v>
      </c>
    </row>
    <row r="14" spans="1:6" ht="27.65" customHeight="1" x14ac:dyDescent="0.35">
      <c r="A14" s="804" t="s">
        <v>573</v>
      </c>
      <c r="B14" s="740">
        <v>2</v>
      </c>
      <c r="E14" s="283" t="s">
        <v>422</v>
      </c>
      <c r="F14" s="240">
        <f>B7</f>
        <v>6</v>
      </c>
    </row>
    <row r="15" spans="1:6" ht="27.65" customHeight="1" x14ac:dyDescent="0.35">
      <c r="A15" s="804" t="s">
        <v>574</v>
      </c>
      <c r="B15" s="740">
        <v>1</v>
      </c>
      <c r="E15" s="283" t="s">
        <v>575</v>
      </c>
      <c r="F15" s="240">
        <f>B28</f>
        <v>15</v>
      </c>
    </row>
    <row r="16" spans="1:6" x14ac:dyDescent="0.35">
      <c r="A16" s="804" t="s">
        <v>576</v>
      </c>
      <c r="B16" s="740">
        <v>1</v>
      </c>
      <c r="E16" s="240" t="s">
        <v>577</v>
      </c>
      <c r="F16" s="240">
        <f>B37</f>
        <v>12</v>
      </c>
    </row>
    <row r="17" spans="1:6" x14ac:dyDescent="0.35">
      <c r="A17" s="517" t="s">
        <v>578</v>
      </c>
      <c r="B17" s="740">
        <v>72</v>
      </c>
      <c r="E17" s="240" t="s">
        <v>579</v>
      </c>
      <c r="F17" s="240">
        <f>B38</f>
        <v>10</v>
      </c>
    </row>
    <row r="18" spans="1:6" x14ac:dyDescent="0.35">
      <c r="A18" s="804" t="s">
        <v>580</v>
      </c>
      <c r="B18" s="740">
        <v>22</v>
      </c>
      <c r="C18" s="240" t="s">
        <v>581</v>
      </c>
    </row>
    <row r="19" spans="1:6" x14ac:dyDescent="0.35">
      <c r="A19" s="804" t="s">
        <v>582</v>
      </c>
      <c r="B19" s="740">
        <v>20</v>
      </c>
      <c r="C19" s="240" t="s">
        <v>109</v>
      </c>
    </row>
    <row r="20" spans="1:6" x14ac:dyDescent="0.35">
      <c r="A20" s="804" t="s">
        <v>583</v>
      </c>
      <c r="B20" s="740">
        <v>8</v>
      </c>
      <c r="C20" s="240" t="s">
        <v>581</v>
      </c>
    </row>
    <row r="21" spans="1:6" x14ac:dyDescent="0.35">
      <c r="A21" s="804" t="s">
        <v>584</v>
      </c>
      <c r="B21" s="740">
        <v>4</v>
      </c>
      <c r="C21" s="240" t="s">
        <v>51</v>
      </c>
    </row>
    <row r="22" spans="1:6" x14ac:dyDescent="0.35">
      <c r="A22" s="804" t="s">
        <v>585</v>
      </c>
      <c r="B22" s="740">
        <v>4</v>
      </c>
      <c r="C22" s="240" t="s">
        <v>109</v>
      </c>
    </row>
    <row r="23" spans="1:6" x14ac:dyDescent="0.35">
      <c r="A23" s="804" t="s">
        <v>586</v>
      </c>
      <c r="B23" s="740">
        <v>3</v>
      </c>
      <c r="C23" s="240" t="s">
        <v>587</v>
      </c>
    </row>
    <row r="24" spans="1:6" x14ac:dyDescent="0.35">
      <c r="A24" s="804" t="s">
        <v>588</v>
      </c>
      <c r="B24" s="740">
        <v>3</v>
      </c>
      <c r="C24" s="240" t="s">
        <v>589</v>
      </c>
    </row>
    <row r="25" spans="1:6" x14ac:dyDescent="0.35">
      <c r="A25" s="1167" t="s">
        <v>590</v>
      </c>
      <c r="B25" s="740">
        <v>3</v>
      </c>
      <c r="C25" s="240" t="s">
        <v>55</v>
      </c>
    </row>
    <row r="26" spans="1:6" x14ac:dyDescent="0.35">
      <c r="A26" s="804" t="s">
        <v>591</v>
      </c>
      <c r="B26" s="740">
        <v>4</v>
      </c>
      <c r="C26" s="240" t="s">
        <v>592</v>
      </c>
    </row>
    <row r="27" spans="1:6" x14ac:dyDescent="0.35">
      <c r="A27" s="517" t="s">
        <v>343</v>
      </c>
      <c r="B27" s="740">
        <v>44</v>
      </c>
    </row>
    <row r="28" spans="1:6" x14ac:dyDescent="0.35">
      <c r="A28" s="1160" t="s">
        <v>575</v>
      </c>
      <c r="B28" s="1161">
        <v>15</v>
      </c>
    </row>
    <row r="29" spans="1:6" x14ac:dyDescent="0.35">
      <c r="A29" s="804" t="s">
        <v>593</v>
      </c>
      <c r="B29" s="740">
        <v>14</v>
      </c>
    </row>
    <row r="30" spans="1:6" x14ac:dyDescent="0.35">
      <c r="A30" s="804" t="s">
        <v>594</v>
      </c>
      <c r="B30" s="740">
        <v>10</v>
      </c>
    </row>
    <row r="31" spans="1:6" x14ac:dyDescent="0.35">
      <c r="A31" s="804" t="s">
        <v>595</v>
      </c>
      <c r="B31" s="740">
        <v>2</v>
      </c>
    </row>
    <row r="32" spans="1:6" x14ac:dyDescent="0.35">
      <c r="A32" s="804" t="s">
        <v>596</v>
      </c>
      <c r="B32" s="740">
        <v>2</v>
      </c>
    </row>
    <row r="33" spans="1:6" x14ac:dyDescent="0.35">
      <c r="A33" s="804" t="s">
        <v>597</v>
      </c>
      <c r="B33" s="740">
        <v>1</v>
      </c>
    </row>
    <row r="34" spans="1:6" x14ac:dyDescent="0.35">
      <c r="A34" s="517" t="s">
        <v>598</v>
      </c>
      <c r="B34" s="740">
        <v>88</v>
      </c>
    </row>
    <row r="35" spans="1:6" x14ac:dyDescent="0.35">
      <c r="A35" s="1167" t="s">
        <v>599</v>
      </c>
      <c r="B35" s="740">
        <v>26</v>
      </c>
    </row>
    <row r="36" spans="1:6" x14ac:dyDescent="0.35">
      <c r="A36" s="804" t="s">
        <v>600</v>
      </c>
      <c r="B36" s="740">
        <v>25</v>
      </c>
    </row>
    <row r="37" spans="1:6" x14ac:dyDescent="0.35">
      <c r="A37" s="804" t="s">
        <v>577</v>
      </c>
      <c r="B37" s="740">
        <v>12</v>
      </c>
      <c r="C37" s="240" t="s">
        <v>601</v>
      </c>
      <c r="E37" s="240" t="s">
        <v>602</v>
      </c>
      <c r="F37" s="240" t="s">
        <v>603</v>
      </c>
    </row>
    <row r="38" spans="1:6" x14ac:dyDescent="0.35">
      <c r="A38" s="804" t="s">
        <v>579</v>
      </c>
      <c r="B38" s="740">
        <v>10</v>
      </c>
      <c r="C38" s="240" t="s">
        <v>601</v>
      </c>
      <c r="E38" s="240" t="s">
        <v>604</v>
      </c>
      <c r="F38" s="240" t="s">
        <v>605</v>
      </c>
    </row>
    <row r="39" spans="1:6" x14ac:dyDescent="0.35">
      <c r="A39" s="804" t="s">
        <v>606</v>
      </c>
      <c r="B39" s="740">
        <v>7</v>
      </c>
      <c r="C39" s="240" t="s">
        <v>592</v>
      </c>
      <c r="E39" s="240" t="s">
        <v>607</v>
      </c>
      <c r="F39" s="240" t="s">
        <v>608</v>
      </c>
    </row>
    <row r="40" spans="1:6" x14ac:dyDescent="0.35">
      <c r="A40" s="804" t="s">
        <v>609</v>
      </c>
      <c r="B40" s="740">
        <v>5</v>
      </c>
      <c r="C40" s="240" t="s">
        <v>109</v>
      </c>
      <c r="E40" s="240" t="s">
        <v>610</v>
      </c>
    </row>
    <row r="41" spans="1:6" x14ac:dyDescent="0.35">
      <c r="A41" s="804" t="s">
        <v>611</v>
      </c>
      <c r="B41" s="740">
        <v>2</v>
      </c>
      <c r="C41" s="240" t="s">
        <v>592</v>
      </c>
      <c r="E41" s="240" t="s">
        <v>612</v>
      </c>
    </row>
    <row r="42" spans="1:6" x14ac:dyDescent="0.35">
      <c r="A42" s="804" t="s">
        <v>613</v>
      </c>
      <c r="B42" s="740">
        <v>2</v>
      </c>
      <c r="C42" s="240" t="s">
        <v>581</v>
      </c>
      <c r="E42" s="1162" t="s">
        <v>614</v>
      </c>
    </row>
    <row r="43" spans="1:6" x14ac:dyDescent="0.35">
      <c r="A43" s="804" t="s">
        <v>615</v>
      </c>
      <c r="B43" s="740">
        <v>0</v>
      </c>
      <c r="E43" s="240" t="s">
        <v>616</v>
      </c>
    </row>
    <row r="44" spans="1:6" x14ac:dyDescent="0.35">
      <c r="A44" s="517" t="s">
        <v>617</v>
      </c>
      <c r="B44" s="740">
        <v>40</v>
      </c>
    </row>
    <row r="45" spans="1:6" x14ac:dyDescent="0.35">
      <c r="A45" s="1167" t="s">
        <v>618</v>
      </c>
      <c r="B45" s="1168">
        <v>21</v>
      </c>
    </row>
    <row r="46" spans="1:6" x14ac:dyDescent="0.35">
      <c r="A46" s="804" t="s">
        <v>619</v>
      </c>
      <c r="B46" s="740">
        <v>6</v>
      </c>
    </row>
    <row r="47" spans="1:6" x14ac:dyDescent="0.35">
      <c r="A47" s="1167" t="s">
        <v>620</v>
      </c>
      <c r="B47" s="1168">
        <v>4</v>
      </c>
    </row>
    <row r="48" spans="1:6" x14ac:dyDescent="0.35">
      <c r="A48" s="804" t="s">
        <v>621</v>
      </c>
      <c r="B48" s="740">
        <v>4</v>
      </c>
    </row>
    <row r="49" spans="1:2" x14ac:dyDescent="0.35">
      <c r="A49" s="1167" t="s">
        <v>622</v>
      </c>
      <c r="B49" s="1168">
        <v>3</v>
      </c>
    </row>
    <row r="50" spans="1:2" x14ac:dyDescent="0.35">
      <c r="A50" s="804" t="s">
        <v>623</v>
      </c>
      <c r="B50" s="740">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AI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56" t="s">
        <v>830</v>
      </c>
      <c r="I1" s="1433"/>
      <c r="J1" s="1433"/>
      <c r="K1" s="1433"/>
    </row>
    <row r="2" spans="1:62" ht="13.4" customHeight="1" x14ac:dyDescent="0.35">
      <c r="A2" s="1180"/>
      <c r="O2" s="1206" t="s">
        <v>795</v>
      </c>
      <c r="P2" s="1439" t="s">
        <v>624</v>
      </c>
      <c r="Q2" s="1439"/>
      <c r="R2" s="1439"/>
      <c r="S2" s="1439"/>
      <c r="T2" s="1209"/>
      <c r="U2" s="1209"/>
      <c r="V2" s="1209"/>
      <c r="W2" s="1209"/>
      <c r="X2" s="1209"/>
      <c r="Y2" s="1434" t="s">
        <v>625</v>
      </c>
      <c r="Z2" s="1435"/>
      <c r="AA2" s="1435"/>
      <c r="AB2" s="1435"/>
      <c r="AC2" s="1435"/>
      <c r="AD2" s="1435"/>
      <c r="AE2" s="1209"/>
      <c r="AF2" s="1209"/>
      <c r="AG2" s="1436" t="s">
        <v>626</v>
      </c>
      <c r="AH2" s="1435"/>
      <c r="AI2" s="1435"/>
      <c r="AJ2" s="1438" t="s">
        <v>627</v>
      </c>
      <c r="AK2" s="1438"/>
      <c r="AL2" s="1438"/>
      <c r="AM2" s="1438"/>
      <c r="AN2" s="1438"/>
      <c r="AO2" s="1438"/>
      <c r="AP2" s="1438"/>
      <c r="AQ2" s="1438"/>
      <c r="AR2" s="1438"/>
      <c r="AS2" s="1438"/>
      <c r="AT2" s="1210"/>
      <c r="AU2" s="1437" t="s">
        <v>385</v>
      </c>
      <c r="AV2" s="1437"/>
      <c r="AW2" s="1437"/>
      <c r="AX2" s="1437"/>
      <c r="AY2" s="1437"/>
      <c r="AZ2" s="1437"/>
      <c r="BA2" s="1437"/>
      <c r="BB2" s="1191"/>
      <c r="BC2" s="1191"/>
      <c r="BD2" s="1191"/>
      <c r="BE2" s="1191"/>
      <c r="BF2" s="1191"/>
      <c r="BG2" s="1191"/>
      <c r="BH2" s="1191"/>
      <c r="BI2" s="1191"/>
      <c r="BJ2" s="1197" t="s">
        <v>628</v>
      </c>
    </row>
    <row r="3" spans="1:62" ht="43.4" customHeight="1" x14ac:dyDescent="0.35">
      <c r="A3" s="1181"/>
      <c r="B3" s="1181"/>
      <c r="C3" s="1181"/>
      <c r="D3" s="1181"/>
      <c r="E3" s="1181"/>
      <c r="F3" s="1181"/>
      <c r="G3" s="1181"/>
      <c r="H3" s="1181"/>
      <c r="I3" s="1181"/>
      <c r="J3" s="1181"/>
      <c r="K3" s="1181"/>
      <c r="L3" s="1181"/>
      <c r="M3" s="1181"/>
      <c r="N3" s="1181"/>
      <c r="O3" s="1207" t="s">
        <v>629</v>
      </c>
      <c r="P3" s="1190" t="s">
        <v>630</v>
      </c>
      <c r="Q3" s="1190" t="s">
        <v>631</v>
      </c>
      <c r="R3" s="1190" t="s">
        <v>632</v>
      </c>
      <c r="S3" s="1190" t="s">
        <v>633</v>
      </c>
      <c r="T3" s="1190" t="s">
        <v>634</v>
      </c>
      <c r="U3" s="1190" t="s">
        <v>635</v>
      </c>
      <c r="V3" s="1190" t="s">
        <v>636</v>
      </c>
      <c r="W3" s="1190" t="s">
        <v>637</v>
      </c>
      <c r="X3" s="1190" t="s">
        <v>638</v>
      </c>
      <c r="Y3" s="1190" t="s">
        <v>639</v>
      </c>
      <c r="Z3" s="1190"/>
      <c r="AA3" s="1190"/>
      <c r="AB3" s="1190"/>
      <c r="AC3" s="1190" t="s">
        <v>640</v>
      </c>
      <c r="AD3" s="1190" t="s">
        <v>641</v>
      </c>
      <c r="AE3" s="1190" t="s">
        <v>642</v>
      </c>
      <c r="AF3" s="1190" t="s">
        <v>643</v>
      </c>
      <c r="AG3" s="1190" t="s">
        <v>644</v>
      </c>
      <c r="AH3" s="1190" t="s">
        <v>645</v>
      </c>
      <c r="AI3" s="1190" t="s">
        <v>646</v>
      </c>
      <c r="AJ3" s="1190" t="s">
        <v>647</v>
      </c>
      <c r="AK3" s="1190" t="s">
        <v>648</v>
      </c>
      <c r="AL3" s="1190" t="s">
        <v>649</v>
      </c>
      <c r="AM3" s="1190" t="s">
        <v>650</v>
      </c>
      <c r="AN3" s="1190" t="s">
        <v>651</v>
      </c>
      <c r="AO3" s="1190" t="s">
        <v>652</v>
      </c>
      <c r="AP3" s="1190" t="s">
        <v>653</v>
      </c>
      <c r="AQ3" s="1203" t="s">
        <v>654</v>
      </c>
      <c r="AR3" s="1190" t="s">
        <v>655</v>
      </c>
      <c r="AS3" s="1190" t="s">
        <v>656</v>
      </c>
      <c r="AT3" s="1190" t="s">
        <v>657</v>
      </c>
      <c r="AU3" s="1190" t="s">
        <v>658</v>
      </c>
      <c r="AV3" s="1190" t="s">
        <v>659</v>
      </c>
      <c r="AW3" s="1190" t="s">
        <v>660</v>
      </c>
      <c r="AX3" s="1190" t="s">
        <v>661</v>
      </c>
      <c r="AY3" s="1190" t="s">
        <v>662</v>
      </c>
      <c r="AZ3" s="1190" t="s">
        <v>663</v>
      </c>
      <c r="BA3" s="1190" t="s">
        <v>640</v>
      </c>
      <c r="BB3" s="1198" t="s">
        <v>664</v>
      </c>
      <c r="BC3" s="1198" t="s">
        <v>665</v>
      </c>
      <c r="BD3" s="1198" t="s">
        <v>666</v>
      </c>
      <c r="BE3" s="1198" t="s">
        <v>667</v>
      </c>
      <c r="BF3" s="1198" t="s">
        <v>668</v>
      </c>
      <c r="BG3" s="1198" t="s">
        <v>669</v>
      </c>
      <c r="BH3" s="1198" t="s">
        <v>670</v>
      </c>
      <c r="BI3" s="1198" t="s">
        <v>671</v>
      </c>
      <c r="BJ3" s="1192" t="s">
        <v>672</v>
      </c>
    </row>
    <row r="4" spans="1:62" ht="63" customHeight="1" x14ac:dyDescent="0.35">
      <c r="A4" s="1201" t="s">
        <v>673</v>
      </c>
      <c r="B4" s="1180" t="s">
        <v>56</v>
      </c>
      <c r="C4" s="1180" t="s">
        <v>674</v>
      </c>
      <c r="D4" s="1180" t="s">
        <v>544</v>
      </c>
      <c r="E4" s="1180" t="s">
        <v>675</v>
      </c>
      <c r="F4" s="1180" t="s">
        <v>676</v>
      </c>
      <c r="G4" s="1180" t="s">
        <v>677</v>
      </c>
      <c r="H4" s="1180" t="s">
        <v>131</v>
      </c>
      <c r="I4" s="1187" t="s">
        <v>348</v>
      </c>
      <c r="J4" s="1187" t="s">
        <v>150</v>
      </c>
      <c r="K4" s="1187" t="s">
        <v>678</v>
      </c>
      <c r="L4" s="1185" t="s">
        <v>159</v>
      </c>
      <c r="M4" s="1180" t="s">
        <v>109</v>
      </c>
      <c r="N4" s="1180" t="s">
        <v>679</v>
      </c>
      <c r="O4" s="1208" t="s">
        <v>680</v>
      </c>
      <c r="P4" s="1198" t="s">
        <v>681</v>
      </c>
      <c r="Q4" s="1198" t="s">
        <v>682</v>
      </c>
      <c r="R4" s="1198" t="s">
        <v>683</v>
      </c>
      <c r="S4" s="1198" t="s">
        <v>684</v>
      </c>
      <c r="T4" s="1198" t="s">
        <v>685</v>
      </c>
      <c r="U4" s="1198" t="s">
        <v>686</v>
      </c>
      <c r="V4" s="1198" t="s">
        <v>687</v>
      </c>
      <c r="W4" s="1198" t="s">
        <v>688</v>
      </c>
      <c r="X4" s="1198" t="s">
        <v>689</v>
      </c>
      <c r="Y4" s="1198" t="s">
        <v>690</v>
      </c>
      <c r="Z4" s="1198" t="s">
        <v>691</v>
      </c>
      <c r="AA4" s="1198" t="s">
        <v>692</v>
      </c>
      <c r="AB4" s="1198" t="s">
        <v>693</v>
      </c>
      <c r="AC4" s="1198" t="s">
        <v>694</v>
      </c>
      <c r="AD4" s="1198" t="s">
        <v>695</v>
      </c>
      <c r="AE4" s="1198" t="s">
        <v>696</v>
      </c>
      <c r="AF4" s="1198" t="s">
        <v>697</v>
      </c>
      <c r="AG4" s="1198" t="s">
        <v>210</v>
      </c>
      <c r="AH4" s="1198" t="s">
        <v>211</v>
      </c>
      <c r="AI4" s="1198" t="s">
        <v>698</v>
      </c>
      <c r="AJ4" s="1198" t="s">
        <v>699</v>
      </c>
      <c r="AK4" s="1198" t="s">
        <v>700</v>
      </c>
      <c r="AL4" s="1198" t="s">
        <v>701</v>
      </c>
      <c r="AM4" s="1198" t="s">
        <v>702</v>
      </c>
      <c r="AN4" s="1198" t="s">
        <v>703</v>
      </c>
      <c r="AO4" s="1198" t="s">
        <v>704</v>
      </c>
      <c r="AP4" s="1198" t="s">
        <v>705</v>
      </c>
      <c r="AQ4" s="1199" t="s">
        <v>706</v>
      </c>
      <c r="AR4" s="1198" t="s">
        <v>707</v>
      </c>
      <c r="AS4" s="1198" t="s">
        <v>708</v>
      </c>
      <c r="AT4" s="1198" t="s">
        <v>709</v>
      </c>
      <c r="AU4" s="1198" t="s">
        <v>710</v>
      </c>
      <c r="AV4" s="1198" t="s">
        <v>711</v>
      </c>
      <c r="AW4" s="1198" t="s">
        <v>712</v>
      </c>
      <c r="AX4" s="1198" t="s">
        <v>713</v>
      </c>
      <c r="AY4" s="1198" t="s">
        <v>714</v>
      </c>
      <c r="AZ4" s="1198" t="s">
        <v>715</v>
      </c>
      <c r="BA4" s="1198"/>
      <c r="BB4" s="1198" t="s">
        <v>426</v>
      </c>
      <c r="BC4" s="1198" t="s">
        <v>716</v>
      </c>
      <c r="BD4" s="1198" t="s">
        <v>717</v>
      </c>
      <c r="BE4" s="1198" t="s">
        <v>718</v>
      </c>
      <c r="BF4" s="1198" t="s">
        <v>719</v>
      </c>
      <c r="BG4" s="1198" t="s">
        <v>720</v>
      </c>
      <c r="BH4" s="1198" t="s">
        <v>721</v>
      </c>
      <c r="BI4" s="1198" t="s">
        <v>722</v>
      </c>
      <c r="BJ4" s="1200" t="s">
        <v>723</v>
      </c>
    </row>
    <row r="5" spans="1:62" x14ac:dyDescent="0.35">
      <c r="A5" s="1182">
        <v>2021</v>
      </c>
      <c r="B5" s="1184">
        <f>Q5</f>
        <v>394.202</v>
      </c>
      <c r="C5" s="1184">
        <f>SUM(Y5:AB5)</f>
        <v>195.7</v>
      </c>
      <c r="D5" s="1184">
        <f>T5</f>
        <v>18.823</v>
      </c>
      <c r="E5" s="1184">
        <f>SUM(P5:S5)-B5</f>
        <v>0.77600000000001046</v>
      </c>
      <c r="F5" s="1184">
        <f>SUM(T5:AF5)-C5-L5-D5 - 28</f>
        <v>19.722000000000016</v>
      </c>
      <c r="G5" s="1184">
        <f>SUM(BB5:BI5)-BC5</f>
        <v>81.642999999999986</v>
      </c>
      <c r="H5" s="1184">
        <f>SUM(AG5:AI5)</f>
        <v>7.798</v>
      </c>
      <c r="I5" s="1184">
        <f>AJ5</f>
        <v>283.95749999999998</v>
      </c>
      <c r="J5" s="1184">
        <f>AL5</f>
        <v>12.347</v>
      </c>
      <c r="K5" s="1184">
        <f>SUM(AM5:AT5)</f>
        <v>29.628</v>
      </c>
      <c r="L5" s="1188">
        <f>103/4</f>
        <v>25.75</v>
      </c>
      <c r="M5" s="1184">
        <f t="shared" ref="M5:M16" si="0">SUM(AU5:BA5)</f>
        <v>31.939</v>
      </c>
      <c r="N5" s="1184">
        <f>AK5</f>
        <v>3.4</v>
      </c>
      <c r="O5" s="1211">
        <v>50</v>
      </c>
      <c r="P5" s="1205">
        <v>0.55000000000000004</v>
      </c>
      <c r="Q5" s="1041">
        <v>394.202</v>
      </c>
      <c r="R5" s="1213">
        <v>0.14599999999999999</v>
      </c>
      <c r="S5" s="1213">
        <v>0.08</v>
      </c>
      <c r="T5" s="1213">
        <v>18.823</v>
      </c>
      <c r="U5" s="1041">
        <v>19</v>
      </c>
      <c r="V5" s="1213">
        <v>11.481999999999999</v>
      </c>
      <c r="W5" s="759">
        <v>1.5580000000000001</v>
      </c>
      <c r="X5" s="759">
        <v>0.74</v>
      </c>
      <c r="Y5" s="1041">
        <v>0.2</v>
      </c>
      <c r="Z5" s="1041">
        <v>43.1</v>
      </c>
      <c r="AA5" s="1041">
        <v>33.9</v>
      </c>
      <c r="AB5" s="1041">
        <v>118.5</v>
      </c>
      <c r="AC5" s="1041">
        <v>28</v>
      </c>
      <c r="AD5" s="759">
        <v>-2.0379999999999998</v>
      </c>
      <c r="AE5" s="1041">
        <v>14.31</v>
      </c>
      <c r="AF5" s="1213">
        <v>0.42</v>
      </c>
      <c r="AG5" s="1213">
        <v>7.7279999999999998</v>
      </c>
      <c r="AH5" s="1041">
        <v>7.0000000000000007E-2</v>
      </c>
      <c r="AI5" s="1041">
        <v>0</v>
      </c>
      <c r="AJ5" s="1041">
        <v>283.95749999999998</v>
      </c>
      <c r="AK5" s="1204">
        <v>3.4</v>
      </c>
      <c r="AL5" s="1204">
        <v>12.347</v>
      </c>
      <c r="AM5" s="1214">
        <v>0.28599999999999998</v>
      </c>
      <c r="AN5" s="1204">
        <v>2</v>
      </c>
      <c r="AO5" s="1041">
        <v>0.81</v>
      </c>
      <c r="AP5" s="1204">
        <v>0.52100000000000002</v>
      </c>
      <c r="AQ5" s="1215">
        <v>10</v>
      </c>
      <c r="AR5" s="1204">
        <v>2.7</v>
      </c>
      <c r="AS5" s="1204">
        <v>0.751</v>
      </c>
      <c r="AT5" s="1041">
        <v>12.56</v>
      </c>
      <c r="AU5" s="1041">
        <v>0</v>
      </c>
      <c r="AV5" s="1204">
        <v>1.415</v>
      </c>
      <c r="AW5" s="1204">
        <v>10.51</v>
      </c>
      <c r="AX5" s="1204">
        <v>2.6</v>
      </c>
      <c r="AY5" s="1041">
        <v>-0.33</v>
      </c>
      <c r="AZ5" s="1204">
        <v>17.744</v>
      </c>
      <c r="BA5" s="1041">
        <v>0</v>
      </c>
      <c r="BB5" s="1204">
        <v>4.0999999999999996</v>
      </c>
      <c r="BC5" s="1204">
        <v>7.25</v>
      </c>
      <c r="BD5" s="1204">
        <v>48.4</v>
      </c>
      <c r="BE5" s="1213">
        <v>0.83</v>
      </c>
      <c r="BF5" s="759">
        <v>4.5110000000000001</v>
      </c>
      <c r="BG5" s="1041">
        <v>3.0739999999999998</v>
      </c>
      <c r="BH5" s="1169">
        <v>-0.28399999999999997</v>
      </c>
      <c r="BI5" s="1204">
        <v>21.012</v>
      </c>
      <c r="BJ5" s="1193">
        <v>1.1599999999999999</v>
      </c>
    </row>
    <row r="6" spans="1:62" x14ac:dyDescent="0.35">
      <c r="A6" s="1182">
        <v>2022</v>
      </c>
      <c r="B6" s="1184">
        <f t="shared" ref="B6:B15" si="1">Q6</f>
        <v>17.465</v>
      </c>
      <c r="C6" s="1184">
        <f t="shared" ref="C6:C15" si="2">SUM(Y6:AB6)</f>
        <v>10.1</v>
      </c>
      <c r="D6" s="1184">
        <f t="shared" ref="D6:D15" si="3">T6</f>
        <v>2.5950000000000002</v>
      </c>
      <c r="E6" s="1184">
        <f t="shared" ref="E6:E15" si="4">SUM(P6:S6)-B6</f>
        <v>19.719000000000005</v>
      </c>
      <c r="F6" s="1184">
        <f>SUM(T6:AF6)-C6-L6-D6</f>
        <v>52.756999999999998</v>
      </c>
      <c r="G6" s="1184">
        <f t="shared" ref="G6:G16" si="5">SUM(BB6:BI6)-BC6</f>
        <v>110.24799999999999</v>
      </c>
      <c r="H6" s="1184">
        <f t="shared" ref="H6:H15" si="6">SUM(AG6:AI6)</f>
        <v>7.9489999999999998</v>
      </c>
      <c r="I6" s="1184">
        <f t="shared" ref="I6:I15" si="7">AJ6</f>
        <v>77.092500000000001</v>
      </c>
      <c r="J6" s="1184">
        <f t="shared" ref="J6:J15" si="8">AL6</f>
        <v>46.79</v>
      </c>
      <c r="K6" s="1184">
        <f t="shared" ref="K6:K16" si="9">SUM(AM6:AT6)</f>
        <v>35.671000000000006</v>
      </c>
      <c r="L6" s="1188">
        <v>0</v>
      </c>
      <c r="M6" s="1184">
        <f t="shared" si="0"/>
        <v>56.412999999999997</v>
      </c>
      <c r="N6" s="1184">
        <f t="shared" ref="N6:N15" si="10">AK6</f>
        <v>5.0999999999999996</v>
      </c>
      <c r="O6" s="1211">
        <v>55</v>
      </c>
      <c r="P6" s="1205">
        <v>15.61</v>
      </c>
      <c r="Q6" s="1041">
        <v>17.465</v>
      </c>
      <c r="R6" s="1213">
        <v>0.317</v>
      </c>
      <c r="S6" s="1213">
        <v>3.7919999999999998</v>
      </c>
      <c r="T6" s="1041">
        <v>2.5950000000000002</v>
      </c>
      <c r="U6" s="1204">
        <v>14.5</v>
      </c>
      <c r="V6" s="1041">
        <v>25.070999999999998</v>
      </c>
      <c r="W6" s="759">
        <v>1.952</v>
      </c>
      <c r="X6" s="759">
        <v>0.61399999999999999</v>
      </c>
      <c r="Y6" s="1204">
        <v>0</v>
      </c>
      <c r="Z6" s="1204">
        <v>2.2999999999999998</v>
      </c>
      <c r="AA6" s="1204">
        <v>1.6</v>
      </c>
      <c r="AB6" s="1204">
        <v>6.2</v>
      </c>
      <c r="AC6" s="1041">
        <v>0</v>
      </c>
      <c r="AD6" s="1041">
        <v>1.31</v>
      </c>
      <c r="AE6" s="1041">
        <v>8.61</v>
      </c>
      <c r="AF6" s="1041">
        <v>0.7</v>
      </c>
      <c r="AG6" s="1213">
        <v>7.782</v>
      </c>
      <c r="AH6" s="1041">
        <v>0.12</v>
      </c>
      <c r="AI6" s="1041">
        <v>4.7E-2</v>
      </c>
      <c r="AJ6" s="1041">
        <v>77.092500000000001</v>
      </c>
      <c r="AK6" s="1204">
        <v>5.0999999999999996</v>
      </c>
      <c r="AL6" s="1204">
        <v>46.79</v>
      </c>
      <c r="AM6" s="1169">
        <v>0.30499999999999999</v>
      </c>
      <c r="AN6" s="1204">
        <v>4.3</v>
      </c>
      <c r="AO6" s="759">
        <v>1.1000000000000001</v>
      </c>
      <c r="AP6" s="1204">
        <v>1.575</v>
      </c>
      <c r="AQ6" s="1215">
        <v>10</v>
      </c>
      <c r="AR6" s="1204">
        <v>4.5</v>
      </c>
      <c r="AS6" s="1204">
        <v>1.9810000000000001</v>
      </c>
      <c r="AT6" s="1041">
        <v>11.91</v>
      </c>
      <c r="AU6" s="1041">
        <v>0</v>
      </c>
      <c r="AV6" s="1204">
        <v>3.927</v>
      </c>
      <c r="AW6" s="1204">
        <v>4.2880000000000003</v>
      </c>
      <c r="AX6" s="1204">
        <v>3.7</v>
      </c>
      <c r="AY6" s="1041">
        <v>-1.34</v>
      </c>
      <c r="AZ6" s="1204">
        <v>45.838000000000001</v>
      </c>
      <c r="BA6" s="1041">
        <v>0</v>
      </c>
      <c r="BB6" s="1204">
        <v>11.3</v>
      </c>
      <c r="BC6" s="1204">
        <v>0</v>
      </c>
      <c r="BD6" s="1204">
        <v>1.1000000000000001</v>
      </c>
      <c r="BE6" s="1213">
        <v>1.75</v>
      </c>
      <c r="BF6" s="759">
        <v>1.7330000000000001</v>
      </c>
      <c r="BG6" s="759">
        <v>7.1440000000000001</v>
      </c>
      <c r="BH6" s="1170">
        <v>81.608999999999995</v>
      </c>
      <c r="BI6" s="1204">
        <v>5.6120000000000001</v>
      </c>
      <c r="BJ6" s="1193">
        <v>4.2</v>
      </c>
    </row>
    <row r="7" spans="1:62" x14ac:dyDescent="0.35">
      <c r="A7" s="1182">
        <v>2023</v>
      </c>
      <c r="B7" s="1184">
        <f t="shared" si="1"/>
        <v>0.48599999999999999</v>
      </c>
      <c r="C7" s="1184">
        <f t="shared" si="2"/>
        <v>0</v>
      </c>
      <c r="D7" s="1184">
        <f t="shared" si="3"/>
        <v>0.93700000000000006</v>
      </c>
      <c r="E7" s="1184">
        <f t="shared" si="4"/>
        <v>1.4159999999999999</v>
      </c>
      <c r="F7" s="1184">
        <f t="shared" ref="F7:F15" si="11">SUM(T7:AF7)-C7-L7-D7</f>
        <v>12</v>
      </c>
      <c r="G7" s="1184">
        <f t="shared" si="5"/>
        <v>12.726000000000001</v>
      </c>
      <c r="H7" s="1184">
        <f t="shared" si="6"/>
        <v>4.7519999999999998</v>
      </c>
      <c r="I7" s="1184">
        <f t="shared" si="7"/>
        <v>1</v>
      </c>
      <c r="J7" s="1184">
        <f t="shared" si="8"/>
        <v>38.595999999999997</v>
      </c>
      <c r="K7" s="1184">
        <f t="shared" si="9"/>
        <v>24.216000000000001</v>
      </c>
      <c r="L7" s="1188">
        <v>0</v>
      </c>
      <c r="M7" s="1184">
        <f t="shared" si="0"/>
        <v>15.652999999999999</v>
      </c>
      <c r="N7" s="1184">
        <f t="shared" si="10"/>
        <v>0</v>
      </c>
      <c r="O7" s="1211">
        <v>0.7</v>
      </c>
      <c r="P7" s="1205">
        <v>0.96</v>
      </c>
      <c r="Q7" s="1041">
        <v>0.48599999999999999</v>
      </c>
      <c r="R7" s="1213">
        <v>0.45600000000000002</v>
      </c>
      <c r="S7" s="1041">
        <v>0</v>
      </c>
      <c r="T7" s="1171">
        <v>0.93700000000000006</v>
      </c>
      <c r="U7" s="1204">
        <v>3</v>
      </c>
      <c r="V7" s="1213">
        <v>7.891</v>
      </c>
      <c r="W7" s="759">
        <v>0.61699999999999999</v>
      </c>
      <c r="X7" s="759">
        <v>8.4000000000000005E-2</v>
      </c>
      <c r="Y7" s="1204">
        <v>0</v>
      </c>
      <c r="Z7" s="1204">
        <v>0</v>
      </c>
      <c r="AA7" s="1204">
        <v>0</v>
      </c>
      <c r="AB7" s="1204">
        <v>0</v>
      </c>
      <c r="AC7" s="1041">
        <v>0</v>
      </c>
      <c r="AD7" s="1041">
        <v>0.318</v>
      </c>
      <c r="AE7" s="1213">
        <v>-0.11000000000000001</v>
      </c>
      <c r="AF7" s="1041">
        <v>0.2</v>
      </c>
      <c r="AG7" s="1213">
        <v>4.6749999999999998</v>
      </c>
      <c r="AH7" s="1041">
        <v>0.06</v>
      </c>
      <c r="AI7" s="1041">
        <v>1.7000000000000001E-2</v>
      </c>
      <c r="AJ7" s="1041">
        <v>1</v>
      </c>
      <c r="AK7" s="1204">
        <v>0</v>
      </c>
      <c r="AL7" s="1204">
        <v>38.595999999999997</v>
      </c>
      <c r="AM7" s="1041">
        <v>0.14899999999999999</v>
      </c>
      <c r="AN7" s="1204">
        <v>1.2</v>
      </c>
      <c r="AO7" s="759">
        <v>0.53</v>
      </c>
      <c r="AP7" s="1204">
        <v>0.38100000000000001</v>
      </c>
      <c r="AQ7" s="1215">
        <v>8</v>
      </c>
      <c r="AR7" s="1204">
        <v>4.5</v>
      </c>
      <c r="AS7" s="1204">
        <v>0.76600000000000001</v>
      </c>
      <c r="AT7" s="1041">
        <v>8.69</v>
      </c>
      <c r="AU7" s="1041">
        <v>0</v>
      </c>
      <c r="AV7" s="1204">
        <v>1.93</v>
      </c>
      <c r="AW7" s="1204">
        <v>1.4379999999999999</v>
      </c>
      <c r="AX7" s="1204">
        <v>2.6</v>
      </c>
      <c r="AY7" s="759">
        <v>-2.48</v>
      </c>
      <c r="AZ7" s="1204">
        <v>12.164999999999999</v>
      </c>
      <c r="BA7" s="759">
        <v>0</v>
      </c>
      <c r="BB7" s="1204">
        <v>8.4</v>
      </c>
      <c r="BC7" s="1204">
        <v>0</v>
      </c>
      <c r="BD7" s="1204">
        <v>0.3</v>
      </c>
      <c r="BE7" s="1213">
        <v>1.8</v>
      </c>
      <c r="BF7" s="759">
        <v>0</v>
      </c>
      <c r="BG7" s="759">
        <v>0</v>
      </c>
      <c r="BH7" s="1169">
        <v>1.3759999999999999</v>
      </c>
      <c r="BI7" s="1204">
        <v>0.85</v>
      </c>
      <c r="BJ7" s="1193">
        <v>2.7</v>
      </c>
    </row>
    <row r="8" spans="1:62" x14ac:dyDescent="0.35">
      <c r="A8" s="1182">
        <v>2024</v>
      </c>
      <c r="B8" s="1184">
        <f t="shared" si="1"/>
        <v>0</v>
      </c>
      <c r="C8" s="1184">
        <f t="shared" si="2"/>
        <v>0</v>
      </c>
      <c r="D8" s="1184">
        <f t="shared" si="3"/>
        <v>0.16</v>
      </c>
      <c r="E8" s="1184">
        <f t="shared" si="4"/>
        <v>1.4790000000000001</v>
      </c>
      <c r="F8" s="1184">
        <f t="shared" si="11"/>
        <v>4.2219999999999995</v>
      </c>
      <c r="G8" s="1184">
        <f t="shared" si="5"/>
        <v>1.365</v>
      </c>
      <c r="H8" s="1184">
        <f t="shared" si="6"/>
        <v>4.637999999999999</v>
      </c>
      <c r="I8" s="1184">
        <f t="shared" si="7"/>
        <v>0</v>
      </c>
      <c r="J8" s="1184">
        <f t="shared" si="8"/>
        <v>31.911000000000001</v>
      </c>
      <c r="K8" s="1184">
        <f t="shared" si="9"/>
        <v>9.6430000000000007</v>
      </c>
      <c r="L8" s="1188">
        <v>0</v>
      </c>
      <c r="M8" s="1184">
        <f t="shared" si="0"/>
        <v>3.9320000000000004</v>
      </c>
      <c r="N8" s="1184">
        <f t="shared" si="10"/>
        <v>0</v>
      </c>
      <c r="O8" s="1211">
        <v>0.7</v>
      </c>
      <c r="P8" s="1205">
        <v>0.96</v>
      </c>
      <c r="Q8" s="1204">
        <v>0</v>
      </c>
      <c r="R8" s="1213">
        <v>0.51900000000000002</v>
      </c>
      <c r="S8" s="1041">
        <v>0</v>
      </c>
      <c r="T8" s="1172">
        <v>0.16</v>
      </c>
      <c r="U8" s="1204">
        <v>2.8</v>
      </c>
      <c r="V8" s="1041">
        <v>0.504</v>
      </c>
      <c r="W8" s="759">
        <v>0.47199999999999998</v>
      </c>
      <c r="X8" s="759">
        <v>2E-3</v>
      </c>
      <c r="Y8" s="1204">
        <v>0</v>
      </c>
      <c r="Z8" s="1204">
        <v>0</v>
      </c>
      <c r="AA8" s="1204">
        <v>0</v>
      </c>
      <c r="AB8" s="1204">
        <v>0</v>
      </c>
      <c r="AC8" s="1041">
        <v>0</v>
      </c>
      <c r="AD8" s="1041">
        <v>0.34399999999999997</v>
      </c>
      <c r="AE8" s="1213">
        <v>0</v>
      </c>
      <c r="AF8" s="1213">
        <v>0.1</v>
      </c>
      <c r="AG8" s="1213">
        <v>4.5739999999999998</v>
      </c>
      <c r="AH8" s="1041">
        <v>0.06</v>
      </c>
      <c r="AI8" s="1041">
        <v>4.0000000000000001E-3</v>
      </c>
      <c r="AJ8" s="1041">
        <v>0</v>
      </c>
      <c r="AK8" s="1204">
        <v>0</v>
      </c>
      <c r="AL8" s="1204">
        <v>31.911000000000001</v>
      </c>
      <c r="AM8" s="1041">
        <v>4.1000000000000002E-2</v>
      </c>
      <c r="AN8" s="1204">
        <v>0.4</v>
      </c>
      <c r="AO8" s="759">
        <v>0.41</v>
      </c>
      <c r="AP8" s="1204">
        <v>0.13100000000000001</v>
      </c>
      <c r="AQ8" s="1215">
        <v>0</v>
      </c>
      <c r="AR8" s="1204">
        <v>3</v>
      </c>
      <c r="AS8" s="1204">
        <v>0.30099999999999999</v>
      </c>
      <c r="AT8" s="759">
        <v>5.36</v>
      </c>
      <c r="AU8" s="1041">
        <v>0</v>
      </c>
      <c r="AV8" s="1204">
        <v>0.79600000000000004</v>
      </c>
      <c r="AW8" s="1204">
        <v>0.27500000000000002</v>
      </c>
      <c r="AX8" s="1204">
        <v>1</v>
      </c>
      <c r="AY8" s="759">
        <v>-2.6</v>
      </c>
      <c r="AZ8" s="1204">
        <v>4.4610000000000003</v>
      </c>
      <c r="BA8" s="759">
        <v>0</v>
      </c>
      <c r="BB8" s="1204">
        <v>0.2</v>
      </c>
      <c r="BC8" s="1204">
        <v>0</v>
      </c>
      <c r="BD8" s="1204">
        <v>0</v>
      </c>
      <c r="BE8" s="1213">
        <v>1.95</v>
      </c>
      <c r="BF8" s="759">
        <v>0</v>
      </c>
      <c r="BG8" s="759">
        <v>0</v>
      </c>
      <c r="BH8" s="1169">
        <v>-0.875</v>
      </c>
      <c r="BI8" s="1204">
        <v>0.09</v>
      </c>
      <c r="BJ8" s="1194">
        <v>0.87</v>
      </c>
    </row>
    <row r="9" spans="1:62" x14ac:dyDescent="0.35">
      <c r="A9" s="1182">
        <v>2025</v>
      </c>
      <c r="B9" s="1184">
        <f t="shared" si="1"/>
        <v>0</v>
      </c>
      <c r="C9" s="1184">
        <f t="shared" si="2"/>
        <v>0</v>
      </c>
      <c r="D9" s="1184">
        <f t="shared" si="3"/>
        <v>3.3000000000000002E-2</v>
      </c>
      <c r="E9" s="1184">
        <f t="shared" si="4"/>
        <v>1.63</v>
      </c>
      <c r="F9" s="1184">
        <f t="shared" si="11"/>
        <v>2.3719999999999999</v>
      </c>
      <c r="G9" s="1184">
        <f t="shared" si="5"/>
        <v>-0.90100000000000025</v>
      </c>
      <c r="H9" s="1184">
        <f t="shared" si="6"/>
        <v>1.8800000000000001</v>
      </c>
      <c r="I9" s="1184">
        <f t="shared" si="7"/>
        <v>0</v>
      </c>
      <c r="J9" s="1184">
        <f t="shared" si="8"/>
        <v>23.099</v>
      </c>
      <c r="K9" s="1184">
        <f t="shared" si="9"/>
        <v>4.5789999999999997</v>
      </c>
      <c r="L9" s="1188">
        <v>0</v>
      </c>
      <c r="M9" s="1184">
        <f t="shared" si="0"/>
        <v>-0.74299999999999988</v>
      </c>
      <c r="N9" s="1184">
        <f t="shared" si="10"/>
        <v>0</v>
      </c>
      <c r="O9" s="1211">
        <v>0.7</v>
      </c>
      <c r="P9" s="1205">
        <v>1.06</v>
      </c>
      <c r="Q9" s="1204">
        <v>0</v>
      </c>
      <c r="R9" s="1213">
        <v>0.56999999999999995</v>
      </c>
      <c r="S9" s="1041">
        <v>0</v>
      </c>
      <c r="T9" s="1173">
        <v>3.3000000000000002E-2</v>
      </c>
      <c r="U9" s="1204">
        <v>2</v>
      </c>
      <c r="V9" s="1173">
        <v>0</v>
      </c>
      <c r="W9" s="759">
        <v>0.21299999999999999</v>
      </c>
      <c r="X9" s="759">
        <v>2E-3</v>
      </c>
      <c r="Y9" s="1204">
        <v>0</v>
      </c>
      <c r="Z9" s="1204">
        <v>0</v>
      </c>
      <c r="AA9" s="1204">
        <v>0</v>
      </c>
      <c r="AB9" s="1204">
        <v>0</v>
      </c>
      <c r="AC9" s="1041">
        <v>0</v>
      </c>
      <c r="AD9" s="1041">
        <v>0.157</v>
      </c>
      <c r="AE9" s="1213">
        <v>0</v>
      </c>
      <c r="AF9" s="1213">
        <v>0</v>
      </c>
      <c r="AG9" s="1041">
        <v>1.81</v>
      </c>
      <c r="AH9" s="1041">
        <v>7.0000000000000007E-2</v>
      </c>
      <c r="AI9" s="1041">
        <v>0</v>
      </c>
      <c r="AJ9" s="1204">
        <v>0</v>
      </c>
      <c r="AK9" s="1204">
        <v>0</v>
      </c>
      <c r="AL9" s="1204">
        <v>23.099</v>
      </c>
      <c r="AM9" s="1041">
        <v>1.2999999999999999E-2</v>
      </c>
      <c r="AN9" s="1204">
        <v>0.3</v>
      </c>
      <c r="AO9" s="1202">
        <v>0.15</v>
      </c>
      <c r="AP9" s="1204">
        <v>0.112</v>
      </c>
      <c r="AQ9" s="1215">
        <v>0</v>
      </c>
      <c r="AR9" s="1204">
        <v>0.2</v>
      </c>
      <c r="AS9" s="1204">
        <v>7.3999999999999996E-2</v>
      </c>
      <c r="AT9" s="759">
        <v>3.73</v>
      </c>
      <c r="AU9" s="1041">
        <v>0</v>
      </c>
      <c r="AV9" s="1204">
        <v>5.3999999999999999E-2</v>
      </c>
      <c r="AW9" s="1204">
        <v>0.13100000000000001</v>
      </c>
      <c r="AX9" s="1204">
        <v>0</v>
      </c>
      <c r="AY9" s="759">
        <v>-2.71</v>
      </c>
      <c r="AZ9" s="1204">
        <v>1.782</v>
      </c>
      <c r="BA9" s="759">
        <v>0</v>
      </c>
      <c r="BB9" s="1204">
        <v>0</v>
      </c>
      <c r="BC9" s="1204">
        <v>0</v>
      </c>
      <c r="BD9" s="1204">
        <v>0</v>
      </c>
      <c r="BE9" s="1213">
        <v>1.43</v>
      </c>
      <c r="BF9" s="759">
        <v>0</v>
      </c>
      <c r="BG9" s="759">
        <v>0</v>
      </c>
      <c r="BH9" s="1169">
        <v>-2.3410000000000002</v>
      </c>
      <c r="BI9" s="1204">
        <v>0.01</v>
      </c>
      <c r="BJ9" s="1194">
        <v>0.33</v>
      </c>
    </row>
    <row r="10" spans="1:62" x14ac:dyDescent="0.35">
      <c r="A10" s="1182">
        <v>2026</v>
      </c>
      <c r="B10" s="1184">
        <f t="shared" si="1"/>
        <v>0</v>
      </c>
      <c r="C10" s="1184">
        <f t="shared" si="2"/>
        <v>0</v>
      </c>
      <c r="D10" s="1184">
        <f t="shared" si="3"/>
        <v>3.2000000000000001E-2</v>
      </c>
      <c r="E10" s="1184">
        <f t="shared" si="4"/>
        <v>1.671</v>
      </c>
      <c r="F10" s="1184">
        <f t="shared" si="11"/>
        <v>0.49</v>
      </c>
      <c r="G10" s="1184">
        <f t="shared" si="5"/>
        <v>-2.1500000000000004</v>
      </c>
      <c r="H10" s="1184">
        <f t="shared" si="6"/>
        <v>1.446</v>
      </c>
      <c r="I10" s="1184">
        <f t="shared" si="7"/>
        <v>0</v>
      </c>
      <c r="J10" s="1184">
        <f t="shared" si="8"/>
        <v>10.766999999999999</v>
      </c>
      <c r="K10" s="1184">
        <f t="shared" si="9"/>
        <v>2.9130000000000003</v>
      </c>
      <c r="L10" s="1188"/>
      <c r="M10" s="1184">
        <f t="shared" si="0"/>
        <v>-21.606000000000002</v>
      </c>
      <c r="N10" s="1184">
        <f t="shared" si="10"/>
        <v>0</v>
      </c>
      <c r="O10" s="1211">
        <v>0.7</v>
      </c>
      <c r="P10" s="1205">
        <v>1.07</v>
      </c>
      <c r="Q10" s="1204">
        <v>0</v>
      </c>
      <c r="R10" s="1213">
        <v>0.60099999999999998</v>
      </c>
      <c r="S10" s="1041">
        <v>0</v>
      </c>
      <c r="T10" s="1169">
        <v>3.2000000000000001E-2</v>
      </c>
      <c r="U10" s="1204">
        <v>0.3</v>
      </c>
      <c r="V10" s="1213">
        <v>0</v>
      </c>
      <c r="W10" s="759">
        <v>0.188</v>
      </c>
      <c r="X10" s="759">
        <v>2E-3</v>
      </c>
      <c r="Y10" s="1204">
        <v>0</v>
      </c>
      <c r="Z10" s="1204">
        <v>0</v>
      </c>
      <c r="AA10" s="1204">
        <v>0</v>
      </c>
      <c r="AB10" s="1204">
        <v>0</v>
      </c>
      <c r="AC10" s="1041">
        <v>0</v>
      </c>
      <c r="AD10" s="1041">
        <v>0</v>
      </c>
      <c r="AE10" s="1041">
        <v>0</v>
      </c>
      <c r="AF10" s="1213">
        <v>0</v>
      </c>
      <c r="AG10" s="1041">
        <v>1.3759999999999999</v>
      </c>
      <c r="AH10" s="1041">
        <v>7.0000000000000007E-2</v>
      </c>
      <c r="AI10" s="1041">
        <v>0</v>
      </c>
      <c r="AJ10" s="1174">
        <v>0</v>
      </c>
      <c r="AK10" s="1204">
        <v>0</v>
      </c>
      <c r="AL10" s="1204">
        <v>10.766999999999999</v>
      </c>
      <c r="AM10" s="1041">
        <v>3.0000000000000001E-3</v>
      </c>
      <c r="AN10" s="1204">
        <v>0.2</v>
      </c>
      <c r="AO10" s="1202">
        <v>0.1</v>
      </c>
      <c r="AP10" s="1204">
        <v>0.05</v>
      </c>
      <c r="AQ10" s="1215">
        <v>0</v>
      </c>
      <c r="AR10" s="1204">
        <v>0</v>
      </c>
      <c r="AS10" s="1204">
        <v>0</v>
      </c>
      <c r="AT10" s="759">
        <v>2.56</v>
      </c>
      <c r="AU10" s="1041">
        <v>0</v>
      </c>
      <c r="AV10" s="1204">
        <v>3.7999999999999999E-2</v>
      </c>
      <c r="AW10" s="1204">
        <v>2.5999999999999999E-2</v>
      </c>
      <c r="AX10" s="1204">
        <v>0</v>
      </c>
      <c r="AY10" s="759">
        <v>-2.6700000000000004</v>
      </c>
      <c r="AZ10" s="1204">
        <v>0</v>
      </c>
      <c r="BA10" s="759">
        <v>-19</v>
      </c>
      <c r="BB10" s="1204">
        <v>0</v>
      </c>
      <c r="BC10" s="1204">
        <v>0</v>
      </c>
      <c r="BD10" s="1204">
        <v>0</v>
      </c>
      <c r="BE10" s="759">
        <v>0.88</v>
      </c>
      <c r="BF10" s="759">
        <v>0</v>
      </c>
      <c r="BG10" s="759">
        <v>0</v>
      </c>
      <c r="BH10" s="1041">
        <v>-2.8200000000000003</v>
      </c>
      <c r="BI10" s="1204">
        <v>-0.21</v>
      </c>
      <c r="BJ10" s="1194">
        <v>0.17</v>
      </c>
    </row>
    <row r="11" spans="1:62" x14ac:dyDescent="0.35">
      <c r="A11" s="1182">
        <v>2027</v>
      </c>
      <c r="B11" s="1184">
        <f t="shared" si="1"/>
        <v>0</v>
      </c>
      <c r="C11" s="1184">
        <f t="shared" si="2"/>
        <v>0</v>
      </c>
      <c r="D11" s="1184">
        <f t="shared" si="3"/>
        <v>3.2000000000000001E-2</v>
      </c>
      <c r="E11" s="1184">
        <f t="shared" si="4"/>
        <v>1.7130000000000001</v>
      </c>
      <c r="F11" s="1184">
        <f t="shared" si="11"/>
        <v>0</v>
      </c>
      <c r="G11" s="1184">
        <f t="shared" si="5"/>
        <v>-4.8169999999999993</v>
      </c>
      <c r="H11" s="1184">
        <f t="shared" si="6"/>
        <v>0.65699999999999992</v>
      </c>
      <c r="I11" s="1184">
        <f t="shared" si="7"/>
        <v>0</v>
      </c>
      <c r="J11" s="1184">
        <f t="shared" si="8"/>
        <v>4.0789999999999997</v>
      </c>
      <c r="K11" s="1184">
        <f t="shared" si="9"/>
        <v>2.46</v>
      </c>
      <c r="L11" s="1188"/>
      <c r="M11" s="1184">
        <f t="shared" si="0"/>
        <v>-14.713000000000001</v>
      </c>
      <c r="N11" s="1184">
        <f t="shared" si="10"/>
        <v>0</v>
      </c>
      <c r="O11" s="1211">
        <v>0.3</v>
      </c>
      <c r="P11" s="1205">
        <v>1.08</v>
      </c>
      <c r="Q11" s="1204">
        <v>0</v>
      </c>
      <c r="R11" s="1213">
        <v>0.63300000000000001</v>
      </c>
      <c r="S11" s="1172">
        <v>0</v>
      </c>
      <c r="T11" s="1204">
        <v>3.2000000000000001E-2</v>
      </c>
      <c r="U11" s="1204">
        <v>0</v>
      </c>
      <c r="V11" s="1041">
        <v>0</v>
      </c>
      <c r="W11" s="759">
        <v>0</v>
      </c>
      <c r="X11" s="759">
        <v>0</v>
      </c>
      <c r="Y11" s="1204">
        <v>0</v>
      </c>
      <c r="Z11" s="1204">
        <v>0</v>
      </c>
      <c r="AA11" s="1204">
        <v>0</v>
      </c>
      <c r="AB11" s="1204">
        <v>0</v>
      </c>
      <c r="AC11" s="1041">
        <v>0</v>
      </c>
      <c r="AD11" s="1213">
        <v>0</v>
      </c>
      <c r="AE11" s="1041">
        <v>0</v>
      </c>
      <c r="AF11" s="1213">
        <v>0</v>
      </c>
      <c r="AG11" s="1041">
        <v>0.57699999999999996</v>
      </c>
      <c r="AH11" s="1041">
        <v>0.08</v>
      </c>
      <c r="AI11" s="1041">
        <v>0</v>
      </c>
      <c r="AJ11" s="1041">
        <v>0</v>
      </c>
      <c r="AK11" s="1204">
        <v>0</v>
      </c>
      <c r="AL11" s="1204">
        <v>4.0789999999999997</v>
      </c>
      <c r="AM11" s="1204">
        <v>0</v>
      </c>
      <c r="AN11" s="1204">
        <v>0.1</v>
      </c>
      <c r="AO11" s="1202">
        <v>0.1</v>
      </c>
      <c r="AP11" s="1204">
        <v>0.03</v>
      </c>
      <c r="AQ11" s="1215">
        <v>0</v>
      </c>
      <c r="AR11" s="1204">
        <v>0</v>
      </c>
      <c r="AS11" s="1204">
        <v>0</v>
      </c>
      <c r="AT11" s="1202">
        <v>2.23</v>
      </c>
      <c r="AU11" s="1041">
        <v>0</v>
      </c>
      <c r="AV11" s="1204">
        <v>1.7000000000000001E-2</v>
      </c>
      <c r="AW11" s="1204">
        <v>0</v>
      </c>
      <c r="AX11" s="1204">
        <v>0</v>
      </c>
      <c r="AY11" s="759">
        <v>-2.73</v>
      </c>
      <c r="AZ11" s="1204">
        <v>0</v>
      </c>
      <c r="BA11" s="759">
        <v>-12</v>
      </c>
      <c r="BB11" s="1204">
        <v>0</v>
      </c>
      <c r="BC11" s="1204">
        <v>0</v>
      </c>
      <c r="BD11" s="1204">
        <v>0</v>
      </c>
      <c r="BE11" s="759">
        <v>0.28000000000000003</v>
      </c>
      <c r="BF11" s="759">
        <v>0</v>
      </c>
      <c r="BG11" s="759">
        <v>0</v>
      </c>
      <c r="BH11" s="1173">
        <v>-5.0069999999999997</v>
      </c>
      <c r="BI11" s="1204">
        <v>-0.09</v>
      </c>
      <c r="BJ11" s="1195">
        <v>0.06</v>
      </c>
    </row>
    <row r="12" spans="1:62" x14ac:dyDescent="0.35">
      <c r="A12" s="1182">
        <v>2028</v>
      </c>
      <c r="B12" s="1184">
        <f t="shared" si="1"/>
        <v>0</v>
      </c>
      <c r="C12" s="1184">
        <f t="shared" si="2"/>
        <v>0</v>
      </c>
      <c r="D12" s="1184">
        <f t="shared" si="3"/>
        <v>3.3000000000000002E-2</v>
      </c>
      <c r="E12" s="1184">
        <f t="shared" si="4"/>
        <v>1.7130000000000001</v>
      </c>
      <c r="F12" s="1184">
        <f t="shared" si="11"/>
        <v>0</v>
      </c>
      <c r="G12" s="1184">
        <f t="shared" si="5"/>
        <v>-5.0590000000000002</v>
      </c>
      <c r="H12" s="1184">
        <f t="shared" si="6"/>
        <v>-1.071</v>
      </c>
      <c r="I12" s="1184">
        <f t="shared" si="7"/>
        <v>0</v>
      </c>
      <c r="J12" s="1184">
        <f t="shared" si="8"/>
        <v>1.635</v>
      </c>
      <c r="K12" s="1184">
        <f t="shared" si="9"/>
        <v>1.81</v>
      </c>
      <c r="L12" s="1188"/>
      <c r="M12" s="1184">
        <f t="shared" si="0"/>
        <v>-2.7690000000000001</v>
      </c>
      <c r="N12" s="1184">
        <f t="shared" si="10"/>
        <v>0</v>
      </c>
      <c r="O12" s="1211">
        <v>0.3</v>
      </c>
      <c r="P12" s="1205">
        <v>1.08</v>
      </c>
      <c r="Q12" s="1204">
        <v>0</v>
      </c>
      <c r="R12" s="1213">
        <v>0.63300000000000001</v>
      </c>
      <c r="S12" s="1172">
        <v>0</v>
      </c>
      <c r="T12" s="1175">
        <v>3.3000000000000002E-2</v>
      </c>
      <c r="U12" s="1204">
        <v>0</v>
      </c>
      <c r="V12" s="1041">
        <v>0</v>
      </c>
      <c r="W12" s="759">
        <v>0</v>
      </c>
      <c r="X12" s="759">
        <v>0</v>
      </c>
      <c r="Y12" s="1204">
        <v>0</v>
      </c>
      <c r="Z12" s="1204">
        <v>0</v>
      </c>
      <c r="AA12" s="1204">
        <v>0</v>
      </c>
      <c r="AB12" s="1204">
        <v>0</v>
      </c>
      <c r="AC12" s="1041">
        <v>0</v>
      </c>
      <c r="AD12" s="1041">
        <v>0</v>
      </c>
      <c r="AE12" s="1041">
        <v>0</v>
      </c>
      <c r="AF12" s="1041">
        <v>0</v>
      </c>
      <c r="AG12" s="1041">
        <v>-1.151</v>
      </c>
      <c r="AH12" s="1041">
        <v>0.08</v>
      </c>
      <c r="AI12" s="1041">
        <v>0</v>
      </c>
      <c r="AJ12" s="1041">
        <v>0</v>
      </c>
      <c r="AK12" s="1204">
        <v>0</v>
      </c>
      <c r="AL12" s="1204">
        <v>1.635</v>
      </c>
      <c r="AM12" s="1204">
        <v>0</v>
      </c>
      <c r="AN12" s="1204">
        <v>0.1</v>
      </c>
      <c r="AO12" s="759">
        <v>0</v>
      </c>
      <c r="AP12" s="1204">
        <v>0</v>
      </c>
      <c r="AQ12" s="1215">
        <v>0</v>
      </c>
      <c r="AR12" s="1204">
        <v>0</v>
      </c>
      <c r="AS12" s="1204">
        <v>0</v>
      </c>
      <c r="AT12" s="1202">
        <v>1.71</v>
      </c>
      <c r="AU12" s="1041">
        <v>0</v>
      </c>
      <c r="AV12" s="1204">
        <v>1E-3</v>
      </c>
      <c r="AW12" s="1204">
        <v>0</v>
      </c>
      <c r="AX12" s="1204">
        <v>0</v>
      </c>
      <c r="AY12" s="759">
        <v>-2.77</v>
      </c>
      <c r="AZ12" s="1204">
        <v>0</v>
      </c>
      <c r="BA12" s="759">
        <v>0</v>
      </c>
      <c r="BB12" s="1204">
        <v>0</v>
      </c>
      <c r="BC12" s="1204">
        <v>0</v>
      </c>
      <c r="BD12" s="1204">
        <v>0</v>
      </c>
      <c r="BE12" s="759">
        <v>0.1</v>
      </c>
      <c r="BF12" s="759">
        <v>0</v>
      </c>
      <c r="BG12" s="759">
        <v>0</v>
      </c>
      <c r="BH12" s="1173">
        <v>-5.069</v>
      </c>
      <c r="BI12" s="1204">
        <v>-0.09</v>
      </c>
      <c r="BJ12" s="1195">
        <v>0.03</v>
      </c>
    </row>
    <row r="13" spans="1:62" x14ac:dyDescent="0.35">
      <c r="A13" s="1182">
        <v>2029</v>
      </c>
      <c r="B13" s="1184">
        <f t="shared" si="1"/>
        <v>0</v>
      </c>
      <c r="C13" s="1184">
        <f t="shared" si="2"/>
        <v>0</v>
      </c>
      <c r="D13" s="1184">
        <f t="shared" si="3"/>
        <v>3.3000000000000002E-2</v>
      </c>
      <c r="E13" s="1184">
        <f t="shared" si="4"/>
        <v>1.7130000000000001</v>
      </c>
      <c r="F13" s="1184">
        <f t="shared" si="11"/>
        <v>0</v>
      </c>
      <c r="G13" s="1184">
        <f t="shared" si="5"/>
        <v>-5.218</v>
      </c>
      <c r="H13" s="1184">
        <f t="shared" si="6"/>
        <v>-1.964</v>
      </c>
      <c r="I13" s="1184">
        <f t="shared" si="7"/>
        <v>0</v>
      </c>
      <c r="J13" s="1184">
        <f t="shared" si="8"/>
        <v>-1.7000000000000001E-2</v>
      </c>
      <c r="K13" s="1184">
        <f t="shared" si="9"/>
        <v>1</v>
      </c>
      <c r="L13" s="1188"/>
      <c r="M13" s="1184">
        <f t="shared" si="0"/>
        <v>-2.75</v>
      </c>
      <c r="N13" s="1184">
        <f t="shared" si="10"/>
        <v>0</v>
      </c>
      <c r="O13" s="1211">
        <v>0.3</v>
      </c>
      <c r="P13" s="1205">
        <v>1.08</v>
      </c>
      <c r="Q13" s="1204">
        <v>0</v>
      </c>
      <c r="R13" s="1213">
        <v>0.63300000000000001</v>
      </c>
      <c r="S13" s="1172">
        <v>0</v>
      </c>
      <c r="T13" s="1041">
        <v>3.3000000000000002E-2</v>
      </c>
      <c r="U13" s="1204">
        <v>0</v>
      </c>
      <c r="V13" s="1041">
        <v>0</v>
      </c>
      <c r="W13" s="759">
        <v>0</v>
      </c>
      <c r="X13" s="759">
        <v>0</v>
      </c>
      <c r="Y13" s="1204">
        <v>0</v>
      </c>
      <c r="Z13" s="1204">
        <v>0</v>
      </c>
      <c r="AA13" s="1204">
        <v>0</v>
      </c>
      <c r="AB13" s="1204">
        <v>0</v>
      </c>
      <c r="AC13" s="1041">
        <v>0</v>
      </c>
      <c r="AD13" s="1041">
        <v>0</v>
      </c>
      <c r="AE13" s="1041">
        <v>0</v>
      </c>
      <c r="AF13" s="1041">
        <v>0</v>
      </c>
      <c r="AG13" s="1204">
        <v>-2.044</v>
      </c>
      <c r="AH13" s="1041">
        <v>0.08</v>
      </c>
      <c r="AI13" s="1041">
        <v>0</v>
      </c>
      <c r="AJ13" s="1176">
        <v>0</v>
      </c>
      <c r="AK13" s="1204">
        <v>0</v>
      </c>
      <c r="AL13" s="1204">
        <v>-1.7000000000000001E-2</v>
      </c>
      <c r="AM13" s="1204">
        <v>0</v>
      </c>
      <c r="AN13" s="1204">
        <v>0</v>
      </c>
      <c r="AO13" s="759">
        <v>0</v>
      </c>
      <c r="AP13" s="1204">
        <v>0</v>
      </c>
      <c r="AQ13" s="1215">
        <v>0</v>
      </c>
      <c r="AR13" s="1204">
        <v>0</v>
      </c>
      <c r="AS13" s="1204">
        <v>0</v>
      </c>
      <c r="AT13" s="1202">
        <v>1</v>
      </c>
      <c r="AU13" s="1041">
        <v>0</v>
      </c>
      <c r="AV13" s="1204">
        <v>0</v>
      </c>
      <c r="AW13" s="1204">
        <v>0</v>
      </c>
      <c r="AX13" s="1204">
        <v>0</v>
      </c>
      <c r="AY13" s="759">
        <v>-2.75</v>
      </c>
      <c r="AZ13" s="1204">
        <v>0</v>
      </c>
      <c r="BA13" s="759">
        <v>0</v>
      </c>
      <c r="BB13" s="1204">
        <v>0</v>
      </c>
      <c r="BC13" s="1204">
        <v>0</v>
      </c>
      <c r="BD13" s="1204">
        <v>0</v>
      </c>
      <c r="BE13" s="759">
        <v>0</v>
      </c>
      <c r="BF13" s="1177">
        <v>0</v>
      </c>
      <c r="BG13" s="759">
        <v>0</v>
      </c>
      <c r="BH13" s="1173">
        <v>-5.1180000000000003</v>
      </c>
      <c r="BI13" s="1204">
        <v>-0.1</v>
      </c>
      <c r="BJ13" s="1195">
        <v>0.01</v>
      </c>
    </row>
    <row r="14" spans="1:62" x14ac:dyDescent="0.35">
      <c r="A14" s="1182">
        <v>2030</v>
      </c>
      <c r="B14" s="1184">
        <f t="shared" si="1"/>
        <v>0</v>
      </c>
      <c r="C14" s="1184">
        <f t="shared" si="2"/>
        <v>0</v>
      </c>
      <c r="D14" s="1184">
        <f t="shared" si="3"/>
        <v>3.3000000000000002E-2</v>
      </c>
      <c r="E14" s="1184">
        <f t="shared" si="4"/>
        <v>1.8130000000000002</v>
      </c>
      <c r="F14" s="1184">
        <f t="shared" si="11"/>
        <v>0</v>
      </c>
      <c r="G14" s="1184">
        <f t="shared" si="5"/>
        <v>-5.9420000000000002</v>
      </c>
      <c r="H14" s="1184">
        <f t="shared" si="6"/>
        <v>-2.0210000000000004</v>
      </c>
      <c r="I14" s="1184">
        <f t="shared" si="7"/>
        <v>0</v>
      </c>
      <c r="J14" s="1184">
        <f t="shared" si="8"/>
        <v>-1.9E-2</v>
      </c>
      <c r="K14" s="1184">
        <f t="shared" si="9"/>
        <v>0.8</v>
      </c>
      <c r="L14" s="1188"/>
      <c r="M14" s="1184">
        <f t="shared" si="0"/>
        <v>-8.1189999999999998</v>
      </c>
      <c r="N14" s="1184">
        <f t="shared" si="10"/>
        <v>0</v>
      </c>
      <c r="O14" s="1211">
        <v>0.3</v>
      </c>
      <c r="P14" s="1205">
        <v>1.1800000000000002</v>
      </c>
      <c r="Q14" s="1204">
        <v>0</v>
      </c>
      <c r="R14" s="1213">
        <v>0.63300000000000001</v>
      </c>
      <c r="S14" s="1172">
        <v>0</v>
      </c>
      <c r="T14" s="1041">
        <v>3.3000000000000002E-2</v>
      </c>
      <c r="U14" s="1204">
        <v>0</v>
      </c>
      <c r="V14" s="1041">
        <v>0</v>
      </c>
      <c r="W14" s="759">
        <v>0</v>
      </c>
      <c r="X14" s="759">
        <v>0</v>
      </c>
      <c r="Y14" s="1204">
        <v>0</v>
      </c>
      <c r="Z14" s="1204">
        <v>0</v>
      </c>
      <c r="AA14" s="1204">
        <v>0</v>
      </c>
      <c r="AB14" s="1204">
        <v>0</v>
      </c>
      <c r="AC14" s="1041">
        <v>0</v>
      </c>
      <c r="AD14" s="1213">
        <v>0</v>
      </c>
      <c r="AE14" s="1204">
        <v>0</v>
      </c>
      <c r="AF14" s="1041">
        <v>0</v>
      </c>
      <c r="AG14" s="1041">
        <v>-2.1110000000000002</v>
      </c>
      <c r="AH14" s="1041">
        <v>0.09</v>
      </c>
      <c r="AI14" s="1041">
        <v>0</v>
      </c>
      <c r="AJ14" s="1178">
        <v>0</v>
      </c>
      <c r="AK14" s="1204">
        <v>0</v>
      </c>
      <c r="AL14" s="1204">
        <v>-1.9E-2</v>
      </c>
      <c r="AM14" s="1204">
        <v>0</v>
      </c>
      <c r="AN14" s="1204">
        <v>0</v>
      </c>
      <c r="AO14" s="759">
        <v>0</v>
      </c>
      <c r="AP14" s="1204">
        <v>0</v>
      </c>
      <c r="AQ14" s="1215">
        <v>0</v>
      </c>
      <c r="AR14" s="1204">
        <v>0</v>
      </c>
      <c r="AS14" s="1204">
        <v>0</v>
      </c>
      <c r="AT14" s="759">
        <v>0.8</v>
      </c>
      <c r="AU14" s="1041">
        <v>-5.4089999999999998</v>
      </c>
      <c r="AV14" s="1204">
        <v>0</v>
      </c>
      <c r="AW14" s="1204">
        <v>0</v>
      </c>
      <c r="AX14" s="1204">
        <v>0</v>
      </c>
      <c r="AY14" s="759">
        <v>-2.71</v>
      </c>
      <c r="AZ14" s="1204">
        <v>0</v>
      </c>
      <c r="BA14" s="759">
        <v>0</v>
      </c>
      <c r="BB14" s="1204">
        <v>0</v>
      </c>
      <c r="BC14" s="1204">
        <v>0</v>
      </c>
      <c r="BD14" s="1204">
        <v>0</v>
      </c>
      <c r="BE14" s="1204">
        <v>0</v>
      </c>
      <c r="BF14" s="759">
        <v>0</v>
      </c>
      <c r="BG14" s="759">
        <v>0</v>
      </c>
      <c r="BH14" s="1041">
        <v>-5.8319999999999999</v>
      </c>
      <c r="BI14" s="1204">
        <v>-0.11</v>
      </c>
      <c r="BJ14" s="1194">
        <v>0.01</v>
      </c>
    </row>
    <row r="15" spans="1:62" ht="17.25" customHeight="1" x14ac:dyDescent="0.35">
      <c r="A15" s="1182">
        <v>2031</v>
      </c>
      <c r="B15" s="1184">
        <f t="shared" si="1"/>
        <v>0</v>
      </c>
      <c r="C15" s="1184">
        <f t="shared" si="2"/>
        <v>0</v>
      </c>
      <c r="D15" s="1184">
        <f t="shared" si="3"/>
        <v>0</v>
      </c>
      <c r="E15" s="1184">
        <f t="shared" si="4"/>
        <v>1.8230000000000002</v>
      </c>
      <c r="F15" s="1184">
        <f t="shared" si="11"/>
        <v>0</v>
      </c>
      <c r="G15" s="1184">
        <f t="shared" si="5"/>
        <v>-7.7250000000000005</v>
      </c>
      <c r="H15" s="1184">
        <f t="shared" si="6"/>
        <v>-2.4630000000000001</v>
      </c>
      <c r="I15" s="1184">
        <f t="shared" si="7"/>
        <v>0</v>
      </c>
      <c r="J15" s="1184">
        <f t="shared" si="8"/>
        <v>-1.9E-2</v>
      </c>
      <c r="K15" s="1184">
        <f t="shared" si="9"/>
        <v>0</v>
      </c>
      <c r="L15" s="1188"/>
      <c r="M15" s="1184">
        <f t="shared" si="0"/>
        <v>-3.0390000000000001</v>
      </c>
      <c r="N15" s="1184">
        <f t="shared" si="10"/>
        <v>0</v>
      </c>
      <c r="O15" s="1211">
        <v>0.3</v>
      </c>
      <c r="P15" s="1205">
        <v>1.1900000000000002</v>
      </c>
      <c r="Q15" s="1204">
        <v>0</v>
      </c>
      <c r="R15" s="1213">
        <v>0.63300000000000001</v>
      </c>
      <c r="S15" s="1172">
        <v>0</v>
      </c>
      <c r="T15" s="759">
        <v>0</v>
      </c>
      <c r="U15" s="1204">
        <v>0</v>
      </c>
      <c r="V15" s="1204">
        <v>0</v>
      </c>
      <c r="W15" s="759">
        <v>0</v>
      </c>
      <c r="X15" s="759">
        <v>0</v>
      </c>
      <c r="Y15" s="1204">
        <v>0</v>
      </c>
      <c r="Z15" s="1204">
        <v>0</v>
      </c>
      <c r="AA15" s="1204">
        <v>0</v>
      </c>
      <c r="AB15" s="1204">
        <v>0</v>
      </c>
      <c r="AC15" s="1041">
        <v>0</v>
      </c>
      <c r="AD15" s="1204">
        <v>0</v>
      </c>
      <c r="AE15" s="1041">
        <v>0</v>
      </c>
      <c r="AF15" s="1041">
        <v>0</v>
      </c>
      <c r="AG15" s="1041">
        <v>-2.5529999999999999</v>
      </c>
      <c r="AH15" s="1041">
        <v>0.09</v>
      </c>
      <c r="AI15" s="1041">
        <v>0</v>
      </c>
      <c r="AJ15" s="1179">
        <v>0</v>
      </c>
      <c r="AK15" s="1204">
        <v>0</v>
      </c>
      <c r="AL15" s="1204">
        <v>-1.9E-2</v>
      </c>
      <c r="AM15" s="1204">
        <v>0</v>
      </c>
      <c r="AN15" s="1204">
        <v>0</v>
      </c>
      <c r="AO15" s="759">
        <v>0</v>
      </c>
      <c r="AP15" s="1204">
        <v>0</v>
      </c>
      <c r="AQ15" s="1215">
        <v>0</v>
      </c>
      <c r="AR15" s="1204">
        <v>0</v>
      </c>
      <c r="AS15" s="1204">
        <v>0</v>
      </c>
      <c r="AT15" s="759">
        <v>0</v>
      </c>
      <c r="AU15" s="1041">
        <v>-0.26900000000000002</v>
      </c>
      <c r="AV15" s="1204">
        <v>0</v>
      </c>
      <c r="AW15" s="1204">
        <v>0</v>
      </c>
      <c r="AX15" s="1204">
        <v>0</v>
      </c>
      <c r="AY15" s="759">
        <v>-2.77</v>
      </c>
      <c r="AZ15" s="1204">
        <v>0</v>
      </c>
      <c r="BA15" s="759">
        <v>0</v>
      </c>
      <c r="BB15" s="1204">
        <v>0</v>
      </c>
      <c r="BC15" s="1204">
        <v>0</v>
      </c>
      <c r="BD15" s="1204">
        <v>0</v>
      </c>
      <c r="BE15" s="1204">
        <v>0</v>
      </c>
      <c r="BF15" s="759">
        <v>0</v>
      </c>
      <c r="BG15" s="759">
        <v>0</v>
      </c>
      <c r="BH15" s="1041">
        <v>-5.4350000000000005</v>
      </c>
      <c r="BI15" s="1204">
        <v>-2.29</v>
      </c>
      <c r="BJ15" s="1194">
        <v>0</v>
      </c>
    </row>
    <row r="16" spans="1:62" x14ac:dyDescent="0.35">
      <c r="A16" s="1183" t="s">
        <v>312</v>
      </c>
      <c r="B16" s="1183">
        <f>SUM(B5:B15)</f>
        <v>412.15299999999996</v>
      </c>
      <c r="C16" s="1183">
        <f>SUM(C5:C15)</f>
        <v>205.79999999999998</v>
      </c>
      <c r="D16" s="1183">
        <f>SUM(D5:D15)</f>
        <v>22.711000000000006</v>
      </c>
      <c r="E16" s="1183">
        <f t="shared" ref="E16:H16" si="12">SUM(E5:E15)</f>
        <v>35.466000000000015</v>
      </c>
      <c r="F16" s="1183">
        <f t="shared" si="12"/>
        <v>91.563000000000002</v>
      </c>
      <c r="G16" s="1184">
        <f t="shared" si="5"/>
        <v>174.17</v>
      </c>
      <c r="H16" s="1183">
        <f t="shared" si="12"/>
        <v>21.600999999999996</v>
      </c>
      <c r="I16" s="1188">
        <f t="shared" ref="I16" si="13">SUM(I5:I15)</f>
        <v>362.04999999999995</v>
      </c>
      <c r="J16" s="1188">
        <f t="shared" ref="J16" si="14">SUM(J5:J15)</f>
        <v>169.16899999999998</v>
      </c>
      <c r="K16" s="1184">
        <f t="shared" si="9"/>
        <v>112.72</v>
      </c>
      <c r="L16" s="1188">
        <f>SUM(L5:L15)</f>
        <v>25.75</v>
      </c>
      <c r="M16" s="1184">
        <f t="shared" si="0"/>
        <v>85.197999999999993</v>
      </c>
      <c r="N16" s="1184">
        <f>AK16</f>
        <v>8.5</v>
      </c>
      <c r="O16" s="1212">
        <f t="shared" ref="O16:BI16" si="15">SUM(O5:O15)</f>
        <v>109.3</v>
      </c>
      <c r="P16" s="1204">
        <f t="shared" si="15"/>
        <v>25.819999999999997</v>
      </c>
      <c r="Q16" s="1204">
        <f t="shared" si="15"/>
        <v>412.15299999999996</v>
      </c>
      <c r="R16" s="1204">
        <f t="shared" si="15"/>
        <v>5.774</v>
      </c>
      <c r="S16" s="1204">
        <f t="shared" si="15"/>
        <v>3.8719999999999999</v>
      </c>
      <c r="T16" s="1204">
        <f t="shared" si="15"/>
        <v>22.711000000000006</v>
      </c>
      <c r="U16" s="1204">
        <f t="shared" si="15"/>
        <v>41.599999999999994</v>
      </c>
      <c r="V16" s="1204">
        <f t="shared" si="15"/>
        <v>44.947999999999993</v>
      </c>
      <c r="W16" s="1204">
        <f t="shared" si="15"/>
        <v>5</v>
      </c>
      <c r="X16" s="1204">
        <f t="shared" si="15"/>
        <v>1.4440000000000002</v>
      </c>
      <c r="Y16" s="1204">
        <f t="shared" si="15"/>
        <v>0.2</v>
      </c>
      <c r="Z16" s="1204">
        <f t="shared" si="15"/>
        <v>45.4</v>
      </c>
      <c r="AA16" s="1204">
        <f t="shared" si="15"/>
        <v>35.5</v>
      </c>
      <c r="AB16" s="1204">
        <f t="shared" si="15"/>
        <v>124.7</v>
      </c>
      <c r="AC16" s="1204">
        <f t="shared" si="15"/>
        <v>28</v>
      </c>
      <c r="AD16" s="1204">
        <f t="shared" si="15"/>
        <v>9.100000000000022E-2</v>
      </c>
      <c r="AE16" s="1204">
        <f t="shared" si="15"/>
        <v>22.810000000000002</v>
      </c>
      <c r="AF16" s="1204">
        <f t="shared" si="15"/>
        <v>1.42</v>
      </c>
      <c r="AG16" s="1204">
        <f t="shared" si="15"/>
        <v>20.662999999999997</v>
      </c>
      <c r="AH16" s="1204">
        <f t="shared" si="15"/>
        <v>0.86999999999999988</v>
      </c>
      <c r="AI16" s="1204">
        <f t="shared" si="15"/>
        <v>6.8000000000000005E-2</v>
      </c>
      <c r="AJ16" s="1204">
        <f t="shared" si="15"/>
        <v>362.04999999999995</v>
      </c>
      <c r="AK16" s="1204">
        <f t="shared" ref="AK16:AO16" si="16">SUM(AK5:AK15)</f>
        <v>8.5</v>
      </c>
      <c r="AL16" s="1204">
        <f t="shared" si="16"/>
        <v>169.16899999999998</v>
      </c>
      <c r="AM16" s="1186">
        <f t="shared" si="16"/>
        <v>0.79700000000000004</v>
      </c>
      <c r="AN16" s="1204">
        <f t="shared" si="16"/>
        <v>8.6</v>
      </c>
      <c r="AO16" s="1204">
        <f t="shared" si="16"/>
        <v>3.2000000000000006</v>
      </c>
      <c r="AP16" s="1204">
        <f t="shared" si="15"/>
        <v>2.8000000000000003</v>
      </c>
      <c r="AQ16" s="1189">
        <f>SUM(AQ5:AQ15)</f>
        <v>28</v>
      </c>
      <c r="AR16" s="1204">
        <f>SUM(AR5:AR15)</f>
        <v>14.899999999999999</v>
      </c>
      <c r="AS16" s="1204">
        <f>SUM(AS5:AS15)</f>
        <v>3.8730000000000002</v>
      </c>
      <c r="AT16" s="1204">
        <f t="shared" ref="AT16" si="17">SUM(AT5:AT15)</f>
        <v>50.54999999999999</v>
      </c>
      <c r="AU16" s="1204">
        <f t="shared" si="15"/>
        <v>-5.6779999999999999</v>
      </c>
      <c r="AV16" s="1204">
        <f t="shared" si="15"/>
        <v>8.177999999999999</v>
      </c>
      <c r="AW16" s="1204">
        <f t="shared" si="15"/>
        <v>16.667999999999999</v>
      </c>
      <c r="AX16" s="1204">
        <f t="shared" si="15"/>
        <v>9.9</v>
      </c>
      <c r="AY16" s="1204">
        <f t="shared" si="15"/>
        <v>-25.860000000000003</v>
      </c>
      <c r="AZ16" s="1204">
        <f t="shared" si="15"/>
        <v>81.99</v>
      </c>
      <c r="BA16" s="1204">
        <v>0</v>
      </c>
      <c r="BB16" s="1204">
        <f t="shared" si="15"/>
        <v>24</v>
      </c>
      <c r="BC16" s="1204">
        <f t="shared" si="15"/>
        <v>7.25</v>
      </c>
      <c r="BD16" s="1204">
        <f t="shared" si="15"/>
        <v>49.8</v>
      </c>
      <c r="BE16" s="1204">
        <f t="shared" si="15"/>
        <v>9.02</v>
      </c>
      <c r="BF16" s="1204">
        <f t="shared" si="15"/>
        <v>6.2439999999999998</v>
      </c>
      <c r="BG16" s="1204">
        <f t="shared" si="15"/>
        <v>10.218</v>
      </c>
      <c r="BH16" s="1204">
        <f t="shared" si="15"/>
        <v>50.203999999999979</v>
      </c>
      <c r="BI16" s="1204">
        <f t="shared" si="15"/>
        <v>24.684000000000005</v>
      </c>
      <c r="BJ16" s="1196">
        <f>SUM(BJ5:BJ15)</f>
        <v>9.5399999999999991</v>
      </c>
    </row>
    <row r="17" spans="2:61" x14ac:dyDescent="0.35">
      <c r="R17" s="1213"/>
      <c r="S17" s="1213"/>
      <c r="W17" s="1213"/>
      <c r="X17" s="1213"/>
      <c r="AE17" s="1213"/>
      <c r="AF17" s="1213"/>
      <c r="AV17" s="1213"/>
      <c r="AW17" s="1213"/>
      <c r="AX17" s="1213"/>
      <c r="AY17" s="1213"/>
      <c r="AZ17" s="1213"/>
      <c r="BA17" s="1213"/>
      <c r="BC17" s="1213"/>
      <c r="BE17" s="1213"/>
      <c r="BF17" s="1213"/>
      <c r="BG17" s="1213"/>
    </row>
    <row r="18" spans="2:61" x14ac:dyDescent="0.35">
      <c r="R18" s="1213"/>
      <c r="S18" s="1213"/>
      <c r="W18" s="1213"/>
      <c r="X18" s="1213"/>
      <c r="AE18" s="1213"/>
      <c r="AF18" s="1213"/>
      <c r="AV18" s="1213"/>
      <c r="AW18" s="1213"/>
      <c r="AX18" s="1213"/>
      <c r="AY18" s="1213"/>
      <c r="AZ18" s="1213"/>
      <c r="BA18" s="1213"/>
      <c r="BC18" s="1213" t="s">
        <v>724</v>
      </c>
      <c r="BD18" s="1213" t="s">
        <v>724</v>
      </c>
      <c r="BE18" s="1213"/>
      <c r="BF18" s="1213" t="s">
        <v>724</v>
      </c>
      <c r="BG18" s="1213" t="s">
        <v>724</v>
      </c>
      <c r="BI18" s="1213" t="s">
        <v>724</v>
      </c>
    </row>
    <row r="19" spans="2:61" x14ac:dyDescent="0.35">
      <c r="B19" s="928"/>
      <c r="C19" s="928"/>
      <c r="D19" s="928"/>
      <c r="E19" s="928"/>
      <c r="F19" s="928"/>
      <c r="H19" s="928"/>
      <c r="I19" s="928"/>
      <c r="J19" s="928"/>
      <c r="K19" s="928"/>
      <c r="M19" s="928"/>
      <c r="N19" s="928"/>
      <c r="R19" s="1213"/>
      <c r="S19" s="1213"/>
      <c r="W19" s="1213"/>
      <c r="X19" s="1213"/>
      <c r="AE19" s="1213"/>
      <c r="AF19" s="1213"/>
      <c r="AV19" s="1213"/>
      <c r="AW19" s="1213"/>
      <c r="AX19" s="1213"/>
      <c r="AY19" s="1213"/>
      <c r="AZ19" s="1213"/>
      <c r="BA19" s="1213"/>
      <c r="BC19" s="1213"/>
      <c r="BD19" t="s">
        <v>725</v>
      </c>
      <c r="BE19" s="1213"/>
      <c r="BF19" s="1213"/>
      <c r="BG19" s="1213"/>
    </row>
    <row r="20" spans="2:61" x14ac:dyDescent="0.35">
      <c r="R20" s="1213"/>
      <c r="S20" s="1213"/>
      <c r="W20" s="1213"/>
      <c r="X20" s="1213"/>
      <c r="AE20" s="1213"/>
      <c r="AF20" s="1213"/>
      <c r="AV20" s="1213"/>
      <c r="AW20" s="1213"/>
      <c r="AX20" s="1213"/>
      <c r="AY20" s="1213"/>
      <c r="AZ20" s="1213"/>
      <c r="BA20" s="1213"/>
      <c r="BC20" s="1213"/>
      <c r="BE20" s="1213"/>
      <c r="BF20" s="1213"/>
      <c r="BG20" s="1213"/>
    </row>
    <row r="21" spans="2:61" x14ac:dyDescent="0.35">
      <c r="R21" s="1213"/>
      <c r="S21" s="1213"/>
      <c r="W21" s="1213"/>
      <c r="X21" s="1213"/>
      <c r="AE21" s="1213"/>
      <c r="AF21" s="1213"/>
      <c r="AV21" s="1213"/>
      <c r="AW21" s="1213"/>
      <c r="AX21" s="1213"/>
      <c r="AY21" s="1213"/>
      <c r="AZ21" s="1213"/>
      <c r="BA21" s="1213"/>
      <c r="BC21" s="1213"/>
      <c r="BE21" s="1213"/>
      <c r="BF21" s="1213"/>
      <c r="BG21" s="1213"/>
    </row>
    <row r="22" spans="2:61" x14ac:dyDescent="0.35">
      <c r="B22" s="928"/>
      <c r="R22" s="1213"/>
      <c r="S22" s="1213"/>
      <c r="W22" s="1213"/>
      <c r="X22" s="1213"/>
      <c r="AE22" s="1213"/>
      <c r="AF22" s="1213"/>
      <c r="AV22" s="1213"/>
      <c r="AW22" s="1213"/>
      <c r="AX22" s="1213"/>
      <c r="AY22" s="1213"/>
      <c r="AZ22" s="1213"/>
      <c r="BA22" s="1213"/>
      <c r="BC22" s="1213"/>
      <c r="BE22" s="1213"/>
      <c r="BF22" s="1213"/>
      <c r="BG22" s="1213"/>
    </row>
    <row r="23" spans="2:61" x14ac:dyDescent="0.35">
      <c r="B23" s="928"/>
      <c r="R23" s="1213"/>
      <c r="S23" s="1213"/>
      <c r="W23" s="1213"/>
      <c r="X23" s="1213"/>
      <c r="AE23" s="1213"/>
      <c r="AF23" s="1213"/>
      <c r="AV23" s="1213"/>
      <c r="AW23" s="1213"/>
      <c r="AX23" s="1213"/>
      <c r="AY23" s="1213"/>
      <c r="AZ23" s="1213"/>
      <c r="BA23" s="1213"/>
      <c r="BC23" s="1213"/>
      <c r="BE23" s="1213"/>
      <c r="BF23" s="1213"/>
      <c r="BG23" s="1213"/>
    </row>
    <row r="24" spans="2:61" x14ac:dyDescent="0.35">
      <c r="B24" s="928"/>
      <c r="R24" s="1213"/>
      <c r="S24" s="1213"/>
      <c r="W24" s="1213"/>
      <c r="X24" s="1213"/>
      <c r="AE24" s="1213"/>
      <c r="AF24" s="1213"/>
      <c r="AV24" s="1213"/>
      <c r="AW24" s="1213"/>
      <c r="AX24" s="1213"/>
      <c r="AY24" s="1213"/>
      <c r="AZ24" s="1213"/>
      <c r="BA24" s="1213"/>
      <c r="BC24" s="1213"/>
      <c r="BE24" s="1213"/>
      <c r="BF24" s="1213"/>
      <c r="BG24" s="1213"/>
    </row>
    <row r="25" spans="2:61" x14ac:dyDescent="0.35">
      <c r="B25" s="928"/>
      <c r="R25" s="1213"/>
      <c r="S25" s="1213"/>
      <c r="W25" s="1213"/>
      <c r="X25" s="1213"/>
      <c r="AE25" s="1213"/>
      <c r="AF25" s="1213"/>
      <c r="AV25" s="1213"/>
      <c r="AW25" s="1213"/>
      <c r="AX25" s="1213"/>
      <c r="AY25" s="1213"/>
      <c r="AZ25" s="1213"/>
      <c r="BA25" s="1213"/>
      <c r="BC25" s="1213"/>
      <c r="BE25" s="1213"/>
      <c r="BF25" s="1213"/>
      <c r="BG25" s="1213"/>
    </row>
    <row r="26" spans="2:61" x14ac:dyDescent="0.35">
      <c r="B26" s="928"/>
      <c r="R26" s="1213"/>
      <c r="S26" s="1213"/>
      <c r="W26" s="1213"/>
      <c r="X26" s="1213"/>
      <c r="AE26" s="1213"/>
      <c r="AF26" s="1213"/>
      <c r="AV26" s="1213"/>
      <c r="AW26" s="1213"/>
      <c r="AX26" s="1213"/>
      <c r="AY26" s="1213"/>
      <c r="AZ26" s="1213"/>
      <c r="BA26" s="1213"/>
      <c r="BC26" s="1213"/>
      <c r="BE26" s="1213"/>
      <c r="BF26" s="1213"/>
      <c r="BG26" s="1213"/>
    </row>
    <row r="27" spans="2:61" x14ac:dyDescent="0.35">
      <c r="B27" s="928"/>
      <c r="R27" s="1213"/>
      <c r="S27" s="1213"/>
      <c r="W27" s="1213"/>
      <c r="X27" s="1213"/>
      <c r="AE27" s="1213"/>
      <c r="AF27" s="1213"/>
      <c r="AV27" s="1213"/>
      <c r="AW27" s="1213"/>
      <c r="AX27" s="1213"/>
      <c r="AY27" s="1213"/>
      <c r="AZ27" s="1213"/>
      <c r="BA27" s="1213"/>
      <c r="BC27" s="1213"/>
      <c r="BE27" s="1213"/>
      <c r="BF27" s="1213"/>
      <c r="BG27" s="1213"/>
    </row>
    <row r="28" spans="2:61" x14ac:dyDescent="0.35">
      <c r="B28" s="928"/>
      <c r="R28" s="1213"/>
      <c r="S28" s="1213"/>
      <c r="W28" s="1213"/>
      <c r="X28" s="1213"/>
      <c r="AE28" s="1213"/>
      <c r="AF28" s="1213"/>
      <c r="AV28" s="1213"/>
      <c r="AW28" s="1213"/>
      <c r="AX28" s="1213"/>
      <c r="AY28" s="1213"/>
      <c r="AZ28" s="1213"/>
      <c r="BA28" s="1213"/>
      <c r="BC28" s="1213"/>
      <c r="BE28" s="1213"/>
      <c r="BF28" s="1213"/>
      <c r="BG28" s="1213"/>
    </row>
    <row r="29" spans="2:61" x14ac:dyDescent="0.35">
      <c r="R29" s="1213"/>
      <c r="S29" s="1213"/>
      <c r="W29" s="1213"/>
      <c r="X29" s="1213"/>
      <c r="AE29" s="1213"/>
      <c r="AF29" s="1213"/>
      <c r="AV29" s="1213"/>
      <c r="AW29" s="1213"/>
      <c r="AX29" s="1213"/>
      <c r="AY29" s="1213"/>
      <c r="AZ29" s="1213"/>
      <c r="BA29" s="1213"/>
      <c r="BC29" s="1213"/>
      <c r="BE29" s="1213"/>
      <c r="BF29" s="1213"/>
      <c r="BG29" s="1213"/>
    </row>
    <row r="30" spans="2:61" x14ac:dyDescent="0.35">
      <c r="R30" s="1213"/>
      <c r="S30" s="1213"/>
      <c r="W30" s="1213"/>
      <c r="X30" s="1213"/>
      <c r="AE30" s="1213"/>
      <c r="AF30" s="1213"/>
      <c r="AV30" s="1213"/>
      <c r="AW30" s="1213"/>
      <c r="AX30" s="1213"/>
      <c r="AY30" s="1213"/>
      <c r="AZ30" s="1213"/>
      <c r="BA30" s="1213"/>
      <c r="BC30" s="1213"/>
      <c r="BE30" s="1213"/>
      <c r="BF30" s="1213"/>
      <c r="BG30" s="1213"/>
    </row>
    <row r="31" spans="2:61" x14ac:dyDescent="0.35">
      <c r="R31" s="1213"/>
      <c r="S31" s="1213"/>
      <c r="W31" s="1213"/>
      <c r="X31" s="1213"/>
      <c r="AE31" s="1213"/>
      <c r="AF31" s="1213"/>
      <c r="AV31" s="1213"/>
      <c r="AW31" s="1213"/>
      <c r="AX31" s="1213"/>
      <c r="AY31" s="1213"/>
      <c r="AZ31" s="1213"/>
      <c r="BA31" s="1213"/>
      <c r="BC31" s="1213"/>
      <c r="BE31" s="1213"/>
      <c r="BF31" s="1213"/>
      <c r="BG31" s="1213"/>
    </row>
    <row r="32" spans="2:61" x14ac:dyDescent="0.35">
      <c r="R32" s="1213"/>
      <c r="S32" s="1213"/>
      <c r="W32" s="1213"/>
      <c r="X32" s="1213"/>
      <c r="AE32" s="1213"/>
      <c r="AF32" s="1213"/>
      <c r="AV32" s="1213"/>
      <c r="AW32" s="1213"/>
      <c r="AX32" s="1213"/>
      <c r="AY32" s="1213"/>
      <c r="AZ32" s="1213"/>
      <c r="BA32" s="1213"/>
      <c r="BC32" s="1213"/>
      <c r="BE32" s="1213"/>
      <c r="BF32" s="1213"/>
      <c r="BG32" s="1213"/>
    </row>
    <row r="33" spans="18:59" x14ac:dyDescent="0.35">
      <c r="R33" s="1213"/>
      <c r="S33" s="1213"/>
      <c r="W33" s="1213"/>
      <c r="X33" s="1213"/>
      <c r="AE33" s="1213"/>
      <c r="AF33" s="1213"/>
      <c r="AV33" s="1213"/>
      <c r="AW33" s="1213"/>
      <c r="AX33" s="1213"/>
      <c r="AY33" s="1213"/>
      <c r="AZ33" s="1213"/>
      <c r="BA33" s="1213"/>
      <c r="BC33" s="1213"/>
      <c r="BE33" s="1213"/>
      <c r="BF33" s="1213"/>
      <c r="BG33" s="1213"/>
    </row>
    <row r="34" spans="18:59" x14ac:dyDescent="0.35">
      <c r="R34" s="1213"/>
      <c r="S34" s="1213"/>
      <c r="W34" s="1213"/>
      <c r="X34" s="1213"/>
      <c r="AE34" s="1213"/>
      <c r="AF34" s="1213"/>
      <c r="AV34" s="1213"/>
      <c r="AW34" s="1213"/>
      <c r="AX34" s="1213"/>
      <c r="AY34" s="1213"/>
      <c r="AZ34" s="1213"/>
      <c r="BA34" s="1213"/>
      <c r="BC34" s="1213"/>
      <c r="BE34" s="1213"/>
      <c r="BF34" s="1213"/>
      <c r="BG34" s="1213"/>
    </row>
    <row r="35" spans="18:59" x14ac:dyDescent="0.35">
      <c r="R35" s="1213"/>
      <c r="S35" s="1213"/>
      <c r="W35" s="1213"/>
      <c r="X35" s="1213"/>
      <c r="AE35" s="1213"/>
      <c r="AF35" s="1213"/>
      <c r="AV35" s="1213"/>
      <c r="AW35" s="1213"/>
      <c r="AX35" s="1213"/>
      <c r="AY35" s="1213"/>
      <c r="AZ35" s="1213"/>
      <c r="BA35" s="1213"/>
      <c r="BC35" s="1213"/>
      <c r="BE35" s="1213"/>
      <c r="BF35" s="1213"/>
      <c r="BG35" s="1213"/>
    </row>
    <row r="36" spans="18:59" x14ac:dyDescent="0.35">
      <c r="R36" s="1213"/>
      <c r="S36" s="1213"/>
      <c r="W36" s="1213"/>
      <c r="X36" s="1213"/>
      <c r="AE36" s="1213"/>
      <c r="AF36" s="1213"/>
      <c r="AV36" s="1213"/>
      <c r="AW36" s="1213"/>
      <c r="AX36" s="1213"/>
      <c r="AY36" s="1213"/>
      <c r="AZ36" s="1213"/>
      <c r="BA36" s="1213"/>
      <c r="BC36" s="1213"/>
      <c r="BE36" s="1213"/>
      <c r="BF36" s="1213"/>
      <c r="BG36" s="1213"/>
    </row>
    <row r="37" spans="18:59" x14ac:dyDescent="0.35">
      <c r="R37" s="1213"/>
      <c r="S37" s="1213"/>
      <c r="W37" s="1213"/>
      <c r="X37" s="1213"/>
      <c r="AE37" s="1213"/>
      <c r="AF37" s="1213"/>
      <c r="AV37" s="1213"/>
      <c r="AW37" s="1213"/>
      <c r="AX37" s="1213"/>
      <c r="AY37" s="1213"/>
      <c r="AZ37" s="1213"/>
      <c r="BA37" s="1213"/>
      <c r="BC37" s="1213"/>
      <c r="BE37" s="1213"/>
      <c r="BF37" s="1213"/>
      <c r="BG37" s="1213"/>
    </row>
    <row r="38" spans="18:59" x14ac:dyDescent="0.35">
      <c r="R38" s="1213"/>
      <c r="S38" s="1213"/>
      <c r="W38" s="1213"/>
      <c r="X38" s="1213"/>
      <c r="AE38" s="1213"/>
      <c r="AF38" s="1213"/>
      <c r="AV38" s="1213"/>
      <c r="AW38" s="1213"/>
      <c r="AX38" s="1213"/>
      <c r="AY38" s="1213"/>
      <c r="AZ38" s="1213"/>
      <c r="BA38" s="1213"/>
      <c r="BC38" s="1213"/>
      <c r="BE38" s="1213"/>
      <c r="BF38" s="1213"/>
      <c r="BG38" s="1213"/>
    </row>
    <row r="39" spans="18:59" x14ac:dyDescent="0.35">
      <c r="R39" s="1213"/>
      <c r="S39" s="1213"/>
      <c r="W39" s="1213"/>
      <c r="X39" s="1213"/>
      <c r="AE39" s="1213"/>
      <c r="AF39" s="1213"/>
      <c r="AV39" s="1213"/>
      <c r="AW39" s="1213"/>
      <c r="AX39" s="1213"/>
      <c r="AY39" s="1213"/>
      <c r="AZ39" s="1213"/>
      <c r="BA39" s="1213"/>
      <c r="BC39" s="1213"/>
      <c r="BE39" s="1213"/>
      <c r="BF39" s="1213"/>
      <c r="BG39" s="1213"/>
    </row>
    <row r="40" spans="18:59" x14ac:dyDescent="0.35">
      <c r="R40" s="1213"/>
      <c r="S40" s="1213"/>
      <c r="W40" s="1213"/>
      <c r="X40" s="1213"/>
      <c r="AE40" s="1213"/>
      <c r="AF40" s="1213"/>
      <c r="AV40" s="1213"/>
      <c r="AW40" s="1213"/>
      <c r="AX40" s="1213"/>
      <c r="AY40" s="1213"/>
      <c r="AZ40" s="1213"/>
      <c r="BA40" s="1213"/>
      <c r="BC40" s="1213"/>
      <c r="BE40" s="1213"/>
      <c r="BF40" s="1213"/>
      <c r="BG40" s="1213"/>
    </row>
    <row r="41" spans="18:59" x14ac:dyDescent="0.35">
      <c r="R41" s="1213"/>
      <c r="S41" s="1213"/>
      <c r="W41" s="1213"/>
      <c r="X41" s="1213"/>
      <c r="AE41" s="1213"/>
      <c r="AF41" s="1213"/>
      <c r="AV41" s="1213"/>
      <c r="AW41" s="1213"/>
      <c r="AX41" s="1213"/>
      <c r="AY41" s="1213"/>
      <c r="AZ41" s="1213"/>
      <c r="BA41" s="1213"/>
      <c r="BC41" s="1213"/>
      <c r="BE41" s="1213"/>
      <c r="BF41" s="1213"/>
      <c r="BG41" s="1213"/>
    </row>
    <row r="42" spans="18:59" x14ac:dyDescent="0.35">
      <c r="R42" s="1213"/>
      <c r="S42" s="1213"/>
      <c r="W42" s="1213"/>
      <c r="X42" s="1213"/>
      <c r="AE42" s="1213"/>
      <c r="AF42" s="1213"/>
      <c r="AV42" s="1213"/>
      <c r="AW42" s="1213"/>
      <c r="AX42" s="1213"/>
      <c r="AY42" s="1213"/>
      <c r="AZ42" s="1213"/>
      <c r="BA42" s="1213"/>
      <c r="BC42" s="1213"/>
      <c r="BE42" s="1213"/>
      <c r="BF42" s="1213"/>
      <c r="BG42" s="1213"/>
    </row>
    <row r="43" spans="18:59" x14ac:dyDescent="0.35">
      <c r="R43" s="1213"/>
      <c r="S43" s="1213"/>
      <c r="W43" s="1213"/>
      <c r="X43" s="1213"/>
      <c r="AE43" s="1213"/>
      <c r="AF43" s="1213"/>
      <c r="AV43" s="1213"/>
      <c r="AW43" s="1213"/>
      <c r="AX43" s="1213"/>
      <c r="AY43" s="1213"/>
      <c r="AZ43" s="1213"/>
      <c r="BA43" s="1213"/>
      <c r="BC43" s="1213"/>
      <c r="BE43" s="1213"/>
      <c r="BF43" s="1213"/>
      <c r="BG43" s="1213"/>
    </row>
    <row r="44" spans="18:59" x14ac:dyDescent="0.35">
      <c r="R44" s="1213"/>
      <c r="S44" s="1213"/>
      <c r="W44" s="1213"/>
      <c r="X44" s="1213"/>
      <c r="AE44" s="1213"/>
      <c r="AF44" s="1213"/>
      <c r="AV44" s="1213"/>
      <c r="AW44" s="1213"/>
      <c r="AX44" s="1213"/>
      <c r="AY44" s="1213"/>
      <c r="AZ44" s="1213"/>
      <c r="BA44" s="1213"/>
      <c r="BC44" s="1213"/>
      <c r="BE44" s="1213"/>
      <c r="BF44" s="1213"/>
      <c r="BG44" s="1213"/>
    </row>
    <row r="45" spans="18:59" x14ac:dyDescent="0.35">
      <c r="R45" s="1213"/>
      <c r="S45" s="1213"/>
      <c r="W45" s="1213"/>
      <c r="X45" s="1213"/>
      <c r="AE45" s="1213"/>
      <c r="AF45" s="1213"/>
      <c r="AV45" s="1213"/>
      <c r="AW45" s="1213"/>
      <c r="AX45" s="1213"/>
      <c r="AY45" s="1213"/>
      <c r="AZ45" s="1213"/>
      <c r="BA45" s="1213"/>
      <c r="BC45" s="1213"/>
      <c r="BE45" s="1213"/>
      <c r="BF45" s="1213"/>
      <c r="BG45" s="1213"/>
    </row>
    <row r="46" spans="18:59" x14ac:dyDescent="0.35">
      <c r="R46" s="1213"/>
      <c r="S46" s="1213"/>
      <c r="W46" s="1213"/>
      <c r="X46" s="1213"/>
      <c r="AE46" s="1213"/>
      <c r="AF46" s="1213"/>
      <c r="AV46" s="1213"/>
      <c r="AW46" s="1213"/>
      <c r="AX46" s="1213"/>
      <c r="AY46" s="1213"/>
      <c r="AZ46" s="1213"/>
      <c r="BA46" s="1213"/>
      <c r="BC46" s="1213"/>
      <c r="BE46" s="1213"/>
      <c r="BF46" s="1213"/>
      <c r="BG46" s="1213"/>
    </row>
    <row r="47" spans="18:59" x14ac:dyDescent="0.35">
      <c r="R47" s="1213"/>
      <c r="S47" s="1213"/>
      <c r="W47" s="1213"/>
      <c r="X47" s="1213"/>
      <c r="AE47" s="1213"/>
      <c r="AF47" s="1213"/>
      <c r="AV47" s="1213"/>
      <c r="AW47" s="1213"/>
      <c r="AX47" s="1213"/>
      <c r="AY47" s="1213"/>
      <c r="AZ47" s="1213"/>
      <c r="BA47" s="1213"/>
      <c r="BC47" s="1213"/>
      <c r="BE47" s="1213"/>
      <c r="BF47" s="1213"/>
      <c r="BG47" s="1213"/>
    </row>
    <row r="48" spans="18:59" x14ac:dyDescent="0.35">
      <c r="R48" s="1213"/>
      <c r="S48" s="1213"/>
      <c r="W48" s="1213"/>
      <c r="X48" s="1213"/>
      <c r="AE48" s="1213"/>
      <c r="AF48" s="1213"/>
      <c r="AV48" s="1213"/>
      <c r="AW48" s="1213"/>
      <c r="AX48" s="1213"/>
      <c r="AY48" s="1213"/>
      <c r="AZ48" s="1213"/>
      <c r="BA48" s="1213"/>
      <c r="BC48" s="1213"/>
      <c r="BE48" s="1213"/>
      <c r="BF48" s="1213"/>
      <c r="BG48" s="1213"/>
    </row>
    <row r="49" spans="18:59" x14ac:dyDescent="0.35">
      <c r="R49" s="1213"/>
      <c r="S49" s="1213"/>
      <c r="W49" s="1213"/>
      <c r="X49" s="1213"/>
      <c r="AE49" s="1213"/>
      <c r="AF49" s="1213"/>
      <c r="AV49" s="1213"/>
      <c r="AW49" s="1213"/>
      <c r="AX49" s="1213"/>
      <c r="AY49" s="1213"/>
      <c r="AZ49" s="1213"/>
      <c r="BA49" s="1213"/>
      <c r="BC49" s="1213"/>
      <c r="BE49" s="1213"/>
      <c r="BF49" s="1213"/>
      <c r="BG49" s="1213"/>
    </row>
    <row r="50" spans="18:59" x14ac:dyDescent="0.35">
      <c r="R50" s="1213"/>
      <c r="S50" s="1213"/>
      <c r="W50" s="1213"/>
      <c r="X50" s="1213"/>
      <c r="AE50" s="1213"/>
      <c r="AF50" s="1213"/>
      <c r="AV50" s="1213"/>
      <c r="AW50" s="1213"/>
      <c r="AX50" s="1213"/>
      <c r="AY50" s="1213"/>
      <c r="AZ50" s="1213"/>
      <c r="BA50" s="1213"/>
      <c r="BC50" s="1213"/>
      <c r="BE50" s="1213"/>
      <c r="BF50" s="1213"/>
      <c r="BG50" s="1213"/>
    </row>
    <row r="51" spans="18:59" x14ac:dyDescent="0.35">
      <c r="R51" s="1213"/>
      <c r="S51" s="1213"/>
      <c r="W51" s="1213"/>
      <c r="X51" s="1213"/>
      <c r="AE51" s="1213"/>
      <c r="AF51" s="1213"/>
      <c r="AV51" s="1213"/>
      <c r="AW51" s="1213"/>
      <c r="AX51" s="1213"/>
      <c r="AY51" s="1213"/>
      <c r="AZ51" s="1213"/>
      <c r="BA51" s="1213"/>
      <c r="BC51" s="1213"/>
      <c r="BE51" s="1213"/>
      <c r="BF51" s="1213"/>
      <c r="BG51" s="1213"/>
    </row>
    <row r="52" spans="18:59" x14ac:dyDescent="0.35">
      <c r="R52" s="1213"/>
      <c r="S52" s="1213"/>
      <c r="W52" s="1213"/>
      <c r="X52" s="1213"/>
      <c r="AE52" s="1213"/>
      <c r="AF52" s="1213"/>
      <c r="AV52" s="1213"/>
      <c r="AW52" s="1213"/>
      <c r="AX52" s="1213"/>
      <c r="AY52" s="1213"/>
      <c r="AZ52" s="1213"/>
      <c r="BA52" s="1213"/>
      <c r="BC52" s="1213"/>
      <c r="BE52" s="1213"/>
      <c r="BF52" s="1213"/>
      <c r="BG52" s="1213"/>
    </row>
    <row r="53" spans="18:59" x14ac:dyDescent="0.35">
      <c r="R53" s="1213"/>
      <c r="S53" s="1213"/>
      <c r="W53" s="1213"/>
      <c r="X53" s="1213"/>
      <c r="AE53" s="1213"/>
      <c r="AF53" s="1213"/>
      <c r="AV53" s="1213"/>
      <c r="AW53" s="1213"/>
      <c r="AX53" s="1213"/>
      <c r="AY53" s="1213"/>
      <c r="AZ53" s="1213"/>
      <c r="BA53" s="1213"/>
      <c r="BC53" s="1213"/>
      <c r="BE53" s="1213"/>
      <c r="BF53" s="1213"/>
      <c r="BG53" s="1213"/>
    </row>
    <row r="54" spans="18:59" x14ac:dyDescent="0.35">
      <c r="R54" s="1213"/>
      <c r="S54" s="1213"/>
      <c r="W54" s="1213"/>
      <c r="X54" s="1213"/>
      <c r="AE54" s="1213"/>
      <c r="AF54" s="1213"/>
      <c r="AV54" s="1213"/>
      <c r="AW54" s="1213"/>
      <c r="AX54" s="1213"/>
      <c r="AY54" s="1213"/>
      <c r="AZ54" s="1213"/>
      <c r="BA54" s="1213"/>
      <c r="BC54" s="1213"/>
      <c r="BE54" s="1213"/>
      <c r="BF54" s="1213"/>
      <c r="BG54" s="1213"/>
    </row>
    <row r="55" spans="18:59" x14ac:dyDescent="0.35">
      <c r="R55" s="1213"/>
      <c r="S55" s="1213"/>
      <c r="W55" s="1213"/>
      <c r="X55" s="1213"/>
      <c r="AE55" s="1213"/>
      <c r="AF55" s="1213"/>
      <c r="AV55" s="1213"/>
      <c r="AW55" s="1213"/>
      <c r="AX55" s="1213"/>
      <c r="AY55" s="1213"/>
      <c r="AZ55" s="1213"/>
      <c r="BA55" s="1213"/>
      <c r="BC55" s="1213"/>
      <c r="BE55" s="1213"/>
      <c r="BF55" s="1213"/>
      <c r="BG55" s="1213"/>
    </row>
    <row r="56" spans="18:59" x14ac:dyDescent="0.35">
      <c r="R56" s="1213"/>
      <c r="S56" s="1213"/>
      <c r="W56" s="1213"/>
      <c r="X56" s="1213"/>
      <c r="AE56" s="1213"/>
      <c r="AF56" s="1213"/>
      <c r="AV56" s="1213"/>
      <c r="AW56" s="1213"/>
      <c r="AX56" s="1213"/>
      <c r="AY56" s="1213"/>
      <c r="AZ56" s="1213"/>
      <c r="BA56" s="1213"/>
      <c r="BC56" s="1213"/>
      <c r="BE56" s="1213"/>
      <c r="BF56" s="1213"/>
      <c r="BG56" s="1213"/>
    </row>
    <row r="57" spans="18:59" x14ac:dyDescent="0.35">
      <c r="R57" s="1213"/>
      <c r="S57" s="1213"/>
      <c r="W57" s="1213"/>
      <c r="X57" s="1213"/>
      <c r="AE57" s="1213"/>
      <c r="AF57" s="1213"/>
      <c r="AV57" s="1213"/>
      <c r="AW57" s="1213"/>
      <c r="AX57" s="1213"/>
      <c r="AY57" s="1213"/>
      <c r="AZ57" s="1213"/>
      <c r="BA57" s="1213"/>
      <c r="BC57" s="1213"/>
      <c r="BE57" s="1213"/>
      <c r="BF57" s="1213"/>
      <c r="BG57" s="1213"/>
    </row>
    <row r="58" spans="18:59" x14ac:dyDescent="0.35">
      <c r="R58" s="1213"/>
      <c r="S58" s="1213"/>
      <c r="W58" s="1213"/>
      <c r="X58" s="1213"/>
      <c r="AE58" s="1213"/>
      <c r="AF58" s="1213"/>
      <c r="AV58" s="1213"/>
      <c r="AW58" s="1213"/>
      <c r="AX58" s="1213"/>
      <c r="AY58" s="1213"/>
      <c r="AZ58" s="1213"/>
      <c r="BA58" s="1213"/>
      <c r="BC58" s="1213"/>
      <c r="BE58" s="1213"/>
      <c r="BF58" s="1213"/>
      <c r="BG58" s="1213"/>
    </row>
    <row r="59" spans="18:59" x14ac:dyDescent="0.35">
      <c r="R59" s="1213"/>
      <c r="S59" s="1213"/>
      <c r="W59" s="1213"/>
      <c r="X59" s="1213"/>
      <c r="AE59" s="1213"/>
      <c r="AF59" s="1213"/>
      <c r="AV59" s="1213"/>
      <c r="AW59" s="1213"/>
      <c r="AX59" s="1213"/>
      <c r="AY59" s="1213"/>
      <c r="AZ59" s="1213"/>
      <c r="BA59" s="1213"/>
      <c r="BC59" s="1213"/>
      <c r="BE59" s="1213"/>
      <c r="BF59" s="1213"/>
      <c r="BG59" s="1213"/>
    </row>
    <row r="60" spans="18:59" x14ac:dyDescent="0.35">
      <c r="R60" s="1213"/>
      <c r="S60" s="1213"/>
      <c r="W60" s="1213"/>
      <c r="X60" s="1213"/>
      <c r="AE60" s="1213"/>
      <c r="AF60" s="1213"/>
      <c r="AV60" s="1213"/>
      <c r="AW60" s="1213"/>
      <c r="AX60" s="1213"/>
      <c r="AY60" s="1213"/>
      <c r="AZ60" s="1213"/>
      <c r="BA60" s="1213"/>
      <c r="BC60" s="1213"/>
      <c r="BE60" s="1213"/>
      <c r="BF60" s="1213"/>
      <c r="BG60" s="1213"/>
    </row>
    <row r="61" spans="18:59" x14ac:dyDescent="0.35">
      <c r="R61" s="1213"/>
      <c r="S61" s="1213"/>
      <c r="W61" s="1213"/>
      <c r="X61" s="1213"/>
      <c r="AE61" s="1213"/>
      <c r="AF61" s="1213"/>
      <c r="AV61" s="1213"/>
      <c r="AW61" s="1213"/>
      <c r="AX61" s="1213"/>
      <c r="AY61" s="1213"/>
      <c r="AZ61" s="1213"/>
      <c r="BA61" s="1213"/>
      <c r="BC61" s="1213"/>
      <c r="BE61" s="1213"/>
      <c r="BF61" s="1213"/>
      <c r="BG61" s="1213"/>
    </row>
    <row r="62" spans="18:59" x14ac:dyDescent="0.35">
      <c r="R62" s="1213"/>
      <c r="S62" s="1213"/>
      <c r="W62" s="1213"/>
      <c r="X62" s="1213"/>
      <c r="AE62" s="1213"/>
      <c r="AF62" s="1213"/>
      <c r="AV62" s="1213"/>
      <c r="AW62" s="1213"/>
      <c r="AX62" s="1213"/>
      <c r="AY62" s="1213"/>
      <c r="AZ62" s="1213"/>
      <c r="BA62" s="1213"/>
      <c r="BC62" s="1213"/>
      <c r="BE62" s="1213"/>
      <c r="BF62" s="1213"/>
      <c r="BG62" s="1213"/>
    </row>
    <row r="63" spans="18:59" x14ac:dyDescent="0.35">
      <c r="R63" s="1213"/>
      <c r="S63" s="1213"/>
      <c r="W63" s="1213"/>
      <c r="X63" s="1213"/>
      <c r="AE63" s="1213"/>
      <c r="AF63" s="1213"/>
      <c r="AV63" s="1213"/>
      <c r="AW63" s="1213"/>
      <c r="AX63" s="1213"/>
      <c r="AY63" s="1213"/>
      <c r="AZ63" s="1213"/>
      <c r="BA63" s="1213"/>
      <c r="BC63" s="1213"/>
      <c r="BE63" s="1213"/>
      <c r="BF63" s="1213"/>
      <c r="BG63" s="1213"/>
    </row>
    <row r="64" spans="18:59" x14ac:dyDescent="0.35">
      <c r="R64" s="1213"/>
      <c r="S64" s="1213"/>
      <c r="W64" s="1213"/>
      <c r="X64" s="1213"/>
      <c r="AE64" s="1213"/>
      <c r="AF64" s="1213"/>
      <c r="AV64" s="1213"/>
      <c r="AW64" s="1213"/>
      <c r="AX64" s="1213"/>
      <c r="AY64" s="1213"/>
      <c r="AZ64" s="1213"/>
      <c r="BA64" s="1213"/>
      <c r="BC64" s="1213"/>
      <c r="BE64" s="1213"/>
      <c r="BF64" s="1213"/>
      <c r="BG64" s="1213"/>
    </row>
    <row r="65" spans="18:59" x14ac:dyDescent="0.35">
      <c r="R65" s="1213"/>
      <c r="S65" s="1213"/>
      <c r="W65" s="1213"/>
      <c r="X65" s="1213"/>
      <c r="AE65" s="1213"/>
      <c r="AF65" s="1213"/>
      <c r="AV65" s="1213"/>
      <c r="AW65" s="1213"/>
      <c r="AX65" s="1213"/>
      <c r="AY65" s="1213"/>
      <c r="AZ65" s="1213"/>
      <c r="BA65" s="1213"/>
      <c r="BC65" s="1213"/>
      <c r="BE65" s="1213"/>
      <c r="BF65" s="1213"/>
      <c r="BG65" s="1213"/>
    </row>
    <row r="66" spans="18:59" x14ac:dyDescent="0.35">
      <c r="R66" s="1213"/>
      <c r="S66" s="1213"/>
      <c r="W66" s="1213"/>
      <c r="X66" s="1213"/>
      <c r="AE66" s="1213"/>
      <c r="AF66" s="1213"/>
      <c r="AV66" s="1213"/>
      <c r="AW66" s="1213"/>
      <c r="AX66" s="1213"/>
      <c r="AY66" s="1213"/>
      <c r="AZ66" s="1213"/>
      <c r="BA66" s="1213"/>
      <c r="BC66" s="1213"/>
      <c r="BE66" s="1213"/>
      <c r="BF66" s="1213"/>
      <c r="BG66" s="1213"/>
    </row>
    <row r="67" spans="18:59" x14ac:dyDescent="0.35">
      <c r="R67" s="1213"/>
      <c r="S67" s="1213"/>
      <c r="W67" s="1213"/>
      <c r="X67" s="1213"/>
      <c r="AE67" s="1213"/>
      <c r="AF67" s="1213"/>
      <c r="AV67" s="1213"/>
      <c r="AW67" s="1213"/>
      <c r="AX67" s="1213"/>
      <c r="AY67" s="1213"/>
      <c r="AZ67" s="1213"/>
      <c r="BA67" s="1213"/>
      <c r="BC67" s="1213"/>
      <c r="BE67" s="1213"/>
      <c r="BF67" s="1213"/>
      <c r="BG67" s="1213"/>
    </row>
    <row r="68" spans="18:59" x14ac:dyDescent="0.35">
      <c r="R68" s="1213"/>
      <c r="S68" s="1213"/>
      <c r="W68" s="1213"/>
      <c r="X68" s="1213"/>
      <c r="AE68" s="1213"/>
      <c r="AF68" s="1213"/>
      <c r="AV68" s="1213"/>
      <c r="AW68" s="1213"/>
      <c r="AX68" s="1213"/>
      <c r="AY68" s="1213"/>
      <c r="AZ68" s="1213"/>
      <c r="BA68" s="1213"/>
      <c r="BC68" s="1213"/>
      <c r="BE68" s="1213"/>
      <c r="BF68" s="1213"/>
      <c r="BG68" s="1213"/>
    </row>
    <row r="69" spans="18:59" x14ac:dyDescent="0.35">
      <c r="R69" s="1213"/>
      <c r="S69" s="1213"/>
      <c r="W69" s="1213"/>
      <c r="X69" s="1213"/>
      <c r="AE69" s="1213"/>
      <c r="AF69" s="1213"/>
      <c r="AV69" s="1213"/>
      <c r="AW69" s="1213"/>
      <c r="AX69" s="1213"/>
      <c r="AY69" s="1213"/>
      <c r="AZ69" s="1213"/>
      <c r="BA69" s="1213"/>
      <c r="BC69" s="1213"/>
      <c r="BE69" s="1213"/>
      <c r="BF69" s="1213"/>
      <c r="BG69" s="1213"/>
    </row>
    <row r="70" spans="18:59" x14ac:dyDescent="0.35">
      <c r="R70" s="1213"/>
      <c r="S70" s="1213"/>
      <c r="W70" s="1213"/>
      <c r="X70" s="1213"/>
      <c r="AE70" s="1213"/>
      <c r="AF70" s="1213"/>
      <c r="AV70" s="1213"/>
      <c r="AW70" s="1213"/>
      <c r="AX70" s="1213"/>
      <c r="AY70" s="1213"/>
      <c r="AZ70" s="1213"/>
      <c r="BA70" s="1213"/>
      <c r="BC70" s="1213"/>
      <c r="BE70" s="1213"/>
      <c r="BF70" s="1213"/>
      <c r="BG70" s="1213"/>
    </row>
    <row r="71" spans="18:59" x14ac:dyDescent="0.35">
      <c r="R71" s="1213"/>
      <c r="S71" s="1213"/>
      <c r="W71" s="1213"/>
      <c r="X71" s="1213"/>
      <c r="AE71" s="1213"/>
      <c r="AF71" s="1213"/>
      <c r="AV71" s="1213"/>
      <c r="AW71" s="1213"/>
      <c r="AX71" s="1213"/>
      <c r="AY71" s="1213"/>
      <c r="AZ71" s="1213"/>
      <c r="BA71" s="1213"/>
      <c r="BC71" s="1213"/>
      <c r="BE71" s="1213"/>
      <c r="BF71" s="1213"/>
      <c r="BG71" s="1213"/>
    </row>
    <row r="72" spans="18:59" x14ac:dyDescent="0.35">
      <c r="R72" s="1213"/>
      <c r="S72" s="1213"/>
      <c r="W72" s="1213"/>
      <c r="X72" s="1213"/>
      <c r="AE72" s="1213"/>
      <c r="AF72" s="1213"/>
      <c r="AV72" s="1213"/>
      <c r="AW72" s="1213"/>
      <c r="AX72" s="1213"/>
      <c r="AY72" s="1213"/>
      <c r="AZ72" s="1213"/>
      <c r="BA72" s="1213"/>
      <c r="BC72" s="1213"/>
      <c r="BE72" s="1213"/>
      <c r="BF72" s="1213"/>
      <c r="BG72" s="1213"/>
    </row>
    <row r="73" spans="18:59" x14ac:dyDescent="0.35">
      <c r="R73" s="1213"/>
      <c r="S73" s="1213"/>
      <c r="W73" s="1213"/>
      <c r="X73" s="1213"/>
      <c r="AE73" s="1213"/>
      <c r="AF73" s="1213"/>
      <c r="AV73" s="1213"/>
      <c r="AW73" s="1213"/>
      <c r="AX73" s="1213"/>
      <c r="AY73" s="1213"/>
      <c r="AZ73" s="1213"/>
      <c r="BA73" s="1213"/>
      <c r="BC73" s="1213"/>
      <c r="BE73" s="1213"/>
      <c r="BF73" s="1213"/>
      <c r="BG73" s="1213"/>
    </row>
    <row r="74" spans="18:59" x14ac:dyDescent="0.35">
      <c r="R74" s="1213"/>
      <c r="S74" s="1213"/>
      <c r="W74" s="1213"/>
      <c r="X74" s="1213"/>
      <c r="AE74" s="1213"/>
      <c r="AF74" s="1213"/>
      <c r="AV74" s="1213"/>
      <c r="AW74" s="1213"/>
      <c r="AX74" s="1213"/>
      <c r="AY74" s="1213"/>
      <c r="AZ74" s="1213"/>
      <c r="BA74" s="1213"/>
      <c r="BC74" s="1213"/>
      <c r="BE74" s="1213"/>
      <c r="BF74" s="1213"/>
      <c r="BG74" s="1213"/>
    </row>
    <row r="75" spans="18:59" x14ac:dyDescent="0.35">
      <c r="R75" s="1213"/>
      <c r="S75" s="1213"/>
      <c r="W75" s="1213"/>
      <c r="X75" s="1213"/>
      <c r="AE75" s="1213"/>
      <c r="AF75" s="1213"/>
      <c r="AV75" s="1213"/>
      <c r="AW75" s="1213"/>
      <c r="AX75" s="1213"/>
      <c r="AY75" s="1213"/>
      <c r="AZ75" s="1213"/>
      <c r="BA75" s="1213"/>
      <c r="BC75" s="1213"/>
      <c r="BE75" s="1213"/>
      <c r="BF75" s="1213"/>
      <c r="BG75" s="1213"/>
    </row>
    <row r="76" spans="18:59" x14ac:dyDescent="0.35">
      <c r="R76" s="1213"/>
      <c r="S76" s="1213"/>
      <c r="W76" s="1213"/>
      <c r="X76" s="1213"/>
      <c r="AE76" s="1213"/>
      <c r="AF76" s="1213"/>
      <c r="AV76" s="1213"/>
      <c r="AW76" s="1213"/>
      <c r="AX76" s="1213"/>
      <c r="AY76" s="1213"/>
      <c r="AZ76" s="1213"/>
      <c r="BA76" s="1213"/>
      <c r="BC76" s="1213"/>
      <c r="BE76" s="1213"/>
      <c r="BF76" s="1213"/>
      <c r="BG76" s="1213"/>
    </row>
    <row r="77" spans="18:59" x14ac:dyDescent="0.35">
      <c r="R77" s="1213"/>
      <c r="S77" s="1213"/>
      <c r="W77" s="1213"/>
      <c r="X77" s="1213"/>
      <c r="AE77" s="1213"/>
      <c r="AF77" s="1213"/>
      <c r="AV77" s="1213"/>
      <c r="AW77" s="1213"/>
      <c r="AX77" s="1213"/>
      <c r="AY77" s="1213"/>
      <c r="AZ77" s="1213"/>
      <c r="BA77" s="1213"/>
      <c r="BC77" s="1213"/>
      <c r="BE77" s="1213"/>
      <c r="BF77" s="1213"/>
      <c r="BG77" s="1213"/>
    </row>
    <row r="78" spans="18:59" x14ac:dyDescent="0.35">
      <c r="R78" s="1213"/>
      <c r="S78" s="1213"/>
      <c r="W78" s="1213"/>
      <c r="X78" s="1213"/>
      <c r="AE78" s="1213"/>
      <c r="AF78" s="1213"/>
      <c r="AV78" s="1213"/>
      <c r="AW78" s="1213"/>
      <c r="AX78" s="1213"/>
      <c r="AY78" s="1213"/>
      <c r="AZ78" s="1213"/>
      <c r="BA78" s="1213"/>
      <c r="BC78" s="1213"/>
      <c r="BE78" s="1213"/>
      <c r="BF78" s="1213"/>
      <c r="BG78" s="1213"/>
    </row>
    <row r="79" spans="18:59" x14ac:dyDescent="0.35">
      <c r="R79" s="1213"/>
      <c r="S79" s="1213"/>
      <c r="W79" s="1213"/>
      <c r="X79" s="1213"/>
      <c r="AE79" s="1213"/>
      <c r="AF79" s="1213"/>
      <c r="AV79" s="1213"/>
      <c r="AW79" s="1213"/>
      <c r="AX79" s="1213"/>
      <c r="AY79" s="1213"/>
      <c r="AZ79" s="1213"/>
      <c r="BA79" s="1213"/>
      <c r="BC79" s="1213"/>
      <c r="BE79" s="1213"/>
      <c r="BF79" s="1213"/>
      <c r="BG79" s="1213"/>
    </row>
    <row r="80" spans="18:59" x14ac:dyDescent="0.35">
      <c r="R80" s="1213"/>
      <c r="S80" s="1213"/>
      <c r="W80" s="1213"/>
      <c r="X80" s="1213"/>
      <c r="AE80" s="1213"/>
      <c r="AF80" s="1213"/>
      <c r="AV80" s="1213"/>
      <c r="AW80" s="1213"/>
      <c r="AX80" s="1213"/>
      <c r="AY80" s="1213"/>
      <c r="AZ80" s="1213"/>
      <c r="BA80" s="1213"/>
      <c r="BC80" s="1213"/>
      <c r="BE80" s="1213"/>
      <c r="BF80" s="1213"/>
      <c r="BG80" s="1213"/>
    </row>
    <row r="81" spans="18:59" x14ac:dyDescent="0.35">
      <c r="R81" s="1213"/>
      <c r="S81" s="1213"/>
      <c r="W81" s="1213"/>
      <c r="X81" s="1213"/>
      <c r="AE81" s="1213"/>
      <c r="AF81" s="1213"/>
      <c r="AV81" s="1213"/>
      <c r="AW81" s="1213"/>
      <c r="AX81" s="1213"/>
      <c r="AY81" s="1213"/>
      <c r="AZ81" s="1213"/>
      <c r="BA81" s="1213"/>
      <c r="BC81" s="1213"/>
      <c r="BE81" s="1213"/>
      <c r="BF81" s="1213"/>
      <c r="BG81" s="1213"/>
    </row>
    <row r="82" spans="18:59" x14ac:dyDescent="0.35">
      <c r="R82" s="1213"/>
      <c r="S82" s="1213"/>
      <c r="W82" s="1213"/>
      <c r="X82" s="1213"/>
      <c r="AE82" s="1213"/>
      <c r="AF82" s="1213"/>
      <c r="AV82" s="1213"/>
      <c r="AW82" s="1213"/>
      <c r="AX82" s="1213"/>
      <c r="AY82" s="1213"/>
      <c r="AZ82" s="1213"/>
      <c r="BA82" s="1213"/>
      <c r="BC82" s="1213"/>
      <c r="BE82" s="1213"/>
      <c r="BF82" s="1213"/>
      <c r="BG82" s="1213"/>
    </row>
    <row r="83" spans="18:59" x14ac:dyDescent="0.35">
      <c r="R83" s="1213"/>
      <c r="S83" s="1213"/>
      <c r="W83" s="1213"/>
      <c r="X83" s="1213"/>
      <c r="AE83" s="1213"/>
      <c r="AF83" s="1213"/>
      <c r="AV83" s="1213"/>
      <c r="AW83" s="1213"/>
      <c r="AX83" s="1213"/>
      <c r="AY83" s="1213"/>
      <c r="AZ83" s="1213"/>
      <c r="BA83" s="1213"/>
      <c r="BC83" s="1213"/>
      <c r="BE83" s="1213"/>
      <c r="BF83" s="1213"/>
      <c r="BG83" s="1213"/>
    </row>
    <row r="84" spans="18:59" x14ac:dyDescent="0.35">
      <c r="R84" s="1213"/>
      <c r="S84" s="1213"/>
      <c r="W84" s="1213"/>
      <c r="X84" s="1213"/>
      <c r="AE84" s="1213"/>
      <c r="AF84" s="1213"/>
      <c r="AV84" s="1213"/>
      <c r="AW84" s="1213"/>
      <c r="AX84" s="1213"/>
      <c r="AY84" s="1213"/>
      <c r="AZ84" s="1213"/>
      <c r="BA84" s="1213"/>
      <c r="BC84" s="1213"/>
      <c r="BE84" s="1213"/>
      <c r="BF84" s="1213"/>
      <c r="BG84" s="1213"/>
    </row>
    <row r="85" spans="18:59" x14ac:dyDescent="0.35">
      <c r="R85" s="1213"/>
      <c r="S85" s="1213"/>
      <c r="W85" s="1213"/>
      <c r="X85" s="1213"/>
      <c r="AE85" s="1213"/>
      <c r="AF85" s="1213"/>
      <c r="AV85" s="1213"/>
      <c r="AW85" s="1213"/>
      <c r="AX85" s="1213"/>
      <c r="AY85" s="1213"/>
      <c r="AZ85" s="1213"/>
      <c r="BA85" s="1213"/>
      <c r="BC85" s="1213"/>
      <c r="BE85" s="1213"/>
      <c r="BF85" s="1213"/>
      <c r="BG85" s="1213"/>
    </row>
    <row r="86" spans="18:59" x14ac:dyDescent="0.35">
      <c r="R86" s="1213"/>
      <c r="S86" s="1213"/>
      <c r="W86" s="1213"/>
      <c r="X86" s="1213"/>
      <c r="AE86" s="1213"/>
      <c r="AF86" s="1213"/>
      <c r="AV86" s="1213"/>
      <c r="AW86" s="1213"/>
      <c r="AX86" s="1213"/>
      <c r="AY86" s="1213"/>
      <c r="AZ86" s="1213"/>
      <c r="BA86" s="1213"/>
      <c r="BC86" s="1213"/>
      <c r="BE86" s="1213"/>
      <c r="BF86" s="1213"/>
      <c r="BG86" s="1213"/>
    </row>
    <row r="87" spans="18:59" x14ac:dyDescent="0.35">
      <c r="R87" s="1213"/>
      <c r="S87" s="1213"/>
      <c r="W87" s="1213"/>
      <c r="X87" s="1213"/>
      <c r="AE87" s="1213"/>
      <c r="AF87" s="1213"/>
      <c r="AV87" s="1213"/>
      <c r="AW87" s="1213"/>
      <c r="AX87" s="1213"/>
      <c r="AY87" s="1213"/>
      <c r="AZ87" s="1213"/>
      <c r="BA87" s="1213"/>
      <c r="BC87" s="1213"/>
      <c r="BE87" s="1213"/>
      <c r="BF87" s="1213"/>
      <c r="BG87" s="1213"/>
    </row>
    <row r="88" spans="18:59" x14ac:dyDescent="0.35">
      <c r="R88" s="1213"/>
      <c r="S88" s="1213"/>
      <c r="W88" s="1213"/>
      <c r="X88" s="1213"/>
      <c r="AE88" s="1213"/>
      <c r="AF88" s="1213"/>
      <c r="AV88" s="1213"/>
      <c r="AW88" s="1213"/>
      <c r="AX88" s="1213"/>
      <c r="AY88" s="1213"/>
      <c r="AZ88" s="1213"/>
      <c r="BA88" s="1213"/>
      <c r="BC88" s="1213"/>
      <c r="BE88" s="1213"/>
      <c r="BF88" s="1213"/>
      <c r="BG88" s="1213"/>
    </row>
    <row r="89" spans="18:59" x14ac:dyDescent="0.35">
      <c r="R89" s="1213"/>
      <c r="S89" s="1213"/>
      <c r="W89" s="1213"/>
      <c r="X89" s="1213"/>
      <c r="AE89" s="1213"/>
      <c r="AF89" s="1213"/>
      <c r="AV89" s="1213"/>
      <c r="AW89" s="1213"/>
      <c r="AX89" s="1213"/>
      <c r="AY89" s="1213"/>
      <c r="AZ89" s="1213"/>
      <c r="BA89" s="1213"/>
      <c r="BC89" s="1213"/>
      <c r="BE89" s="1213"/>
      <c r="BF89" s="1213"/>
      <c r="BG89" s="1213"/>
    </row>
    <row r="90" spans="18:59" x14ac:dyDescent="0.35">
      <c r="R90" s="1213"/>
      <c r="S90" s="1213"/>
      <c r="W90" s="1213"/>
      <c r="X90" s="1213"/>
      <c r="AE90" s="1213"/>
      <c r="AF90" s="1213"/>
      <c r="AV90" s="1213"/>
      <c r="AW90" s="1213"/>
      <c r="AX90" s="1213"/>
      <c r="AY90" s="1213"/>
      <c r="AZ90" s="1213"/>
      <c r="BA90" s="1213"/>
      <c r="BC90" s="1213"/>
      <c r="BE90" s="1213"/>
      <c r="BF90" s="1213"/>
      <c r="BG90" s="1213"/>
    </row>
    <row r="91" spans="18:59" x14ac:dyDescent="0.35">
      <c r="R91" s="1213"/>
      <c r="S91" s="1213"/>
      <c r="W91" s="1213"/>
      <c r="X91" s="1213"/>
      <c r="AE91" s="1213"/>
      <c r="AF91" s="1213"/>
      <c r="AV91" s="1213"/>
      <c r="AW91" s="1213"/>
      <c r="AX91" s="1213"/>
      <c r="AY91" s="1213"/>
      <c r="AZ91" s="1213"/>
      <c r="BA91" s="1213"/>
      <c r="BC91" s="1213"/>
      <c r="BE91" s="1213"/>
      <c r="BF91" s="1213"/>
      <c r="BG91" s="1213"/>
    </row>
    <row r="92" spans="18:59" x14ac:dyDescent="0.35">
      <c r="R92" s="1213"/>
      <c r="S92" s="1213"/>
      <c r="W92" s="1213"/>
      <c r="X92" s="1213"/>
      <c r="AE92" s="1213"/>
      <c r="AF92" s="1213"/>
      <c r="AV92" s="1213"/>
      <c r="AW92" s="1213"/>
      <c r="AX92" s="1213"/>
      <c r="AY92" s="1213"/>
      <c r="AZ92" s="1213"/>
      <c r="BA92" s="1213"/>
      <c r="BC92" s="1213"/>
      <c r="BE92" s="1213"/>
      <c r="BF92" s="1213"/>
      <c r="BG92" s="1213"/>
    </row>
    <row r="93" spans="18:59" x14ac:dyDescent="0.35">
      <c r="R93" s="1213"/>
      <c r="S93" s="1213"/>
      <c r="W93" s="1213"/>
      <c r="X93" s="1213"/>
      <c r="AE93" s="1213"/>
      <c r="AF93" s="1213"/>
      <c r="AV93" s="1213"/>
      <c r="AW93" s="1213"/>
      <c r="AX93" s="1213"/>
      <c r="AY93" s="1213"/>
      <c r="AZ93" s="1213"/>
      <c r="BA93" s="1213"/>
      <c r="BC93" s="1213"/>
      <c r="BE93" s="1213"/>
      <c r="BF93" s="1213"/>
      <c r="BG93" s="1213"/>
    </row>
    <row r="94" spans="18:59" x14ac:dyDescent="0.35">
      <c r="R94" s="1213"/>
      <c r="S94" s="1213"/>
      <c r="W94" s="1213"/>
      <c r="X94" s="1213"/>
      <c r="AE94" s="1213"/>
      <c r="AF94" s="1213"/>
      <c r="AV94" s="1213"/>
      <c r="AW94" s="1213"/>
      <c r="AX94" s="1213"/>
      <c r="AY94" s="1213"/>
      <c r="AZ94" s="1213"/>
      <c r="BA94" s="1213"/>
      <c r="BC94" s="1213"/>
      <c r="BE94" s="1213"/>
      <c r="BF94" s="1213"/>
      <c r="BG94" s="1213"/>
    </row>
    <row r="95" spans="18:59" x14ac:dyDescent="0.35">
      <c r="R95" s="1213"/>
      <c r="S95" s="1213"/>
      <c r="W95" s="1213"/>
      <c r="X95" s="1213"/>
      <c r="AE95" s="1213"/>
      <c r="AF95" s="1213"/>
      <c r="AV95" s="1213"/>
      <c r="AW95" s="1213"/>
      <c r="AX95" s="1213"/>
      <c r="AY95" s="1213"/>
      <c r="AZ95" s="1213"/>
      <c r="BA95" s="1213"/>
      <c r="BC95" s="1213"/>
      <c r="BE95" s="1213"/>
      <c r="BF95" s="1213"/>
      <c r="BG95" s="1213"/>
    </row>
    <row r="96" spans="18:59" x14ac:dyDescent="0.35">
      <c r="R96" s="1213"/>
      <c r="S96" s="1213"/>
      <c r="W96" s="1213"/>
      <c r="X96" s="1213"/>
      <c r="AE96" s="1213"/>
      <c r="AF96" s="1213"/>
      <c r="AV96" s="1213"/>
      <c r="AW96" s="1213"/>
      <c r="AX96" s="1213"/>
      <c r="AY96" s="1213"/>
      <c r="AZ96" s="1213"/>
      <c r="BA96" s="1213"/>
      <c r="BC96" s="1213"/>
      <c r="BE96" s="1213"/>
      <c r="BF96" s="1213"/>
      <c r="BG96" s="1213"/>
    </row>
    <row r="97" spans="18:59" x14ac:dyDescent="0.35">
      <c r="R97" s="1213"/>
      <c r="S97" s="1213"/>
      <c r="W97" s="1213"/>
      <c r="X97" s="1213"/>
      <c r="AE97" s="1213"/>
      <c r="AF97" s="1213"/>
      <c r="AV97" s="1213"/>
      <c r="AW97" s="1213"/>
      <c r="AX97" s="1213"/>
      <c r="AY97" s="1213"/>
      <c r="AZ97" s="1213"/>
      <c r="BA97" s="1213"/>
      <c r="BC97" s="1213"/>
      <c r="BE97" s="1213"/>
      <c r="BF97" s="1213"/>
      <c r="BG97" s="1213"/>
    </row>
    <row r="98" spans="18:59" x14ac:dyDescent="0.35">
      <c r="R98" s="1213"/>
      <c r="S98" s="1213"/>
      <c r="W98" s="1213"/>
      <c r="X98" s="1213"/>
      <c r="AE98" s="1213"/>
      <c r="AF98" s="1213"/>
      <c r="AV98" s="1213"/>
      <c r="AW98" s="1213"/>
      <c r="AX98" s="1213"/>
      <c r="AY98" s="1213"/>
      <c r="AZ98" s="1213"/>
      <c r="BA98" s="1213"/>
      <c r="BC98" s="1213"/>
      <c r="BE98" s="1213"/>
      <c r="BF98" s="1213"/>
      <c r="BG98" s="1213"/>
    </row>
    <row r="99" spans="18:59" x14ac:dyDescent="0.35">
      <c r="R99" s="1213"/>
      <c r="S99" s="1213"/>
      <c r="W99" s="1213"/>
      <c r="X99" s="1213"/>
      <c r="AE99" s="1213"/>
      <c r="AF99" s="1213"/>
      <c r="AV99" s="1213"/>
      <c r="AW99" s="1213"/>
      <c r="AX99" s="1213"/>
      <c r="AY99" s="1213"/>
      <c r="AZ99" s="1213"/>
      <c r="BA99" s="1213"/>
      <c r="BC99" s="1213"/>
      <c r="BE99" s="1213"/>
      <c r="BF99" s="1213"/>
      <c r="BG99" s="1213"/>
    </row>
    <row r="100" spans="18:59" x14ac:dyDescent="0.35">
      <c r="R100" s="1213"/>
      <c r="S100" s="1213"/>
      <c r="W100" s="1213"/>
      <c r="X100" s="1213"/>
      <c r="AE100" s="1213"/>
      <c r="AF100" s="1213"/>
      <c r="AV100" s="1213"/>
      <c r="AW100" s="1213"/>
      <c r="AX100" s="1213"/>
      <c r="AY100" s="1213"/>
      <c r="AZ100" s="1213"/>
      <c r="BA100" s="1213"/>
      <c r="BC100" s="1213"/>
      <c r="BE100" s="1213"/>
      <c r="BF100" s="1213"/>
      <c r="BG100" s="1213"/>
    </row>
    <row r="101" spans="18:59" x14ac:dyDescent="0.35">
      <c r="R101" s="1213"/>
      <c r="S101" s="1213"/>
      <c r="W101" s="1213"/>
      <c r="X101" s="1213"/>
      <c r="AE101" s="1213"/>
      <c r="AF101" s="1213"/>
      <c r="AV101" s="1213"/>
      <c r="AW101" s="1213"/>
      <c r="AX101" s="1213"/>
      <c r="AY101" s="1213"/>
      <c r="AZ101" s="1213"/>
      <c r="BA101" s="1213"/>
      <c r="BC101" s="1213"/>
      <c r="BE101" s="1213"/>
      <c r="BF101" s="1213"/>
      <c r="BG101" s="1213"/>
    </row>
    <row r="102" spans="18:59" x14ac:dyDescent="0.35">
      <c r="R102" s="1213"/>
      <c r="S102" s="1213"/>
      <c r="W102" s="1213"/>
      <c r="X102" s="1213"/>
      <c r="AE102" s="1213"/>
      <c r="AF102" s="1213"/>
      <c r="AV102" s="1213"/>
      <c r="AW102" s="1213"/>
      <c r="AX102" s="1213"/>
      <c r="AY102" s="1213"/>
      <c r="AZ102" s="1213"/>
      <c r="BA102" s="1213"/>
      <c r="BC102" s="1213"/>
      <c r="BE102" s="1213"/>
      <c r="BF102" s="1213"/>
      <c r="BG102" s="1213"/>
    </row>
    <row r="103" spans="18:59" x14ac:dyDescent="0.35">
      <c r="R103" s="1213"/>
      <c r="S103" s="1213"/>
      <c r="W103" s="1213"/>
      <c r="X103" s="1213"/>
      <c r="AE103" s="1213"/>
      <c r="AF103" s="1213"/>
      <c r="AV103" s="1213"/>
      <c r="AW103" s="1213"/>
      <c r="AX103" s="1213"/>
      <c r="AY103" s="1213"/>
      <c r="AZ103" s="1213"/>
      <c r="BA103" s="1213"/>
      <c r="BC103" s="1213"/>
      <c r="BE103" s="1213"/>
      <c r="BF103" s="1213"/>
      <c r="BG103" s="1213"/>
    </row>
    <row r="104" spans="18:59" x14ac:dyDescent="0.35">
      <c r="R104" s="1213"/>
      <c r="S104" s="1213"/>
      <c r="W104" s="1213"/>
      <c r="X104" s="1213"/>
      <c r="AE104" s="1213"/>
      <c r="AF104" s="1213"/>
      <c r="AV104" s="1213"/>
      <c r="AW104" s="1213"/>
      <c r="AX104" s="1213"/>
      <c r="AY104" s="1213"/>
      <c r="AZ104" s="1213"/>
      <c r="BA104" s="1213"/>
      <c r="BC104" s="1213"/>
      <c r="BE104" s="1213"/>
      <c r="BF104" s="1213"/>
      <c r="BG104" s="1213"/>
    </row>
    <row r="105" spans="18:59" x14ac:dyDescent="0.35">
      <c r="R105" s="1213"/>
      <c r="S105" s="1213"/>
      <c r="W105" s="1213"/>
      <c r="X105" s="1213"/>
      <c r="AE105" s="1213"/>
      <c r="AF105" s="1213"/>
      <c r="AV105" s="1213"/>
      <c r="AW105" s="1213"/>
      <c r="AX105" s="1213"/>
      <c r="AY105" s="1213"/>
      <c r="AZ105" s="1213"/>
      <c r="BA105" s="1213"/>
      <c r="BC105" s="1213"/>
      <c r="BE105" s="1213"/>
      <c r="BF105" s="1213"/>
      <c r="BG105" s="1213"/>
    </row>
    <row r="106" spans="18:59" x14ac:dyDescent="0.35">
      <c r="R106" s="1213"/>
      <c r="S106" s="1213"/>
      <c r="W106" s="1213"/>
      <c r="X106" s="1213"/>
      <c r="AE106" s="1213"/>
      <c r="AF106" s="1213"/>
      <c r="AV106" s="1213"/>
      <c r="AW106" s="1213"/>
      <c r="AX106" s="1213"/>
      <c r="AY106" s="1213"/>
      <c r="AZ106" s="1213"/>
      <c r="BA106" s="1213"/>
      <c r="BC106" s="1213"/>
      <c r="BE106" s="1213"/>
      <c r="BF106" s="1213"/>
      <c r="BG106" s="1213"/>
    </row>
    <row r="107" spans="18:59" x14ac:dyDescent="0.35">
      <c r="R107" s="1213"/>
      <c r="S107" s="1213"/>
      <c r="W107" s="1213"/>
      <c r="X107" s="1213"/>
      <c r="AE107" s="1213"/>
      <c r="AF107" s="1213"/>
      <c r="AV107" s="1213"/>
      <c r="AW107" s="1213"/>
      <c r="AX107" s="1213"/>
      <c r="AY107" s="1213"/>
      <c r="AZ107" s="1213"/>
      <c r="BA107" s="1213"/>
      <c r="BC107" s="1213"/>
      <c r="BE107" s="1213"/>
      <c r="BF107" s="1213"/>
      <c r="BG107" s="1213"/>
    </row>
    <row r="108" spans="18:59" x14ac:dyDescent="0.35">
      <c r="R108" s="1213"/>
      <c r="S108" s="1213"/>
      <c r="W108" s="1213"/>
      <c r="X108" s="1213"/>
      <c r="AE108" s="1213"/>
      <c r="AF108" s="1213"/>
      <c r="AV108" s="1213"/>
      <c r="AW108" s="1213"/>
      <c r="AX108" s="1213"/>
      <c r="AY108" s="1213"/>
      <c r="AZ108" s="1213"/>
      <c r="BA108" s="1213"/>
      <c r="BC108" s="1213"/>
      <c r="BE108" s="1213"/>
      <c r="BF108" s="1213"/>
      <c r="BG108" s="1213"/>
    </row>
    <row r="109" spans="18:59" x14ac:dyDescent="0.35">
      <c r="R109" s="1213"/>
      <c r="S109" s="1213"/>
      <c r="W109" s="1213"/>
      <c r="X109" s="1213"/>
      <c r="AE109" s="1213"/>
      <c r="AF109" s="1213"/>
      <c r="AV109" s="1213"/>
      <c r="AW109" s="1213"/>
      <c r="AX109" s="1213"/>
      <c r="AY109" s="1213"/>
      <c r="AZ109" s="1213"/>
      <c r="BA109" s="1213"/>
      <c r="BC109" s="1213"/>
      <c r="BE109" s="1213"/>
      <c r="BF109" s="1213"/>
      <c r="BG109" s="1213"/>
    </row>
    <row r="110" spans="18:59" x14ac:dyDescent="0.35">
      <c r="R110" s="1213"/>
      <c r="S110" s="1213"/>
      <c r="W110" s="1213"/>
      <c r="X110" s="1213"/>
      <c r="AE110" s="1213"/>
      <c r="AF110" s="1213"/>
      <c r="AV110" s="1213"/>
      <c r="AW110" s="1213"/>
      <c r="AX110" s="1213"/>
      <c r="AY110" s="1213"/>
      <c r="AZ110" s="1213"/>
      <c r="BA110" s="1213"/>
      <c r="BC110" s="1213"/>
      <c r="BE110" s="1213"/>
      <c r="BF110" s="1213"/>
      <c r="BG110" s="1213"/>
    </row>
    <row r="111" spans="18:59" x14ac:dyDescent="0.35">
      <c r="R111" s="1213"/>
      <c r="S111" s="1213"/>
      <c r="W111" s="1213"/>
      <c r="X111" s="1213"/>
      <c r="AE111" s="1213"/>
      <c r="AF111" s="1213"/>
      <c r="AV111" s="1213"/>
      <c r="AW111" s="1213"/>
      <c r="AX111" s="1213"/>
      <c r="AY111" s="1213"/>
      <c r="AZ111" s="1213"/>
      <c r="BA111" s="1213"/>
      <c r="BC111" s="1213"/>
      <c r="BE111" s="1213"/>
      <c r="BF111" s="1213"/>
      <c r="BG111" s="1213"/>
    </row>
    <row r="112" spans="18:59" x14ac:dyDescent="0.35">
      <c r="R112" s="1213"/>
      <c r="S112" s="1213"/>
      <c r="W112" s="1213"/>
      <c r="X112" s="1213"/>
      <c r="AE112" s="1213"/>
      <c r="AF112" s="1213"/>
      <c r="AV112" s="1213"/>
      <c r="AW112" s="1213"/>
      <c r="AX112" s="1213"/>
      <c r="AY112" s="1213"/>
      <c r="AZ112" s="1213"/>
      <c r="BA112" s="1213"/>
      <c r="BC112" s="1213"/>
      <c r="BE112" s="1213"/>
      <c r="BF112" s="1213"/>
      <c r="BG112" s="1213"/>
    </row>
    <row r="113" spans="18:59" x14ac:dyDescent="0.35">
      <c r="R113" s="1213"/>
      <c r="S113" s="1213"/>
      <c r="W113" s="1213"/>
      <c r="X113" s="1213"/>
      <c r="AE113" s="1213"/>
      <c r="AF113" s="1213"/>
      <c r="AV113" s="1213"/>
      <c r="AW113" s="1213"/>
      <c r="AX113" s="1213"/>
      <c r="AY113" s="1213"/>
      <c r="AZ113" s="1213"/>
      <c r="BA113" s="1213"/>
      <c r="BC113" s="1213"/>
      <c r="BE113" s="1213"/>
      <c r="BF113" s="1213"/>
      <c r="BG113" s="1213"/>
    </row>
    <row r="114" spans="18:59" x14ac:dyDescent="0.35">
      <c r="R114" s="1213"/>
      <c r="S114" s="1213"/>
      <c r="W114" s="1213"/>
      <c r="X114" s="1213"/>
      <c r="AE114" s="1213"/>
      <c r="AF114" s="1213"/>
      <c r="AV114" s="1213"/>
      <c r="AW114" s="1213"/>
      <c r="AX114" s="1213"/>
      <c r="AY114" s="1213"/>
      <c r="AZ114" s="1213"/>
      <c r="BA114" s="1213"/>
      <c r="BC114" s="1213"/>
      <c r="BE114" s="1213"/>
      <c r="BF114" s="1213"/>
      <c r="BG114" s="1213"/>
    </row>
    <row r="115" spans="18:59" x14ac:dyDescent="0.35">
      <c r="R115" s="1213"/>
      <c r="S115" s="1213"/>
      <c r="W115" s="1213"/>
      <c r="X115" s="1213"/>
      <c r="AE115" s="1213"/>
      <c r="AF115" s="1213"/>
      <c r="AV115" s="1213"/>
      <c r="AW115" s="1213"/>
      <c r="AX115" s="1213"/>
      <c r="AY115" s="1213"/>
      <c r="AZ115" s="1213"/>
      <c r="BA115" s="1213"/>
      <c r="BC115" s="1213"/>
      <c r="BE115" s="1213"/>
      <c r="BF115" s="1213"/>
      <c r="BG115" s="1213"/>
    </row>
    <row r="116" spans="18:59" x14ac:dyDescent="0.35">
      <c r="R116" s="1213"/>
      <c r="S116" s="1213"/>
      <c r="W116" s="1213"/>
      <c r="X116" s="1213"/>
      <c r="AE116" s="1213"/>
      <c r="AF116" s="1213"/>
      <c r="AV116" s="1213"/>
      <c r="AW116" s="1213"/>
      <c r="AX116" s="1213"/>
      <c r="AY116" s="1213"/>
      <c r="AZ116" s="1213"/>
      <c r="BA116" s="1213"/>
      <c r="BC116" s="1213"/>
      <c r="BE116" s="1213"/>
      <c r="BF116" s="1213"/>
      <c r="BG116" s="1213"/>
    </row>
    <row r="117" spans="18:59" x14ac:dyDescent="0.35">
      <c r="R117" s="1213"/>
      <c r="S117" s="1213"/>
      <c r="W117" s="1213"/>
      <c r="X117" s="1213"/>
      <c r="AE117" s="1213"/>
      <c r="AF117" s="1213"/>
      <c r="AV117" s="1213"/>
      <c r="AW117" s="1213"/>
      <c r="AX117" s="1213"/>
      <c r="AY117" s="1213"/>
      <c r="AZ117" s="1213"/>
      <c r="BA117" s="1213"/>
      <c r="BC117" s="1213"/>
      <c r="BE117" s="1213"/>
      <c r="BF117" s="1213"/>
      <c r="BG117" s="1213"/>
    </row>
    <row r="118" spans="18:59" x14ac:dyDescent="0.35">
      <c r="R118" s="1213"/>
      <c r="S118" s="1213"/>
      <c r="W118" s="1213"/>
      <c r="X118" s="1213"/>
      <c r="AE118" s="1213"/>
      <c r="AF118" s="1213"/>
      <c r="AV118" s="1213"/>
      <c r="AW118" s="1213"/>
      <c r="AX118" s="1213"/>
      <c r="AY118" s="1213"/>
      <c r="AZ118" s="1213"/>
      <c r="BA118" s="1213"/>
      <c r="BC118" s="1213"/>
      <c r="BE118" s="1213"/>
      <c r="BF118" s="1213"/>
      <c r="BG118" s="1213"/>
    </row>
    <row r="119" spans="18:59" x14ac:dyDescent="0.35">
      <c r="R119" s="1213"/>
      <c r="S119" s="1213"/>
      <c r="W119" s="1213"/>
      <c r="X119" s="1213"/>
      <c r="AE119" s="1213"/>
      <c r="AF119" s="1213"/>
      <c r="AV119" s="1213"/>
      <c r="AW119" s="1213"/>
      <c r="AX119" s="1213"/>
      <c r="AY119" s="1213"/>
      <c r="AZ119" s="1213"/>
      <c r="BA119" s="1213"/>
      <c r="BC119" s="1213"/>
      <c r="BE119" s="1213"/>
      <c r="BF119" s="1213"/>
      <c r="BG119" s="1213"/>
    </row>
    <row r="120" spans="18:59" x14ac:dyDescent="0.35">
      <c r="R120" s="1213"/>
      <c r="S120" s="1213"/>
      <c r="W120" s="1213"/>
      <c r="X120" s="1213"/>
      <c r="AE120" s="1213"/>
      <c r="AF120" s="1213"/>
      <c r="AV120" s="1213"/>
      <c r="AW120" s="1213"/>
      <c r="AX120" s="1213"/>
      <c r="AY120" s="1213"/>
      <c r="AZ120" s="1213"/>
      <c r="BA120" s="1213"/>
      <c r="BC120" s="1213"/>
      <c r="BE120" s="1213"/>
      <c r="BF120" s="1213"/>
      <c r="BG120" s="1213"/>
    </row>
    <row r="121" spans="18:59" x14ac:dyDescent="0.35">
      <c r="R121" s="1213"/>
      <c r="S121" s="1213"/>
      <c r="W121" s="1213"/>
      <c r="X121" s="1213"/>
      <c r="AE121" s="1213"/>
      <c r="AF121" s="1213"/>
      <c r="AV121" s="1213"/>
      <c r="AW121" s="1213"/>
      <c r="AX121" s="1213"/>
      <c r="AY121" s="1213"/>
      <c r="AZ121" s="1213"/>
      <c r="BA121" s="1213"/>
      <c r="BC121" s="1213"/>
      <c r="BE121" s="1213"/>
      <c r="BF121" s="1213"/>
      <c r="BG121" s="1213"/>
    </row>
    <row r="122" spans="18:59" x14ac:dyDescent="0.35">
      <c r="R122" s="1213"/>
      <c r="S122" s="1213"/>
      <c r="W122" s="1213"/>
      <c r="X122" s="1213"/>
      <c r="AE122" s="1213"/>
      <c r="AF122" s="1213"/>
      <c r="AV122" s="1213"/>
      <c r="AW122" s="1213"/>
      <c r="AX122" s="1213"/>
      <c r="AY122" s="1213"/>
      <c r="AZ122" s="1213"/>
      <c r="BA122" s="1213"/>
      <c r="BC122" s="1213"/>
      <c r="BE122" s="1213"/>
      <c r="BF122" s="1213"/>
      <c r="BG122" s="1213"/>
    </row>
    <row r="123" spans="18:59" x14ac:dyDescent="0.35">
      <c r="R123" s="1213"/>
      <c r="S123" s="1213"/>
      <c r="W123" s="1213"/>
      <c r="X123" s="1213"/>
      <c r="AE123" s="1213"/>
      <c r="AF123" s="1213"/>
      <c r="AV123" s="1213"/>
      <c r="AW123" s="1213"/>
      <c r="AX123" s="1213"/>
      <c r="AY123" s="1213"/>
      <c r="AZ123" s="1213"/>
      <c r="BA123" s="1213"/>
      <c r="BC123" s="1213"/>
      <c r="BE123" s="1213"/>
      <c r="BF123" s="1213"/>
      <c r="BG123" s="1213"/>
    </row>
    <row r="124" spans="18:59" x14ac:dyDescent="0.35">
      <c r="R124" s="1213"/>
      <c r="S124" s="1213"/>
      <c r="W124" s="1213"/>
      <c r="X124" s="1213"/>
      <c r="AE124" s="1213"/>
      <c r="AF124" s="1213"/>
      <c r="AV124" s="1213"/>
      <c r="AW124" s="1213"/>
      <c r="AX124" s="1213"/>
      <c r="AY124" s="1213"/>
      <c r="AZ124" s="1213"/>
      <c r="BA124" s="1213"/>
      <c r="BC124" s="1213"/>
      <c r="BE124" s="1213"/>
      <c r="BF124" s="1213"/>
      <c r="BG124" s="1213"/>
    </row>
    <row r="125" spans="18:59" x14ac:dyDescent="0.35">
      <c r="R125" s="1213"/>
      <c r="S125" s="1213"/>
      <c r="W125" s="1213"/>
      <c r="X125" s="1213"/>
      <c r="AE125" s="1213"/>
      <c r="AF125" s="1213"/>
      <c r="AV125" s="1213"/>
      <c r="AW125" s="1213"/>
      <c r="AX125" s="1213"/>
      <c r="AY125" s="1213"/>
      <c r="AZ125" s="1213"/>
      <c r="BA125" s="1213"/>
      <c r="BC125" s="1213"/>
      <c r="BE125" s="1213"/>
      <c r="BF125" s="1213"/>
      <c r="BG125" s="1213"/>
    </row>
    <row r="126" spans="18:59" x14ac:dyDescent="0.35">
      <c r="R126" s="1213"/>
      <c r="S126" s="1213"/>
      <c r="W126" s="1213"/>
      <c r="X126" s="1213"/>
      <c r="AE126" s="1213"/>
      <c r="AF126" s="1213"/>
      <c r="AV126" s="1213"/>
      <c r="AW126" s="1213"/>
      <c r="AX126" s="1213"/>
      <c r="AY126" s="1213"/>
      <c r="AZ126" s="1213"/>
      <c r="BA126" s="1213"/>
      <c r="BC126" s="1213"/>
      <c r="BE126" s="1213"/>
      <c r="BF126" s="1213"/>
      <c r="BG126" s="1213"/>
    </row>
    <row r="127" spans="18:59" x14ac:dyDescent="0.35">
      <c r="R127" s="1213"/>
      <c r="S127" s="1213"/>
      <c r="W127" s="1213"/>
      <c r="X127" s="1213"/>
      <c r="AE127" s="1213"/>
      <c r="AF127" s="1213"/>
      <c r="AV127" s="1213"/>
      <c r="AW127" s="1213"/>
      <c r="AX127" s="1213"/>
      <c r="AY127" s="1213"/>
      <c r="AZ127" s="1213"/>
      <c r="BA127" s="1213"/>
      <c r="BC127" s="1213"/>
      <c r="BE127" s="1213"/>
      <c r="BF127" s="1213"/>
      <c r="BG127" s="1213"/>
    </row>
    <row r="128" spans="18:59" x14ac:dyDescent="0.35">
      <c r="R128" s="1213"/>
      <c r="S128" s="1213"/>
      <c r="W128" s="1213"/>
      <c r="X128" s="1213"/>
      <c r="AE128" s="1213"/>
      <c r="AF128" s="1213"/>
      <c r="AV128" s="1213"/>
      <c r="AW128" s="1213"/>
      <c r="AX128" s="1213"/>
      <c r="AY128" s="1213"/>
      <c r="AZ128" s="1213"/>
      <c r="BA128" s="1213"/>
      <c r="BC128" s="1213"/>
      <c r="BE128" s="1213"/>
      <c r="BF128" s="1213"/>
      <c r="BG128" s="1213"/>
    </row>
    <row r="129" spans="18:59" x14ac:dyDescent="0.35">
      <c r="R129" s="1213"/>
      <c r="S129" s="1213"/>
      <c r="W129" s="1213"/>
      <c r="X129" s="1213"/>
      <c r="AE129" s="1213"/>
      <c r="AF129" s="1213"/>
      <c r="AV129" s="1213"/>
      <c r="AW129" s="1213"/>
      <c r="AX129" s="1213"/>
      <c r="AY129" s="1213"/>
      <c r="AZ129" s="1213"/>
      <c r="BA129" s="1213"/>
      <c r="BC129" s="1213"/>
      <c r="BE129" s="1213"/>
      <c r="BF129" s="1213"/>
      <c r="BG129" s="1213"/>
    </row>
    <row r="130" spans="18:59" x14ac:dyDescent="0.35">
      <c r="R130" s="1213"/>
      <c r="S130" s="1213"/>
      <c r="W130" s="1213"/>
      <c r="X130" s="1213"/>
      <c r="AE130" s="1213"/>
      <c r="AF130" s="1213"/>
      <c r="AV130" s="1213"/>
      <c r="AW130" s="1213"/>
      <c r="AX130" s="1213"/>
      <c r="AY130" s="1213"/>
      <c r="AZ130" s="1213"/>
      <c r="BA130" s="1213"/>
      <c r="BC130" s="1213"/>
      <c r="BE130" s="1213"/>
      <c r="BF130" s="1213"/>
      <c r="BG130" s="1213"/>
    </row>
    <row r="131" spans="18:59" x14ac:dyDescent="0.35">
      <c r="R131" s="1213"/>
      <c r="S131" s="1213"/>
      <c r="W131" s="1213"/>
      <c r="X131" s="1213"/>
      <c r="AE131" s="1213"/>
      <c r="AF131" s="1213"/>
      <c r="AV131" s="1213"/>
      <c r="AW131" s="1213"/>
      <c r="AX131" s="1213"/>
      <c r="AY131" s="1213"/>
      <c r="AZ131" s="1213"/>
      <c r="BA131" s="1213"/>
      <c r="BC131" s="1213"/>
      <c r="BE131" s="1213"/>
      <c r="BF131" s="1213"/>
      <c r="BG131" s="1213"/>
    </row>
    <row r="132" spans="18:59" x14ac:dyDescent="0.35">
      <c r="R132" s="1213"/>
      <c r="S132" s="1213"/>
      <c r="W132" s="1213"/>
      <c r="X132" s="1213"/>
      <c r="AE132" s="1213"/>
      <c r="AF132" s="1213"/>
      <c r="AV132" s="1213"/>
      <c r="AW132" s="1213"/>
      <c r="AX132" s="1213"/>
      <c r="AY132" s="1213"/>
      <c r="AZ132" s="1213"/>
      <c r="BA132" s="1213"/>
      <c r="BC132" s="1213"/>
      <c r="BE132" s="1213"/>
      <c r="BF132" s="1213"/>
      <c r="BG132" s="1213"/>
    </row>
    <row r="133" spans="18:59" x14ac:dyDescent="0.35">
      <c r="R133" s="1213"/>
      <c r="S133" s="1213"/>
      <c r="W133" s="1213"/>
      <c r="X133" s="1213"/>
      <c r="AE133" s="1213"/>
      <c r="AF133" s="1213"/>
      <c r="AV133" s="1213"/>
      <c r="AW133" s="1213"/>
      <c r="AX133" s="1213"/>
      <c r="AY133" s="1213"/>
      <c r="AZ133" s="1213"/>
      <c r="BA133" s="1213"/>
      <c r="BC133" s="1213"/>
      <c r="BE133" s="1213"/>
      <c r="BF133" s="1213"/>
      <c r="BG133" s="1213"/>
    </row>
    <row r="134" spans="18:59" x14ac:dyDescent="0.35">
      <c r="R134" s="1213"/>
      <c r="S134" s="1213"/>
      <c r="W134" s="1213"/>
      <c r="X134" s="1213"/>
      <c r="AE134" s="1213"/>
      <c r="AF134" s="1213"/>
      <c r="AV134" s="1213"/>
      <c r="AW134" s="1213"/>
      <c r="AX134" s="1213"/>
      <c r="AY134" s="1213"/>
      <c r="AZ134" s="1213"/>
      <c r="BA134" s="1213"/>
      <c r="BC134" s="1213"/>
      <c r="BE134" s="1213"/>
      <c r="BF134" s="1213"/>
      <c r="BG134" s="1213"/>
    </row>
    <row r="135" spans="18:59" x14ac:dyDescent="0.35">
      <c r="R135" s="1213"/>
      <c r="S135" s="1213"/>
      <c r="W135" s="1213"/>
      <c r="X135" s="1213"/>
      <c r="AE135" s="1213"/>
      <c r="AF135" s="1213"/>
      <c r="AV135" s="1213"/>
      <c r="AW135" s="1213"/>
      <c r="AX135" s="1213"/>
      <c r="AY135" s="1213"/>
      <c r="AZ135" s="1213"/>
      <c r="BA135" s="1213"/>
      <c r="BC135" s="1213"/>
      <c r="BE135" s="1213"/>
      <c r="BF135" s="1213"/>
      <c r="BG135" s="1213"/>
    </row>
    <row r="136" spans="18:59" x14ac:dyDescent="0.35">
      <c r="R136" s="1213"/>
      <c r="S136" s="1213"/>
      <c r="W136" s="1213"/>
      <c r="X136" s="1213"/>
      <c r="AE136" s="1213"/>
      <c r="AF136" s="1213"/>
      <c r="AV136" s="1213"/>
      <c r="AW136" s="1213"/>
      <c r="AX136" s="1213"/>
      <c r="AY136" s="1213"/>
      <c r="AZ136" s="1213"/>
      <c r="BA136" s="1213"/>
      <c r="BC136" s="1213"/>
      <c r="BE136" s="1213"/>
      <c r="BF136" s="1213"/>
      <c r="BG136" s="1213"/>
    </row>
    <row r="137" spans="18:59" x14ac:dyDescent="0.35">
      <c r="R137" s="1213"/>
      <c r="S137" s="1213"/>
      <c r="W137" s="1213"/>
      <c r="X137" s="1213"/>
      <c r="AE137" s="1213"/>
      <c r="AF137" s="1213"/>
      <c r="AV137" s="1213"/>
      <c r="AW137" s="1213"/>
      <c r="AX137" s="1213"/>
      <c r="AY137" s="1213"/>
      <c r="AZ137" s="1213"/>
      <c r="BA137" s="1213"/>
      <c r="BC137" s="1213"/>
      <c r="BE137" s="1213"/>
      <c r="BF137" s="1213"/>
      <c r="BG137" s="1213"/>
    </row>
    <row r="138" spans="18:59" x14ac:dyDescent="0.35">
      <c r="R138" s="1213"/>
      <c r="S138" s="1213"/>
      <c r="W138" s="1213"/>
      <c r="X138" s="1213"/>
      <c r="AE138" s="1213"/>
      <c r="AF138" s="1213"/>
      <c r="AV138" s="1213"/>
      <c r="AW138" s="1213"/>
      <c r="AX138" s="1213"/>
      <c r="AY138" s="1213"/>
      <c r="AZ138" s="1213"/>
      <c r="BA138" s="1213"/>
      <c r="BC138" s="1213"/>
      <c r="BE138" s="1213"/>
      <c r="BF138" s="1213"/>
      <c r="BG138" s="1213"/>
    </row>
    <row r="139" spans="18:59" x14ac:dyDescent="0.35">
      <c r="R139" s="1213"/>
      <c r="S139" s="1213"/>
      <c r="W139" s="1213"/>
      <c r="X139" s="1213"/>
      <c r="AE139" s="1213"/>
      <c r="AF139" s="1213"/>
      <c r="AV139" s="1213"/>
      <c r="AW139" s="1213"/>
      <c r="AX139" s="1213"/>
      <c r="AY139" s="1213"/>
      <c r="AZ139" s="1213"/>
      <c r="BA139" s="1213"/>
      <c r="BC139" s="1213"/>
      <c r="BE139" s="1213"/>
      <c r="BF139" s="1213"/>
      <c r="BG139" s="1213"/>
    </row>
    <row r="140" spans="18:59" x14ac:dyDescent="0.35">
      <c r="R140" s="1213"/>
      <c r="S140" s="1213"/>
      <c r="W140" s="1213"/>
      <c r="X140" s="1213"/>
      <c r="AE140" s="1213"/>
      <c r="AF140" s="1213"/>
      <c r="AV140" s="1213"/>
      <c r="AW140" s="1213"/>
      <c r="AX140" s="1213"/>
      <c r="AY140" s="1213"/>
      <c r="AZ140" s="1213"/>
      <c r="BA140" s="1213"/>
      <c r="BC140" s="1213"/>
      <c r="BE140" s="1213"/>
      <c r="BF140" s="1213"/>
      <c r="BG140" s="1213"/>
    </row>
    <row r="141" spans="18:59" x14ac:dyDescent="0.35">
      <c r="R141" s="1213"/>
      <c r="S141" s="1213"/>
      <c r="W141" s="1213"/>
      <c r="X141" s="1213"/>
      <c r="AE141" s="1213"/>
      <c r="AF141" s="1213"/>
      <c r="AV141" s="1213"/>
      <c r="AW141" s="1213"/>
      <c r="AX141" s="1213"/>
      <c r="AY141" s="1213"/>
      <c r="AZ141" s="1213"/>
      <c r="BA141" s="1213"/>
      <c r="BC141" s="1213"/>
      <c r="BE141" s="1213"/>
      <c r="BF141" s="1213"/>
      <c r="BG141" s="1213"/>
    </row>
    <row r="142" spans="18:59" x14ac:dyDescent="0.35">
      <c r="R142" s="1213"/>
      <c r="S142" s="1213"/>
      <c r="W142" s="1213"/>
      <c r="X142" s="1213"/>
      <c r="AE142" s="1213"/>
      <c r="AF142" s="1213"/>
      <c r="AV142" s="1213"/>
      <c r="AW142" s="1213"/>
      <c r="AX142" s="1213"/>
      <c r="AY142" s="1213"/>
      <c r="AZ142" s="1213"/>
      <c r="BA142" s="1213"/>
      <c r="BC142" s="1213"/>
      <c r="BE142" s="1213"/>
      <c r="BF142" s="1213"/>
      <c r="BG142" s="1213"/>
    </row>
    <row r="143" spans="18:59" x14ac:dyDescent="0.35">
      <c r="R143" s="1213"/>
      <c r="S143" s="1213"/>
      <c r="W143" s="1213"/>
      <c r="X143" s="1213"/>
      <c r="AE143" s="1213"/>
      <c r="AF143" s="1213"/>
      <c r="AV143" s="1213"/>
      <c r="AW143" s="1213"/>
      <c r="AX143" s="1213"/>
      <c r="AY143" s="1213"/>
      <c r="AZ143" s="1213"/>
      <c r="BA143" s="1213"/>
      <c r="BC143" s="1213"/>
      <c r="BE143" s="1213"/>
      <c r="BF143" s="1213"/>
      <c r="BG143" s="1213"/>
    </row>
    <row r="144" spans="18:59" x14ac:dyDescent="0.35">
      <c r="R144" s="1213"/>
      <c r="S144" s="1213"/>
      <c r="W144" s="1213"/>
      <c r="X144" s="1213"/>
      <c r="AE144" s="1213"/>
      <c r="AF144" s="1213"/>
      <c r="AV144" s="1213"/>
      <c r="AW144" s="1213"/>
      <c r="AX144" s="1213"/>
      <c r="AY144" s="1213"/>
      <c r="AZ144" s="1213"/>
      <c r="BA144" s="1213"/>
      <c r="BC144" s="1213"/>
      <c r="BE144" s="1213"/>
      <c r="BF144" s="1213"/>
      <c r="BG144" s="1213"/>
    </row>
    <row r="145" spans="18:59" x14ac:dyDescent="0.35">
      <c r="R145" s="1213"/>
      <c r="S145" s="1213"/>
      <c r="W145" s="1213"/>
      <c r="X145" s="1213"/>
      <c r="AE145" s="1213"/>
      <c r="AF145" s="1213"/>
      <c r="AV145" s="1213"/>
      <c r="AW145" s="1213"/>
      <c r="AX145" s="1213"/>
      <c r="AY145" s="1213"/>
      <c r="AZ145" s="1213"/>
      <c r="BA145" s="1213"/>
      <c r="BC145" s="1213"/>
      <c r="BE145" s="1213"/>
      <c r="BF145" s="1213"/>
      <c r="BG145" s="1213"/>
    </row>
    <row r="146" spans="18:59" x14ac:dyDescent="0.35">
      <c r="R146" s="1213"/>
      <c r="S146" s="1213"/>
      <c r="W146" s="1213"/>
      <c r="X146" s="1213"/>
      <c r="AE146" s="1213"/>
      <c r="AF146" s="1213"/>
      <c r="AV146" s="1213"/>
      <c r="AW146" s="1213"/>
      <c r="AX146" s="1213"/>
      <c r="AY146" s="1213"/>
      <c r="AZ146" s="1213"/>
      <c r="BA146" s="1213"/>
      <c r="BC146" s="1213"/>
      <c r="BE146" s="1213"/>
      <c r="BF146" s="1213"/>
      <c r="BG146" s="1213"/>
    </row>
    <row r="147" spans="18:59" x14ac:dyDescent="0.35">
      <c r="R147" s="1213"/>
      <c r="S147" s="1213"/>
      <c r="W147" s="1213"/>
      <c r="X147" s="1213"/>
      <c r="AE147" s="1213"/>
      <c r="AF147" s="1213"/>
      <c r="AV147" s="1213"/>
      <c r="AW147" s="1213"/>
      <c r="AX147" s="1213"/>
      <c r="AY147" s="1213"/>
      <c r="AZ147" s="1213"/>
      <c r="BA147" s="1213"/>
      <c r="BC147" s="1213"/>
      <c r="BE147" s="1213"/>
      <c r="BF147" s="1213"/>
      <c r="BG147" s="1213"/>
    </row>
    <row r="148" spans="18:59" x14ac:dyDescent="0.35">
      <c r="R148" s="1213"/>
      <c r="S148" s="1213"/>
      <c r="W148" s="1213"/>
      <c r="X148" s="1213"/>
      <c r="AE148" s="1213"/>
      <c r="AF148" s="1213"/>
      <c r="AV148" s="1213"/>
      <c r="AW148" s="1213"/>
      <c r="AX148" s="1213"/>
      <c r="AY148" s="1213"/>
      <c r="AZ148" s="1213"/>
      <c r="BA148" s="1213"/>
      <c r="BC148" s="1213"/>
      <c r="BE148" s="1213"/>
      <c r="BF148" s="1213"/>
      <c r="BG148" s="1213"/>
    </row>
    <row r="149" spans="18:59" x14ac:dyDescent="0.35">
      <c r="R149" s="1213"/>
      <c r="S149" s="1213"/>
      <c r="W149" s="1213"/>
      <c r="X149" s="1213"/>
      <c r="AE149" s="1213"/>
      <c r="AF149" s="1213"/>
      <c r="AV149" s="1213"/>
      <c r="AW149" s="1213"/>
      <c r="AX149" s="1213"/>
      <c r="AY149" s="1213"/>
      <c r="AZ149" s="1213"/>
      <c r="BA149" s="1213"/>
      <c r="BC149" s="1213"/>
      <c r="BE149" s="1213"/>
      <c r="BF149" s="1213"/>
      <c r="BG149" s="1213"/>
    </row>
    <row r="150" spans="18:59" x14ac:dyDescent="0.35">
      <c r="R150" s="1213"/>
      <c r="S150" s="1213"/>
      <c r="W150" s="1213"/>
      <c r="X150" s="1213"/>
      <c r="AE150" s="1213"/>
      <c r="AF150" s="1213"/>
      <c r="AV150" s="1213"/>
      <c r="AW150" s="1213"/>
      <c r="AX150" s="1213"/>
      <c r="AY150" s="1213"/>
      <c r="AZ150" s="1213"/>
      <c r="BA150" s="1213"/>
      <c r="BC150" s="1213"/>
      <c r="BE150" s="1213"/>
      <c r="BF150" s="1213"/>
      <c r="BG150" s="1213"/>
    </row>
    <row r="151" spans="18:59" x14ac:dyDescent="0.35">
      <c r="R151" s="1213"/>
      <c r="S151" s="1213"/>
      <c r="W151" s="1213"/>
      <c r="X151" s="1213"/>
      <c r="AE151" s="1213"/>
      <c r="AF151" s="1213"/>
      <c r="AV151" s="1213"/>
      <c r="AW151" s="1213"/>
      <c r="AX151" s="1213"/>
      <c r="AY151" s="1213"/>
      <c r="AZ151" s="1213"/>
      <c r="BA151" s="1213"/>
      <c r="BC151" s="1213"/>
      <c r="BE151" s="1213"/>
      <c r="BF151" s="1213"/>
      <c r="BG151" s="1213"/>
    </row>
    <row r="152" spans="18:59" x14ac:dyDescent="0.35">
      <c r="R152" s="1213"/>
      <c r="S152" s="1213"/>
      <c r="W152" s="1213"/>
      <c r="X152" s="1213"/>
      <c r="AE152" s="1213"/>
      <c r="AF152" s="1213"/>
      <c r="AV152" s="1213"/>
      <c r="AW152" s="1213"/>
      <c r="AX152" s="1213"/>
      <c r="AY152" s="1213"/>
      <c r="AZ152" s="1213"/>
      <c r="BA152" s="1213"/>
      <c r="BC152" s="1213"/>
      <c r="BE152" s="1213"/>
      <c r="BF152" s="1213"/>
      <c r="BG152" s="1213"/>
    </row>
    <row r="153" spans="18:59" x14ac:dyDescent="0.35">
      <c r="R153" s="1213"/>
      <c r="S153" s="1213"/>
      <c r="W153" s="1213"/>
      <c r="X153" s="1213"/>
      <c r="AE153" s="1213"/>
      <c r="AF153" s="1213"/>
      <c r="AV153" s="1213"/>
      <c r="AW153" s="1213"/>
      <c r="AX153" s="1213"/>
      <c r="AY153" s="1213"/>
      <c r="AZ153" s="1213"/>
      <c r="BA153" s="1213"/>
      <c r="BC153" s="1213"/>
      <c r="BE153" s="1213"/>
      <c r="BF153" s="1213"/>
      <c r="BG153" s="1213"/>
    </row>
    <row r="154" spans="18:59" x14ac:dyDescent="0.35">
      <c r="R154" s="1213"/>
      <c r="S154" s="1213"/>
      <c r="W154" s="1213"/>
      <c r="X154" s="1213"/>
      <c r="AE154" s="1213"/>
      <c r="AF154" s="1213"/>
      <c r="AV154" s="1213"/>
      <c r="AW154" s="1213"/>
      <c r="AX154" s="1213"/>
      <c r="AY154" s="1213"/>
      <c r="AZ154" s="1213"/>
      <c r="BA154" s="1213"/>
      <c r="BC154" s="1213"/>
      <c r="BE154" s="1213"/>
      <c r="BF154" s="1213"/>
      <c r="BG154" s="1213"/>
    </row>
    <row r="155" spans="18:59" x14ac:dyDescent="0.35">
      <c r="R155" s="1213"/>
      <c r="S155" s="1213"/>
      <c r="W155" s="1213"/>
      <c r="X155" s="1213"/>
      <c r="AE155" s="1213"/>
      <c r="AF155" s="1213"/>
      <c r="AV155" s="1213"/>
      <c r="AW155" s="1213"/>
      <c r="AX155" s="1213"/>
      <c r="AY155" s="1213"/>
      <c r="AZ155" s="1213"/>
      <c r="BA155" s="1213"/>
      <c r="BC155" s="1213"/>
      <c r="BE155" s="1213"/>
      <c r="BF155" s="1213"/>
      <c r="BG155" s="1213"/>
    </row>
    <row r="156" spans="18:59" x14ac:dyDescent="0.35">
      <c r="R156" s="1213"/>
      <c r="S156" s="1213"/>
      <c r="W156" s="1213"/>
      <c r="X156" s="1213"/>
      <c r="AE156" s="1213"/>
      <c r="AF156" s="1213"/>
      <c r="AV156" s="1213"/>
      <c r="AW156" s="1213"/>
      <c r="AX156" s="1213"/>
      <c r="AY156" s="1213"/>
      <c r="AZ156" s="1213"/>
      <c r="BA156" s="1213"/>
      <c r="BC156" s="1213"/>
      <c r="BE156" s="1213"/>
      <c r="BF156" s="1213"/>
      <c r="BG156" s="1213"/>
    </row>
    <row r="157" spans="18:59" x14ac:dyDescent="0.35">
      <c r="R157" s="1213"/>
      <c r="S157" s="1213"/>
      <c r="W157" s="1213"/>
      <c r="X157" s="1213"/>
      <c r="AE157" s="1213"/>
      <c r="AF157" s="1213"/>
      <c r="AV157" s="1213"/>
      <c r="AW157" s="1213"/>
      <c r="AX157" s="1213"/>
      <c r="AY157" s="1213"/>
      <c r="AZ157" s="1213"/>
      <c r="BA157" s="1213"/>
      <c r="BC157" s="1213"/>
      <c r="BE157" s="1213"/>
      <c r="BF157" s="1213"/>
      <c r="BG157" s="1213"/>
    </row>
    <row r="158" spans="18:59" x14ac:dyDescent="0.35">
      <c r="R158" s="1213"/>
      <c r="S158" s="1213"/>
      <c r="W158" s="1213"/>
      <c r="X158" s="1213"/>
      <c r="AE158" s="1213"/>
      <c r="AF158" s="1213"/>
      <c r="AV158" s="1213"/>
      <c r="AW158" s="1213"/>
      <c r="AX158" s="1213"/>
      <c r="AY158" s="1213"/>
      <c r="AZ158" s="1213"/>
      <c r="BA158" s="1213"/>
      <c r="BC158" s="1213"/>
      <c r="BE158" s="1213"/>
      <c r="BF158" s="1213"/>
      <c r="BG158" s="1213"/>
    </row>
    <row r="159" spans="18:59" x14ac:dyDescent="0.35">
      <c r="R159" s="1213"/>
      <c r="S159" s="1213"/>
      <c r="W159" s="1213"/>
      <c r="X159" s="1213"/>
      <c r="AE159" s="1213"/>
      <c r="AF159" s="1213"/>
      <c r="AV159" s="1213"/>
      <c r="AW159" s="1213"/>
      <c r="AX159" s="1213"/>
      <c r="AY159" s="1213"/>
      <c r="AZ159" s="1213"/>
      <c r="BA159" s="1213"/>
      <c r="BC159" s="1213"/>
      <c r="BE159" s="1213"/>
      <c r="BF159" s="1213"/>
      <c r="BG159" s="1213"/>
    </row>
    <row r="160" spans="18:59" x14ac:dyDescent="0.35">
      <c r="R160" s="1213"/>
      <c r="S160" s="1213"/>
      <c r="W160" s="1213"/>
      <c r="X160" s="1213"/>
      <c r="AE160" s="1213"/>
      <c r="AF160" s="1213"/>
      <c r="AV160" s="1213"/>
      <c r="AW160" s="1213"/>
      <c r="AX160" s="1213"/>
      <c r="AY160" s="1213"/>
      <c r="AZ160" s="1213"/>
      <c r="BA160" s="1213"/>
      <c r="BC160" s="1213"/>
      <c r="BE160" s="1213"/>
      <c r="BF160" s="1213"/>
      <c r="BG160" s="1213"/>
    </row>
    <row r="161" spans="18:59" x14ac:dyDescent="0.35">
      <c r="R161" s="1213"/>
      <c r="S161" s="1213"/>
      <c r="W161" s="1213"/>
      <c r="X161" s="1213"/>
      <c r="AE161" s="1213"/>
      <c r="AF161" s="1213"/>
      <c r="AV161" s="1213"/>
      <c r="AW161" s="1213"/>
      <c r="AX161" s="1213"/>
      <c r="AY161" s="1213"/>
      <c r="AZ161" s="1213"/>
      <c r="BA161" s="1213"/>
      <c r="BC161" s="1213"/>
      <c r="BE161" s="1213"/>
      <c r="BF161" s="1213"/>
      <c r="BG161" s="1213"/>
    </row>
    <row r="162" spans="18:59" x14ac:dyDescent="0.35">
      <c r="R162" s="1213"/>
      <c r="S162" s="1213"/>
      <c r="W162" s="1213"/>
      <c r="X162" s="1213"/>
      <c r="AE162" s="1213"/>
      <c r="AF162" s="1213"/>
      <c r="AV162" s="1213"/>
      <c r="AW162" s="1213"/>
      <c r="AX162" s="1213"/>
      <c r="AY162" s="1213"/>
      <c r="AZ162" s="1213"/>
      <c r="BA162" s="1213"/>
      <c r="BC162" s="1213"/>
      <c r="BE162" s="1213"/>
      <c r="BF162" s="1213"/>
      <c r="BG162" s="1213"/>
    </row>
    <row r="163" spans="18:59" x14ac:dyDescent="0.35">
      <c r="R163" s="1213"/>
      <c r="S163" s="1213"/>
      <c r="W163" s="1213"/>
      <c r="X163" s="1213"/>
      <c r="AE163" s="1213"/>
      <c r="AF163" s="1213"/>
      <c r="AV163" s="1213"/>
      <c r="AW163" s="1213"/>
      <c r="AX163" s="1213"/>
      <c r="AY163" s="1213"/>
      <c r="AZ163" s="1213"/>
      <c r="BA163" s="1213"/>
      <c r="BC163" s="1213"/>
      <c r="BE163" s="1213"/>
      <c r="BF163" s="1213"/>
      <c r="BG163" s="1213"/>
    </row>
    <row r="164" spans="18:59" x14ac:dyDescent="0.35">
      <c r="R164" s="1213"/>
      <c r="S164" s="1213"/>
      <c r="W164" s="1213"/>
      <c r="X164" s="1213"/>
      <c r="AE164" s="1213"/>
      <c r="AF164" s="1213"/>
      <c r="AV164" s="1213"/>
      <c r="AW164" s="1213"/>
      <c r="AX164" s="1213"/>
      <c r="AY164" s="1213"/>
      <c r="AZ164" s="1213"/>
      <c r="BA164" s="1213"/>
      <c r="BC164" s="1213"/>
      <c r="BE164" s="1213"/>
      <c r="BF164" s="1213"/>
      <c r="BG164" s="1213"/>
    </row>
    <row r="165" spans="18:59" x14ac:dyDescent="0.35">
      <c r="R165" s="1213"/>
      <c r="S165" s="1213"/>
      <c r="W165" s="1213"/>
      <c r="X165" s="1213"/>
      <c r="AE165" s="1213"/>
      <c r="AF165" s="1213"/>
      <c r="AV165" s="1213"/>
      <c r="AW165" s="1213"/>
      <c r="AX165" s="1213"/>
      <c r="AY165" s="1213"/>
      <c r="AZ165" s="1213"/>
      <c r="BA165" s="1213"/>
      <c r="BC165" s="1213"/>
      <c r="BE165" s="1213"/>
      <c r="BF165" s="1213"/>
      <c r="BG165" s="1213"/>
    </row>
    <row r="166" spans="18:59" x14ac:dyDescent="0.35">
      <c r="R166" s="1213"/>
      <c r="S166" s="1213"/>
      <c r="W166" s="1213"/>
      <c r="X166" s="1213"/>
      <c r="AE166" s="1213"/>
      <c r="AF166" s="1213"/>
      <c r="AV166" s="1213"/>
      <c r="AW166" s="1213"/>
      <c r="AX166" s="1213"/>
      <c r="AY166" s="1213"/>
      <c r="AZ166" s="1213"/>
      <c r="BA166" s="1213"/>
      <c r="BC166" s="1213"/>
      <c r="BE166" s="1213"/>
      <c r="BF166" s="1213"/>
      <c r="BG166" s="1213"/>
    </row>
    <row r="167" spans="18:59" x14ac:dyDescent="0.35">
      <c r="R167" s="1213"/>
      <c r="S167" s="1213"/>
      <c r="W167" s="1213"/>
      <c r="X167" s="1213"/>
      <c r="AE167" s="1213"/>
      <c r="AF167" s="1213"/>
      <c r="AV167" s="1213"/>
      <c r="AW167" s="1213"/>
      <c r="AX167" s="1213"/>
      <c r="AY167" s="1213"/>
      <c r="AZ167" s="1213"/>
      <c r="BA167" s="1213"/>
      <c r="BC167" s="1213"/>
      <c r="BE167" s="1213"/>
      <c r="BF167" s="1213"/>
      <c r="BG167" s="1213"/>
    </row>
    <row r="168" spans="18:59" x14ac:dyDescent="0.35">
      <c r="R168" s="1213"/>
      <c r="S168" s="1213"/>
      <c r="W168" s="1213"/>
      <c r="X168" s="1213"/>
      <c r="AE168" s="1213"/>
      <c r="AF168" s="1213"/>
      <c r="AV168" s="1213"/>
      <c r="AW168" s="1213"/>
      <c r="AX168" s="1213"/>
      <c r="AY168" s="1213"/>
      <c r="AZ168" s="1213"/>
      <c r="BA168" s="1213"/>
      <c r="BC168" s="1213"/>
      <c r="BE168" s="1213"/>
      <c r="BF168" s="1213"/>
      <c r="BG168" s="1213"/>
    </row>
    <row r="169" spans="18:59" x14ac:dyDescent="0.35">
      <c r="R169" s="1213"/>
      <c r="S169" s="1213"/>
      <c r="W169" s="1213"/>
      <c r="X169" s="1213"/>
      <c r="AE169" s="1213"/>
      <c r="AF169" s="1213"/>
      <c r="AV169" s="1213"/>
      <c r="AW169" s="1213"/>
      <c r="AX169" s="1213"/>
      <c r="AY169" s="1213"/>
      <c r="AZ169" s="1213"/>
      <c r="BA169" s="1213"/>
      <c r="BC169" s="1213"/>
      <c r="BE169" s="1213"/>
      <c r="BF169" s="1213"/>
      <c r="BG169" s="1213"/>
    </row>
    <row r="170" spans="18:59" x14ac:dyDescent="0.35">
      <c r="R170" s="1213"/>
      <c r="S170" s="1213"/>
      <c r="W170" s="1213"/>
      <c r="X170" s="1213"/>
      <c r="AE170" s="1213"/>
      <c r="AF170" s="1213"/>
      <c r="AV170" s="1213"/>
      <c r="AW170" s="1213"/>
      <c r="AX170" s="1213"/>
      <c r="AY170" s="1213"/>
      <c r="AZ170" s="1213"/>
      <c r="BA170" s="1213"/>
      <c r="BC170" s="1213"/>
      <c r="BE170" s="1213"/>
      <c r="BF170" s="1213"/>
      <c r="BG170" s="1213"/>
    </row>
    <row r="171" spans="18:59" x14ac:dyDescent="0.35">
      <c r="R171" s="1213"/>
      <c r="S171" s="1213"/>
      <c r="W171" s="1213"/>
      <c r="X171" s="1213"/>
      <c r="AE171" s="1213"/>
      <c r="AF171" s="1213"/>
      <c r="AV171" s="1213"/>
      <c r="AW171" s="1213"/>
      <c r="AX171" s="1213"/>
      <c r="AY171" s="1213"/>
      <c r="AZ171" s="1213"/>
      <c r="BA171" s="1213"/>
      <c r="BC171" s="1213"/>
      <c r="BE171" s="1213"/>
      <c r="BF171" s="1213"/>
      <c r="BG171" s="1213"/>
    </row>
    <row r="172" spans="18:59" x14ac:dyDescent="0.35">
      <c r="R172" s="1213"/>
      <c r="S172" s="1213"/>
      <c r="W172" s="1213"/>
      <c r="X172" s="1213"/>
      <c r="AE172" s="1213"/>
      <c r="AF172" s="1213"/>
      <c r="AV172" s="1213"/>
      <c r="AW172" s="1213"/>
      <c r="AX172" s="1213"/>
      <c r="AY172" s="1213"/>
      <c r="AZ172" s="1213"/>
      <c r="BA172" s="1213"/>
      <c r="BC172" s="1213"/>
      <c r="BE172" s="1213"/>
      <c r="BF172" s="1213"/>
      <c r="BG172" s="1213"/>
    </row>
    <row r="173" spans="18:59" x14ac:dyDescent="0.35">
      <c r="R173" s="1213"/>
      <c r="S173" s="1213"/>
      <c r="W173" s="1213"/>
      <c r="X173" s="1213"/>
      <c r="AE173" s="1213"/>
      <c r="AF173" s="1213"/>
      <c r="AV173" s="1213"/>
      <c r="AW173" s="1213"/>
      <c r="AX173" s="1213"/>
      <c r="AY173" s="1213"/>
      <c r="AZ173" s="1213"/>
      <c r="BA173" s="1213"/>
      <c r="BC173" s="1213"/>
      <c r="BE173" s="1213"/>
      <c r="BF173" s="1213"/>
      <c r="BG173" s="1213"/>
    </row>
    <row r="174" spans="18:59" x14ac:dyDescent="0.35">
      <c r="R174" s="1213"/>
      <c r="S174" s="1213"/>
      <c r="W174" s="1213"/>
      <c r="X174" s="1213"/>
      <c r="AE174" s="1213"/>
      <c r="AF174" s="1213"/>
      <c r="AV174" s="1213"/>
      <c r="AW174" s="1213"/>
      <c r="AX174" s="1213"/>
      <c r="AY174" s="1213"/>
      <c r="AZ174" s="1213"/>
      <c r="BA174" s="1213"/>
      <c r="BC174" s="1213"/>
      <c r="BE174" s="1213"/>
      <c r="BF174" s="1213"/>
      <c r="BG174" s="1213"/>
    </row>
    <row r="175" spans="18:59" x14ac:dyDescent="0.35">
      <c r="R175" s="1213"/>
      <c r="S175" s="1213"/>
      <c r="W175" s="1213"/>
      <c r="X175" s="1213"/>
      <c r="AE175" s="1213"/>
      <c r="AF175" s="1213"/>
      <c r="AV175" s="1213"/>
      <c r="AW175" s="1213"/>
      <c r="AX175" s="1213"/>
      <c r="AY175" s="1213"/>
      <c r="AZ175" s="1213"/>
      <c r="BA175" s="1213"/>
      <c r="BC175" s="1213"/>
      <c r="BE175" s="1213"/>
      <c r="BF175" s="1213"/>
      <c r="BG175" s="1213"/>
    </row>
    <row r="176" spans="18:59" x14ac:dyDescent="0.35">
      <c r="R176" s="1213"/>
      <c r="S176" s="1213"/>
      <c r="W176" s="1213"/>
      <c r="X176" s="1213"/>
      <c r="AE176" s="1213"/>
      <c r="AF176" s="1213"/>
      <c r="AV176" s="1213"/>
      <c r="AW176" s="1213"/>
      <c r="AX176" s="1213"/>
      <c r="AY176" s="1213"/>
      <c r="AZ176" s="1213"/>
      <c r="BA176" s="1213"/>
      <c r="BC176" s="1213"/>
      <c r="BE176" s="1213"/>
      <c r="BF176" s="1213"/>
      <c r="BG176" s="1213"/>
    </row>
    <row r="177" spans="18:59" x14ac:dyDescent="0.35">
      <c r="R177" s="1213"/>
      <c r="S177" s="1213"/>
      <c r="W177" s="1213"/>
      <c r="X177" s="1213"/>
      <c r="AE177" s="1213"/>
      <c r="AF177" s="1213"/>
      <c r="AV177" s="1213"/>
      <c r="AW177" s="1213"/>
      <c r="AX177" s="1213"/>
      <c r="AY177" s="1213"/>
      <c r="AZ177" s="1213"/>
      <c r="BA177" s="1213"/>
      <c r="BC177" s="1213"/>
      <c r="BE177" s="1213"/>
      <c r="BF177" s="1213"/>
      <c r="BG177" s="1213"/>
    </row>
    <row r="178" spans="18:59" x14ac:dyDescent="0.35">
      <c r="R178" s="1213"/>
      <c r="S178" s="1213"/>
      <c r="W178" s="1213"/>
      <c r="X178" s="1213"/>
      <c r="AE178" s="1213"/>
      <c r="AF178" s="1213"/>
      <c r="AV178" s="1213"/>
      <c r="AW178" s="1213"/>
      <c r="AX178" s="1213"/>
      <c r="AY178" s="1213"/>
      <c r="AZ178" s="1213"/>
      <c r="BA178" s="1213"/>
      <c r="BC178" s="1213"/>
      <c r="BE178" s="1213"/>
      <c r="BF178" s="1213"/>
      <c r="BG178" s="1213"/>
    </row>
    <row r="179" spans="18:59" x14ac:dyDescent="0.35">
      <c r="R179" s="1213"/>
      <c r="S179" s="1213"/>
      <c r="W179" s="1213"/>
      <c r="X179" s="1213"/>
      <c r="AE179" s="1213"/>
      <c r="AF179" s="1213"/>
      <c r="AV179" s="1213"/>
      <c r="AW179" s="1213"/>
      <c r="AX179" s="1213"/>
      <c r="AY179" s="1213"/>
      <c r="AZ179" s="1213"/>
      <c r="BA179" s="1213"/>
      <c r="BC179" s="1213"/>
      <c r="BE179" s="1213"/>
      <c r="BF179" s="1213"/>
      <c r="BG179" s="1213"/>
    </row>
    <row r="180" spans="18:59" x14ac:dyDescent="0.35">
      <c r="R180" s="1213"/>
      <c r="S180" s="1213"/>
      <c r="W180" s="1213"/>
      <c r="X180" s="1213"/>
      <c r="AE180" s="1213"/>
      <c r="AF180" s="1213"/>
      <c r="AV180" s="1213"/>
      <c r="AW180" s="1213"/>
      <c r="AX180" s="1213"/>
      <c r="AY180" s="1213"/>
      <c r="AZ180" s="1213"/>
      <c r="BA180" s="1213"/>
      <c r="BC180" s="1213"/>
      <c r="BE180" s="1213"/>
      <c r="BF180" s="1213"/>
      <c r="BG180" s="1213"/>
    </row>
    <row r="181" spans="18:59" x14ac:dyDescent="0.35">
      <c r="R181" s="1213"/>
      <c r="S181" s="1213"/>
      <c r="W181" s="1213"/>
      <c r="X181" s="1213"/>
      <c r="AE181" s="1213"/>
      <c r="AF181" s="1213"/>
      <c r="AV181" s="1213"/>
      <c r="AW181" s="1213"/>
      <c r="AX181" s="1213"/>
      <c r="AY181" s="1213"/>
      <c r="AZ181" s="1213"/>
      <c r="BA181" s="1213"/>
      <c r="BC181" s="1213"/>
      <c r="BE181" s="1213"/>
      <c r="BF181" s="1213"/>
      <c r="BG181" s="1213"/>
    </row>
    <row r="182" spans="18:59" x14ac:dyDescent="0.35">
      <c r="R182" s="1213"/>
      <c r="S182" s="1213"/>
      <c r="W182" s="1213"/>
      <c r="X182" s="1213"/>
      <c r="AE182" s="1213"/>
      <c r="AF182" s="1213"/>
      <c r="AV182" s="1213"/>
      <c r="AW182" s="1213"/>
      <c r="AX182" s="1213"/>
      <c r="AY182" s="1213"/>
      <c r="AZ182" s="1213"/>
      <c r="BA182" s="1213"/>
      <c r="BC182" s="1213"/>
      <c r="BE182" s="1213"/>
      <c r="BF182" s="1213"/>
      <c r="BG182" s="1213"/>
    </row>
    <row r="183" spans="18:59" x14ac:dyDescent="0.35">
      <c r="R183" s="1213"/>
      <c r="S183" s="1213"/>
      <c r="W183" s="1213"/>
      <c r="X183" s="1213"/>
      <c r="AE183" s="1213"/>
      <c r="AF183" s="1213"/>
      <c r="AV183" s="1213"/>
      <c r="AW183" s="1213"/>
      <c r="AX183" s="1213"/>
      <c r="AY183" s="1213"/>
      <c r="AZ183" s="1213"/>
      <c r="BA183" s="1213"/>
      <c r="BC183" s="1213"/>
      <c r="BE183" s="1213"/>
      <c r="BF183" s="1213"/>
      <c r="BG183" s="1213"/>
    </row>
    <row r="184" spans="18:59" x14ac:dyDescent="0.35">
      <c r="R184" s="1213"/>
      <c r="S184" s="1213"/>
      <c r="W184" s="1213"/>
      <c r="X184" s="1213"/>
      <c r="AE184" s="1213"/>
      <c r="AF184" s="1213"/>
      <c r="AV184" s="1213"/>
      <c r="AW184" s="1213"/>
      <c r="AX184" s="1213"/>
      <c r="AY184" s="1213"/>
      <c r="AZ184" s="1213"/>
      <c r="BA184" s="1213"/>
      <c r="BC184" s="1213"/>
      <c r="BE184" s="1213"/>
      <c r="BF184" s="1213"/>
      <c r="BG184" s="1213"/>
    </row>
    <row r="185" spans="18:59" x14ac:dyDescent="0.35">
      <c r="R185" s="1213"/>
      <c r="S185" s="1213"/>
      <c r="W185" s="1213"/>
      <c r="X185" s="1213"/>
      <c r="AE185" s="1213"/>
      <c r="AF185" s="1213"/>
      <c r="AV185" s="1213"/>
      <c r="AW185" s="1213"/>
      <c r="AX185" s="1213"/>
      <c r="AY185" s="1213"/>
      <c r="AZ185" s="1213"/>
      <c r="BA185" s="1213"/>
      <c r="BC185" s="1213"/>
      <c r="BE185" s="1213"/>
      <c r="BF185" s="1213"/>
      <c r="BG185" s="1213"/>
    </row>
    <row r="186" spans="18:59" x14ac:dyDescent="0.35">
      <c r="R186" s="1213"/>
      <c r="S186" s="1213"/>
      <c r="W186" s="1213"/>
      <c r="X186" s="1213"/>
      <c r="AE186" s="1213"/>
      <c r="AF186" s="1213"/>
      <c r="AV186" s="1213"/>
      <c r="AW186" s="1213"/>
      <c r="AX186" s="1213"/>
      <c r="AY186" s="1213"/>
      <c r="AZ186" s="1213"/>
      <c r="BA186" s="1213"/>
      <c r="BC186" s="1213"/>
      <c r="BE186" s="1213"/>
      <c r="BF186" s="1213"/>
      <c r="BG186" s="1213"/>
    </row>
    <row r="187" spans="18:59" x14ac:dyDescent="0.35">
      <c r="R187" s="1213"/>
      <c r="S187" s="1213"/>
      <c r="W187" s="1213"/>
      <c r="X187" s="1213"/>
      <c r="AE187" s="1213"/>
      <c r="AF187" s="1213"/>
      <c r="AV187" s="1213"/>
      <c r="AW187" s="1213"/>
      <c r="AX187" s="1213"/>
      <c r="AY187" s="1213"/>
      <c r="AZ187" s="1213"/>
      <c r="BA187" s="1213"/>
      <c r="BC187" s="1213"/>
      <c r="BE187" s="1213"/>
      <c r="BF187" s="1213"/>
      <c r="BG187" s="1213"/>
    </row>
    <row r="188" spans="18:59" x14ac:dyDescent="0.35">
      <c r="R188" s="1213"/>
      <c r="S188" s="1213"/>
      <c r="W188" s="1213"/>
      <c r="X188" s="1213"/>
      <c r="AE188" s="1213"/>
      <c r="AF188" s="1213"/>
      <c r="AV188" s="1213"/>
      <c r="AW188" s="1213"/>
      <c r="AX188" s="1213"/>
      <c r="AY188" s="1213"/>
      <c r="AZ188" s="1213"/>
      <c r="BA188" s="1213"/>
      <c r="BC188" s="1213"/>
      <c r="BE188" s="1213"/>
      <c r="BF188" s="1213"/>
      <c r="BG188" s="1213"/>
    </row>
    <row r="189" spans="18:59" x14ac:dyDescent="0.35">
      <c r="R189" s="1213"/>
      <c r="S189" s="1213"/>
      <c r="W189" s="1213"/>
      <c r="X189" s="1213"/>
      <c r="AE189" s="1213"/>
      <c r="AF189" s="1213"/>
      <c r="AV189" s="1213"/>
      <c r="AW189" s="1213"/>
      <c r="AX189" s="1213"/>
      <c r="AY189" s="1213"/>
      <c r="AZ189" s="1213"/>
      <c r="BA189" s="1213"/>
      <c r="BC189" s="1213"/>
      <c r="BE189" s="1213"/>
      <c r="BF189" s="1213"/>
      <c r="BG189" s="1213"/>
    </row>
    <row r="190" spans="18:59" x14ac:dyDescent="0.35">
      <c r="R190" s="1213"/>
      <c r="S190" s="1213"/>
      <c r="W190" s="1213"/>
      <c r="X190" s="1213"/>
      <c r="AE190" s="1213"/>
      <c r="AF190" s="1213"/>
      <c r="AV190" s="1213"/>
      <c r="AW190" s="1213"/>
      <c r="AX190" s="1213"/>
      <c r="AY190" s="1213"/>
      <c r="AZ190" s="1213"/>
      <c r="BA190" s="1213"/>
      <c r="BC190" s="1213"/>
      <c r="BE190" s="1213"/>
      <c r="BF190" s="1213"/>
      <c r="BG190" s="1213"/>
    </row>
    <row r="191" spans="18:59" x14ac:dyDescent="0.35">
      <c r="R191" s="1213"/>
      <c r="S191" s="1213"/>
      <c r="W191" s="1213"/>
      <c r="X191" s="1213"/>
      <c r="AE191" s="1213"/>
      <c r="AF191" s="1213"/>
      <c r="AV191" s="1213"/>
      <c r="AW191" s="1213"/>
      <c r="AX191" s="1213"/>
      <c r="AY191" s="1213"/>
      <c r="AZ191" s="1213"/>
      <c r="BA191" s="1213"/>
      <c r="BC191" s="1213"/>
      <c r="BE191" s="1213"/>
      <c r="BF191" s="1213"/>
      <c r="BG191" s="1213"/>
    </row>
    <row r="192" spans="18:59" x14ac:dyDescent="0.35">
      <c r="R192" s="1213"/>
      <c r="S192" s="1213"/>
      <c r="W192" s="1213"/>
      <c r="X192" s="1213"/>
      <c r="AE192" s="1213"/>
      <c r="AF192" s="1213"/>
      <c r="AV192" s="1213"/>
      <c r="AW192" s="1213"/>
      <c r="AX192" s="1213"/>
      <c r="AY192" s="1213"/>
      <c r="AZ192" s="1213"/>
      <c r="BA192" s="1213"/>
      <c r="BC192" s="1213"/>
      <c r="BE192" s="1213"/>
      <c r="BF192" s="1213"/>
      <c r="BG192" s="1213"/>
    </row>
    <row r="193" spans="18:59" x14ac:dyDescent="0.35">
      <c r="R193" s="1213"/>
      <c r="S193" s="1213"/>
      <c r="W193" s="1213"/>
      <c r="X193" s="1213"/>
      <c r="AE193" s="1213"/>
      <c r="AF193" s="1213"/>
      <c r="AV193" s="1213"/>
      <c r="AW193" s="1213"/>
      <c r="AX193" s="1213"/>
      <c r="AY193" s="1213"/>
      <c r="AZ193" s="1213"/>
      <c r="BA193" s="1213"/>
      <c r="BC193" s="1213"/>
      <c r="BE193" s="1213"/>
      <c r="BF193" s="1213"/>
      <c r="BG193" s="1213"/>
    </row>
    <row r="194" spans="18:59" x14ac:dyDescent="0.35">
      <c r="R194" s="1213"/>
      <c r="S194" s="1213"/>
      <c r="W194" s="1213"/>
      <c r="X194" s="1213"/>
      <c r="AE194" s="1213"/>
      <c r="AF194" s="1213"/>
      <c r="AV194" s="1213"/>
      <c r="AW194" s="1213"/>
      <c r="AX194" s="1213"/>
      <c r="AY194" s="1213"/>
      <c r="AZ194" s="1213"/>
      <c r="BA194" s="1213"/>
      <c r="BC194" s="1213"/>
      <c r="BE194" s="1213"/>
      <c r="BF194" s="1213"/>
      <c r="BG194" s="1213"/>
    </row>
    <row r="195" spans="18:59" x14ac:dyDescent="0.35">
      <c r="R195" s="1213"/>
      <c r="S195" s="1213"/>
      <c r="W195" s="1213"/>
      <c r="X195" s="1213"/>
      <c r="AE195" s="1213"/>
      <c r="AF195" s="1213"/>
      <c r="AV195" s="1213"/>
      <c r="AW195" s="1213"/>
      <c r="AX195" s="1213"/>
      <c r="AY195" s="1213"/>
      <c r="AZ195" s="1213"/>
      <c r="BA195" s="1213"/>
      <c r="BC195" s="1213"/>
      <c r="BE195" s="1213"/>
      <c r="BF195" s="1213"/>
      <c r="BG195" s="1213"/>
    </row>
    <row r="196" spans="18:59" x14ac:dyDescent="0.35">
      <c r="R196" s="1213"/>
      <c r="S196" s="1213"/>
      <c r="W196" s="1213"/>
      <c r="X196" s="1213"/>
      <c r="AE196" s="1213"/>
      <c r="AF196" s="1213"/>
      <c r="AV196" s="1213"/>
      <c r="AW196" s="1213"/>
      <c r="AX196" s="1213"/>
      <c r="AY196" s="1213"/>
      <c r="AZ196" s="1213"/>
      <c r="BA196" s="1213"/>
      <c r="BC196" s="1213"/>
      <c r="BE196" s="1213"/>
      <c r="BF196" s="1213"/>
      <c r="BG196" s="1213"/>
    </row>
    <row r="197" spans="18:59" x14ac:dyDescent="0.35">
      <c r="R197" s="1213"/>
      <c r="S197" s="1213"/>
      <c r="W197" s="1213"/>
      <c r="X197" s="1213"/>
      <c r="AE197" s="1213"/>
      <c r="AF197" s="1213"/>
      <c r="AV197" s="1213"/>
      <c r="AW197" s="1213"/>
      <c r="AX197" s="1213"/>
      <c r="AY197" s="1213"/>
      <c r="AZ197" s="1213"/>
      <c r="BA197" s="1213"/>
      <c r="BC197" s="1213"/>
      <c r="BE197" s="1213"/>
      <c r="BF197" s="1213"/>
      <c r="BG197" s="1213"/>
    </row>
    <row r="198" spans="18:59" x14ac:dyDescent="0.35">
      <c r="R198" s="1213"/>
      <c r="S198" s="1213"/>
      <c r="W198" s="1213"/>
      <c r="X198" s="1213"/>
      <c r="AE198" s="1213"/>
      <c r="AF198" s="1213"/>
      <c r="AV198" s="1213"/>
      <c r="AW198" s="1213"/>
      <c r="AX198" s="1213"/>
      <c r="AY198" s="1213"/>
      <c r="AZ198" s="1213"/>
      <c r="BA198" s="1213"/>
      <c r="BC198" s="1213"/>
      <c r="BE198" s="1213"/>
      <c r="BF198" s="1213"/>
      <c r="BG198" s="1213"/>
    </row>
    <row r="199" spans="18:59" x14ac:dyDescent="0.35">
      <c r="R199" s="1213"/>
      <c r="S199" s="1213"/>
      <c r="W199" s="1213"/>
      <c r="X199" s="1213"/>
      <c r="AE199" s="1213"/>
      <c r="AF199" s="1213"/>
      <c r="AV199" s="1213"/>
      <c r="AW199" s="1213"/>
      <c r="AX199" s="1213"/>
      <c r="AY199" s="1213"/>
      <c r="AZ199" s="1213"/>
      <c r="BA199" s="1213"/>
      <c r="BC199" s="1213"/>
      <c r="BE199" s="1213"/>
      <c r="BF199" s="1213"/>
      <c r="BG199" s="1213"/>
    </row>
    <row r="200" spans="18:59" x14ac:dyDescent="0.35">
      <c r="R200" s="1213"/>
      <c r="S200" s="1213"/>
      <c r="W200" s="1213"/>
      <c r="X200" s="1213"/>
      <c r="AE200" s="1213"/>
      <c r="AF200" s="1213"/>
      <c r="AV200" s="1213"/>
      <c r="AW200" s="1213"/>
      <c r="AX200" s="1213"/>
      <c r="AY200" s="1213"/>
      <c r="AZ200" s="1213"/>
      <c r="BA200" s="1213"/>
      <c r="BC200" s="1213"/>
      <c r="BE200" s="1213"/>
      <c r="BF200" s="1213"/>
      <c r="BG200" s="1213"/>
    </row>
    <row r="201" spans="18:59" x14ac:dyDescent="0.35">
      <c r="R201" s="1213"/>
      <c r="S201" s="1213"/>
      <c r="W201" s="1213"/>
      <c r="X201" s="1213"/>
      <c r="AE201" s="1213"/>
      <c r="AF201" s="1213"/>
      <c r="AV201" s="1213"/>
      <c r="AW201" s="1213"/>
      <c r="AX201" s="1213"/>
      <c r="AY201" s="1213"/>
      <c r="AZ201" s="1213"/>
      <c r="BA201" s="1213"/>
      <c r="BC201" s="1213"/>
      <c r="BE201" s="1213"/>
      <c r="BF201" s="1213"/>
      <c r="BG201" s="1213"/>
    </row>
    <row r="202" spans="18:59" x14ac:dyDescent="0.35">
      <c r="R202" s="1213"/>
      <c r="S202" s="1213"/>
      <c r="W202" s="1213"/>
      <c r="X202" s="1213"/>
      <c r="AE202" s="1213"/>
      <c r="AF202" s="1213"/>
      <c r="AV202" s="1213"/>
      <c r="AW202" s="1213"/>
      <c r="AX202" s="1213"/>
      <c r="AY202" s="1213"/>
      <c r="AZ202" s="1213"/>
      <c r="BA202" s="1213"/>
      <c r="BC202" s="1213"/>
      <c r="BE202" s="1213"/>
      <c r="BF202" s="1213"/>
      <c r="BG202" s="1213"/>
    </row>
    <row r="203" spans="18:59" x14ac:dyDescent="0.35">
      <c r="R203" s="1213"/>
      <c r="S203" s="1213"/>
      <c r="W203" s="1213"/>
      <c r="X203" s="1213"/>
      <c r="AE203" s="1213"/>
      <c r="AF203" s="1213"/>
      <c r="AV203" s="1213"/>
      <c r="AW203" s="1213"/>
      <c r="AX203" s="1213"/>
      <c r="AY203" s="1213"/>
      <c r="AZ203" s="1213"/>
      <c r="BA203" s="1213"/>
      <c r="BC203" s="1213"/>
      <c r="BE203" s="1213"/>
      <c r="BF203" s="1213"/>
      <c r="BG203" s="1213"/>
    </row>
    <row r="204" spans="18:59" x14ac:dyDescent="0.35">
      <c r="R204" s="1213"/>
      <c r="S204" s="1213"/>
      <c r="W204" s="1213"/>
      <c r="X204" s="1213"/>
      <c r="AE204" s="1213"/>
      <c r="AF204" s="1213"/>
      <c r="AV204" s="1213"/>
      <c r="AW204" s="1213"/>
      <c r="AX204" s="1213"/>
      <c r="AY204" s="1213"/>
      <c r="AZ204" s="1213"/>
      <c r="BA204" s="1213"/>
      <c r="BC204" s="1213"/>
      <c r="BE204" s="1213"/>
      <c r="BF204" s="1213"/>
      <c r="BG204" s="1213"/>
    </row>
    <row r="205" spans="18:59" x14ac:dyDescent="0.35">
      <c r="R205" s="1213"/>
      <c r="S205" s="1213"/>
      <c r="W205" s="1213"/>
      <c r="X205" s="1213"/>
      <c r="AE205" s="1213"/>
      <c r="AF205" s="1213"/>
      <c r="AV205" s="1213"/>
      <c r="AW205" s="1213"/>
      <c r="AX205" s="1213"/>
      <c r="AY205" s="1213"/>
      <c r="AZ205" s="1213"/>
      <c r="BA205" s="1213"/>
      <c r="BC205" s="1213"/>
      <c r="BE205" s="1213"/>
      <c r="BF205" s="1213"/>
      <c r="BG205" s="1213"/>
    </row>
    <row r="206" spans="18:59" x14ac:dyDescent="0.35">
      <c r="R206" s="1213"/>
      <c r="S206" s="1213"/>
      <c r="W206" s="1213"/>
      <c r="X206" s="1213"/>
      <c r="AE206" s="1213"/>
      <c r="AF206" s="1213"/>
      <c r="AV206" s="1213"/>
      <c r="AW206" s="1213"/>
      <c r="AX206" s="1213"/>
      <c r="AY206" s="1213"/>
      <c r="AZ206" s="1213"/>
      <c r="BA206" s="1213"/>
      <c r="BC206" s="1213"/>
      <c r="BE206" s="1213"/>
      <c r="BF206" s="1213"/>
      <c r="BG206" s="1213"/>
    </row>
    <row r="207" spans="18:59" x14ac:dyDescent="0.35">
      <c r="R207" s="1213"/>
      <c r="S207" s="1213"/>
      <c r="W207" s="1213"/>
      <c r="X207" s="1213"/>
      <c r="AE207" s="1213"/>
      <c r="AF207" s="1213"/>
      <c r="AV207" s="1213"/>
      <c r="AW207" s="1213"/>
      <c r="AX207" s="1213"/>
      <c r="AY207" s="1213"/>
      <c r="AZ207" s="1213"/>
      <c r="BA207" s="1213"/>
      <c r="BC207" s="1213"/>
      <c r="BE207" s="1213"/>
      <c r="BF207" s="1213"/>
      <c r="BG207" s="1213"/>
    </row>
    <row r="208" spans="18:59" x14ac:dyDescent="0.35">
      <c r="R208" s="1213"/>
      <c r="S208" s="1213"/>
      <c r="W208" s="1213"/>
      <c r="X208" s="1213"/>
      <c r="AE208" s="1213"/>
      <c r="AF208" s="1213"/>
      <c r="AV208" s="1213"/>
      <c r="AW208" s="1213"/>
      <c r="AX208" s="1213"/>
      <c r="AY208" s="1213"/>
      <c r="AZ208" s="1213"/>
      <c r="BA208" s="1213"/>
      <c r="BC208" s="1213"/>
      <c r="BE208" s="1213"/>
      <c r="BF208" s="1213"/>
      <c r="BG208" s="1213"/>
    </row>
    <row r="209" spans="18:59" x14ac:dyDescent="0.35">
      <c r="R209" s="1213"/>
      <c r="S209" s="1213"/>
      <c r="W209" s="1213"/>
      <c r="X209" s="1213"/>
      <c r="AE209" s="1213"/>
      <c r="AF209" s="1213"/>
      <c r="AV209" s="1213"/>
      <c r="AW209" s="1213"/>
      <c r="AX209" s="1213"/>
      <c r="AY209" s="1213"/>
      <c r="AZ209" s="1213"/>
      <c r="BA209" s="1213"/>
      <c r="BC209" s="1213"/>
      <c r="BE209" s="1213"/>
      <c r="BF209" s="1213"/>
      <c r="BG209" s="1213"/>
    </row>
    <row r="210" spans="18:59" x14ac:dyDescent="0.35">
      <c r="R210" s="1213"/>
      <c r="S210" s="1213"/>
      <c r="W210" s="1213"/>
      <c r="X210" s="1213"/>
      <c r="AE210" s="1213"/>
      <c r="AF210" s="1213"/>
      <c r="AV210" s="1213"/>
      <c r="AW210" s="1213"/>
      <c r="AX210" s="1213"/>
      <c r="AY210" s="1213"/>
      <c r="AZ210" s="1213"/>
      <c r="BA210" s="1213"/>
      <c r="BC210" s="1213"/>
      <c r="BE210" s="1213"/>
      <c r="BF210" s="1213"/>
      <c r="BG210" s="1213"/>
    </row>
    <row r="211" spans="18:59" x14ac:dyDescent="0.35">
      <c r="R211" s="1213"/>
      <c r="S211" s="1213"/>
      <c r="W211" s="1213"/>
      <c r="X211" s="1213"/>
      <c r="AE211" s="1213"/>
      <c r="AF211" s="1213"/>
      <c r="AV211" s="1213"/>
      <c r="AW211" s="1213"/>
      <c r="AX211" s="1213"/>
      <c r="AY211" s="1213"/>
      <c r="AZ211" s="1213"/>
      <c r="BA211" s="1213"/>
      <c r="BC211" s="1213"/>
      <c r="BE211" s="1213"/>
      <c r="BF211" s="1213"/>
      <c r="BG211" s="1213"/>
    </row>
    <row r="212" spans="18:59" x14ac:dyDescent="0.35">
      <c r="R212" s="1213"/>
      <c r="S212" s="1213"/>
      <c r="W212" s="1213"/>
      <c r="X212" s="1213"/>
      <c r="AE212" s="1213"/>
      <c r="AF212" s="1213"/>
      <c r="AV212" s="1213"/>
      <c r="AW212" s="1213"/>
      <c r="AX212" s="1213"/>
      <c r="AY212" s="1213"/>
      <c r="AZ212" s="1213"/>
      <c r="BA212" s="1213"/>
      <c r="BC212" s="1213"/>
      <c r="BE212" s="1213"/>
      <c r="BF212" s="1213"/>
      <c r="BG212" s="1213"/>
    </row>
    <row r="213" spans="18:59" x14ac:dyDescent="0.35">
      <c r="R213" s="1213"/>
      <c r="S213" s="1213"/>
      <c r="W213" s="1213"/>
      <c r="X213" s="1213"/>
      <c r="AE213" s="1213"/>
      <c r="AF213" s="1213"/>
      <c r="AV213" s="1213"/>
      <c r="AW213" s="1213"/>
      <c r="AX213" s="1213"/>
      <c r="AY213" s="1213"/>
      <c r="AZ213" s="1213"/>
      <c r="BA213" s="1213"/>
      <c r="BC213" s="1213"/>
      <c r="BE213" s="1213"/>
      <c r="BF213" s="1213"/>
      <c r="BG213" s="1213"/>
    </row>
    <row r="214" spans="18:59" x14ac:dyDescent="0.35">
      <c r="R214" s="1213"/>
      <c r="S214" s="1213"/>
      <c r="W214" s="1213"/>
      <c r="X214" s="1213"/>
      <c r="AE214" s="1213"/>
      <c r="AF214" s="1213"/>
      <c r="AV214" s="1213"/>
      <c r="AW214" s="1213"/>
      <c r="AX214" s="1213"/>
      <c r="AY214" s="1213"/>
      <c r="AZ214" s="1213"/>
      <c r="BA214" s="1213"/>
      <c r="BC214" s="1213"/>
      <c r="BE214" s="1213"/>
      <c r="BF214" s="1213"/>
      <c r="BG214" s="1213"/>
    </row>
    <row r="215" spans="18:59" x14ac:dyDescent="0.35">
      <c r="R215" s="1213"/>
      <c r="S215" s="1213"/>
      <c r="W215" s="1213"/>
      <c r="X215" s="1213"/>
      <c r="AE215" s="1213"/>
      <c r="AF215" s="1213"/>
      <c r="AV215" s="1213"/>
      <c r="AW215" s="1213"/>
      <c r="AX215" s="1213"/>
      <c r="AY215" s="1213"/>
      <c r="AZ215" s="1213"/>
      <c r="BA215" s="1213"/>
      <c r="BC215" s="1213"/>
      <c r="BE215" s="1213"/>
      <c r="BF215" s="1213"/>
      <c r="BG215" s="1213"/>
    </row>
    <row r="216" spans="18:59" x14ac:dyDescent="0.35">
      <c r="R216" s="1213"/>
      <c r="S216" s="1213"/>
      <c r="W216" s="1213"/>
      <c r="X216" s="1213"/>
      <c r="AE216" s="1213"/>
      <c r="AF216" s="1213"/>
      <c r="AV216" s="1213"/>
      <c r="AW216" s="1213"/>
      <c r="AX216" s="1213"/>
      <c r="AY216" s="1213"/>
      <c r="AZ216" s="1213"/>
      <c r="BA216" s="1213"/>
      <c r="BC216" s="1213"/>
      <c r="BE216" s="1213"/>
      <c r="BF216" s="1213"/>
      <c r="BG216" s="1213"/>
    </row>
    <row r="217" spans="18:59" x14ac:dyDescent="0.35">
      <c r="R217" s="1213"/>
      <c r="S217" s="1213"/>
      <c r="W217" s="1213"/>
      <c r="X217" s="1213"/>
      <c r="AE217" s="1213"/>
      <c r="AF217" s="1213"/>
      <c r="AV217" s="1213"/>
      <c r="AW217" s="1213"/>
      <c r="AX217" s="1213"/>
      <c r="AY217" s="1213"/>
      <c r="AZ217" s="1213"/>
      <c r="BA217" s="1213"/>
      <c r="BC217" s="1213"/>
      <c r="BE217" s="1213"/>
      <c r="BF217" s="1213"/>
      <c r="BG217" s="1213"/>
    </row>
    <row r="218" spans="18:59" x14ac:dyDescent="0.35">
      <c r="R218" s="1213"/>
      <c r="S218" s="1213"/>
      <c r="W218" s="1213"/>
      <c r="X218" s="1213"/>
      <c r="AE218" s="1213"/>
      <c r="AF218" s="1213"/>
      <c r="AV218" s="1213"/>
      <c r="AW218" s="1213"/>
      <c r="AX218" s="1213"/>
      <c r="AY218" s="1213"/>
      <c r="AZ218" s="1213"/>
      <c r="BA218" s="1213"/>
      <c r="BC218" s="1213"/>
      <c r="BE218" s="1213"/>
      <c r="BF218" s="1213"/>
      <c r="BG218" s="1213"/>
    </row>
    <row r="219" spans="18:59" x14ac:dyDescent="0.35">
      <c r="R219" s="1213"/>
      <c r="S219" s="1213"/>
      <c r="W219" s="1213"/>
      <c r="X219" s="1213"/>
      <c r="AE219" s="1213"/>
      <c r="AF219" s="1213"/>
      <c r="AV219" s="1213"/>
      <c r="AW219" s="1213"/>
      <c r="AX219" s="1213"/>
      <c r="AY219" s="1213"/>
      <c r="AZ219" s="1213"/>
      <c r="BA219" s="1213"/>
      <c r="BC219" s="1213"/>
      <c r="BE219" s="1213"/>
      <c r="BF219" s="1213"/>
      <c r="BG219" s="1213"/>
    </row>
    <row r="220" spans="18:59" x14ac:dyDescent="0.35">
      <c r="R220" s="1213"/>
      <c r="S220" s="1213"/>
      <c r="W220" s="1213"/>
      <c r="X220" s="1213"/>
      <c r="AE220" s="1213"/>
      <c r="AF220" s="1213"/>
      <c r="AV220" s="1213"/>
      <c r="AW220" s="1213"/>
      <c r="AX220" s="1213"/>
      <c r="AY220" s="1213"/>
      <c r="AZ220" s="1213"/>
      <c r="BA220" s="1213"/>
      <c r="BC220" s="1213"/>
      <c r="BE220" s="1213"/>
      <c r="BF220" s="1213"/>
      <c r="BG220" s="1213"/>
    </row>
    <row r="221" spans="18:59" x14ac:dyDescent="0.35">
      <c r="R221" s="1213"/>
      <c r="S221" s="1213"/>
      <c r="W221" s="1213"/>
      <c r="X221" s="1213"/>
      <c r="AE221" s="1213"/>
      <c r="AF221" s="1213"/>
      <c r="AV221" s="1213"/>
      <c r="AW221" s="1213"/>
      <c r="AX221" s="1213"/>
      <c r="AY221" s="1213"/>
      <c r="AZ221" s="1213"/>
      <c r="BA221" s="1213"/>
      <c r="BC221" s="1213"/>
      <c r="BE221" s="1213"/>
      <c r="BF221" s="1213"/>
      <c r="BG221" s="1213"/>
    </row>
    <row r="222" spans="18:59" x14ac:dyDescent="0.35">
      <c r="R222" s="1213"/>
      <c r="S222" s="1213"/>
      <c r="W222" s="1213"/>
      <c r="X222" s="1213"/>
      <c r="AE222" s="1213"/>
      <c r="AF222" s="1213"/>
      <c r="AV222" s="1213"/>
      <c r="AW222" s="1213"/>
      <c r="AX222" s="1213"/>
      <c r="AY222" s="1213"/>
      <c r="AZ222" s="1213"/>
      <c r="BA222" s="1213"/>
      <c r="BC222" s="1213"/>
      <c r="BE222" s="1213"/>
      <c r="BF222" s="1213"/>
      <c r="BG222" s="1213"/>
    </row>
    <row r="223" spans="18:59" x14ac:dyDescent="0.35">
      <c r="R223" s="1213"/>
      <c r="S223" s="1213"/>
      <c r="W223" s="1213"/>
      <c r="X223" s="1213"/>
      <c r="AE223" s="1213"/>
      <c r="AF223" s="1213"/>
      <c r="AV223" s="1213"/>
      <c r="AW223" s="1213"/>
      <c r="AX223" s="1213"/>
      <c r="AY223" s="1213"/>
      <c r="AZ223" s="1213"/>
      <c r="BA223" s="1213"/>
      <c r="BC223" s="1213"/>
      <c r="BE223" s="1213"/>
      <c r="BF223" s="1213"/>
      <c r="BG223" s="1213"/>
    </row>
    <row r="224" spans="18:59" x14ac:dyDescent="0.35">
      <c r="R224" s="1213"/>
      <c r="S224" s="1213"/>
      <c r="W224" s="1213"/>
      <c r="X224" s="1213"/>
      <c r="AE224" s="1213"/>
      <c r="AF224" s="1213"/>
      <c r="AV224" s="1213"/>
      <c r="AW224" s="1213"/>
      <c r="AX224" s="1213"/>
      <c r="AY224" s="1213"/>
      <c r="AZ224" s="1213"/>
      <c r="BA224" s="1213"/>
      <c r="BC224" s="1213"/>
      <c r="BE224" s="1213"/>
      <c r="BF224" s="1213"/>
      <c r="BG224" s="1213"/>
    </row>
    <row r="225" spans="18:59" x14ac:dyDescent="0.35">
      <c r="R225" s="1213"/>
      <c r="S225" s="1213"/>
      <c r="W225" s="1213"/>
      <c r="X225" s="1213"/>
      <c r="AE225" s="1213"/>
      <c r="AF225" s="1213"/>
      <c r="AV225" s="1213"/>
      <c r="AW225" s="1213"/>
      <c r="AX225" s="1213"/>
      <c r="AY225" s="1213"/>
      <c r="AZ225" s="1213"/>
      <c r="BA225" s="1213"/>
      <c r="BC225" s="1213"/>
      <c r="BE225" s="1213"/>
      <c r="BF225" s="1213"/>
      <c r="BG225" s="1213"/>
    </row>
    <row r="226" spans="18:59" x14ac:dyDescent="0.35">
      <c r="R226" s="1213"/>
      <c r="S226" s="1213"/>
      <c r="W226" s="1213"/>
      <c r="X226" s="1213"/>
      <c r="AE226" s="1213"/>
      <c r="AF226" s="1213"/>
      <c r="AV226" s="1213"/>
      <c r="AW226" s="1213"/>
      <c r="AX226" s="1213"/>
      <c r="AY226" s="1213"/>
      <c r="AZ226" s="1213"/>
      <c r="BA226" s="1213"/>
      <c r="BC226" s="1213"/>
      <c r="BE226" s="1213"/>
      <c r="BF226" s="1213"/>
      <c r="BG226" s="1213"/>
    </row>
    <row r="227" spans="18:59" x14ac:dyDescent="0.35">
      <c r="R227" s="1213"/>
      <c r="S227" s="1213"/>
      <c r="W227" s="1213"/>
      <c r="X227" s="1213"/>
      <c r="AE227" s="1213"/>
      <c r="AF227" s="1213"/>
      <c r="AV227" s="1213"/>
      <c r="AW227" s="1213"/>
      <c r="AX227" s="1213"/>
      <c r="AY227" s="1213"/>
      <c r="AZ227" s="1213"/>
      <c r="BA227" s="1213"/>
      <c r="BC227" s="1213"/>
      <c r="BE227" s="1213"/>
      <c r="BF227" s="1213"/>
      <c r="BG227" s="1213"/>
    </row>
    <row r="228" spans="18:59" x14ac:dyDescent="0.35">
      <c r="R228" s="1213"/>
      <c r="S228" s="1213"/>
      <c r="W228" s="1213"/>
      <c r="X228" s="1213"/>
      <c r="AE228" s="1213"/>
      <c r="AF228" s="1213"/>
      <c r="AV228" s="1213"/>
      <c r="AW228" s="1213"/>
      <c r="AX228" s="1213"/>
      <c r="AY228" s="1213"/>
      <c r="AZ228" s="1213"/>
      <c r="BA228" s="1213"/>
      <c r="BC228" s="1213"/>
      <c r="BE228" s="1213"/>
      <c r="BF228" s="1213"/>
      <c r="BG228" s="1213"/>
    </row>
    <row r="229" spans="18:59" x14ac:dyDescent="0.35">
      <c r="R229" s="1213"/>
      <c r="S229" s="1213"/>
      <c r="W229" s="1213"/>
      <c r="X229" s="1213"/>
      <c r="AE229" s="1213"/>
      <c r="AF229" s="1213"/>
      <c r="AV229" s="1213"/>
      <c r="AW229" s="1213"/>
      <c r="AX229" s="1213"/>
      <c r="AY229" s="1213"/>
      <c r="AZ229" s="1213"/>
      <c r="BA229" s="1213"/>
      <c r="BC229" s="1213"/>
      <c r="BE229" s="1213"/>
      <c r="BF229" s="1213"/>
      <c r="BG229" s="1213"/>
    </row>
    <row r="230" spans="18:59" x14ac:dyDescent="0.35">
      <c r="R230" s="1213"/>
      <c r="S230" s="1213"/>
      <c r="W230" s="1213"/>
      <c r="X230" s="1213"/>
      <c r="AE230" s="1213"/>
      <c r="AF230" s="1213"/>
      <c r="AV230" s="1213"/>
      <c r="AW230" s="1213"/>
      <c r="AX230" s="1213"/>
      <c r="AY230" s="1213"/>
      <c r="AZ230" s="1213"/>
      <c r="BA230" s="1213"/>
      <c r="BC230" s="1213"/>
      <c r="BE230" s="1213"/>
      <c r="BF230" s="1213"/>
      <c r="BG230" s="1213"/>
    </row>
    <row r="231" spans="18:59" x14ac:dyDescent="0.35">
      <c r="R231" s="1213"/>
      <c r="S231" s="1213"/>
      <c r="W231" s="1213"/>
      <c r="X231" s="1213"/>
      <c r="AE231" s="1213"/>
      <c r="AF231" s="1213"/>
      <c r="AV231" s="1213"/>
      <c r="AW231" s="1213"/>
      <c r="AX231" s="1213"/>
      <c r="AY231" s="1213"/>
      <c r="AZ231" s="1213"/>
      <c r="BA231" s="1213"/>
      <c r="BC231" s="1213"/>
      <c r="BE231" s="1213"/>
      <c r="BF231" s="1213"/>
      <c r="BG231" s="1213"/>
    </row>
    <row r="232" spans="18:59" x14ac:dyDescent="0.35">
      <c r="R232" s="1213"/>
      <c r="S232" s="1213"/>
      <c r="W232" s="1213"/>
      <c r="X232" s="1213"/>
      <c r="AE232" s="1213"/>
      <c r="AF232" s="1213"/>
      <c r="AV232" s="1213"/>
      <c r="AW232" s="1213"/>
      <c r="AX232" s="1213"/>
      <c r="AY232" s="1213"/>
      <c r="AZ232" s="1213"/>
      <c r="BA232" s="1213"/>
      <c r="BC232" s="1213"/>
      <c r="BE232" s="1213"/>
      <c r="BF232" s="1213"/>
      <c r="BG232" s="1213"/>
    </row>
    <row r="233" spans="18:59" x14ac:dyDescent="0.35">
      <c r="R233" s="1213"/>
      <c r="S233" s="1213"/>
      <c r="W233" s="1213"/>
      <c r="X233" s="1213"/>
      <c r="AE233" s="1213"/>
      <c r="AF233" s="1213"/>
      <c r="AV233" s="1213"/>
      <c r="AW233" s="1213"/>
      <c r="AX233" s="1213"/>
      <c r="AY233" s="1213"/>
      <c r="AZ233" s="1213"/>
      <c r="BA233" s="1213"/>
      <c r="BC233" s="1213"/>
      <c r="BE233" s="1213"/>
      <c r="BF233" s="1213"/>
      <c r="BG233" s="1213"/>
    </row>
    <row r="234" spans="18:59" x14ac:dyDescent="0.35">
      <c r="R234" s="1213"/>
      <c r="S234" s="1213"/>
      <c r="W234" s="1213"/>
      <c r="X234" s="1213"/>
      <c r="AE234" s="1213"/>
      <c r="AF234" s="1213"/>
      <c r="AV234" s="1213"/>
      <c r="AW234" s="1213"/>
      <c r="AX234" s="1213"/>
      <c r="AY234" s="1213"/>
      <c r="AZ234" s="1213"/>
      <c r="BA234" s="1213"/>
      <c r="BC234" s="1213"/>
      <c r="BE234" s="1213"/>
      <c r="BF234" s="1213"/>
      <c r="BG234" s="1213"/>
    </row>
    <row r="235" spans="18:59" x14ac:dyDescent="0.35">
      <c r="R235" s="1213"/>
      <c r="S235" s="1213"/>
      <c r="W235" s="1213"/>
      <c r="X235" s="1213"/>
      <c r="AE235" s="1213"/>
      <c r="AF235" s="1213"/>
      <c r="AV235" s="1213"/>
      <c r="AW235" s="1213"/>
      <c r="AX235" s="1213"/>
      <c r="AY235" s="1213"/>
      <c r="AZ235" s="1213"/>
      <c r="BA235" s="1213"/>
      <c r="BC235" s="1213"/>
      <c r="BE235" s="1213"/>
      <c r="BF235" s="1213"/>
      <c r="BG235" s="1213"/>
    </row>
    <row r="236" spans="18:59" x14ac:dyDescent="0.35">
      <c r="R236" s="1213"/>
      <c r="S236" s="1213"/>
      <c r="W236" s="1213"/>
      <c r="X236" s="1213"/>
      <c r="AE236" s="1213"/>
      <c r="AF236" s="1213"/>
      <c r="AV236" s="1213"/>
      <c r="AW236" s="1213"/>
      <c r="AX236" s="1213"/>
      <c r="AY236" s="1213"/>
      <c r="AZ236" s="1213"/>
      <c r="BA236" s="1213"/>
      <c r="BC236" s="1213"/>
      <c r="BE236" s="1213"/>
      <c r="BF236" s="1213"/>
      <c r="BG236" s="1213"/>
    </row>
    <row r="237" spans="18:59" x14ac:dyDescent="0.35">
      <c r="R237" s="1213"/>
      <c r="S237" s="1213"/>
      <c r="W237" s="1213"/>
      <c r="X237" s="1213"/>
      <c r="AE237" s="1213"/>
      <c r="AF237" s="1213"/>
      <c r="AV237" s="1213"/>
      <c r="AW237" s="1213"/>
      <c r="AX237" s="1213"/>
      <c r="AY237" s="1213"/>
      <c r="AZ237" s="1213"/>
      <c r="BA237" s="1213"/>
      <c r="BC237" s="1213"/>
      <c r="BE237" s="1213"/>
      <c r="BF237" s="1213"/>
      <c r="BG237" s="1213"/>
    </row>
    <row r="238" spans="18:59" x14ac:dyDescent="0.35">
      <c r="R238" s="1213"/>
      <c r="S238" s="1213"/>
      <c r="W238" s="1213"/>
      <c r="X238" s="1213"/>
      <c r="AE238" s="1213"/>
      <c r="AF238" s="1213"/>
      <c r="AV238" s="1213"/>
      <c r="AW238" s="1213"/>
      <c r="AX238" s="1213"/>
      <c r="AY238" s="1213"/>
      <c r="AZ238" s="1213"/>
      <c r="BA238" s="1213"/>
      <c r="BC238" s="1213"/>
      <c r="BE238" s="1213"/>
      <c r="BF238" s="1213"/>
      <c r="BG238" s="1213"/>
    </row>
    <row r="239" spans="18:59" x14ac:dyDescent="0.35">
      <c r="R239" s="1213"/>
      <c r="S239" s="1213"/>
      <c r="W239" s="1213"/>
      <c r="X239" s="1213"/>
      <c r="AE239" s="1213"/>
      <c r="AF239" s="1213"/>
      <c r="AV239" s="1213"/>
      <c r="AW239" s="1213"/>
      <c r="AX239" s="1213"/>
      <c r="AY239" s="1213"/>
      <c r="AZ239" s="1213"/>
      <c r="BA239" s="1213"/>
      <c r="BC239" s="1213"/>
      <c r="BE239" s="1213"/>
      <c r="BF239" s="1213"/>
      <c r="BG239" s="1213"/>
    </row>
    <row r="240" spans="18:59" x14ac:dyDescent="0.35">
      <c r="R240" s="1213"/>
      <c r="S240" s="1213"/>
      <c r="W240" s="1213"/>
      <c r="X240" s="1213"/>
      <c r="AE240" s="1213"/>
      <c r="AF240" s="1213"/>
      <c r="AV240" s="1213"/>
      <c r="AW240" s="1213"/>
      <c r="AX240" s="1213"/>
      <c r="AY240" s="1213"/>
      <c r="AZ240" s="1213"/>
      <c r="BA240" s="1213"/>
      <c r="BC240" s="1213"/>
      <c r="BE240" s="1213"/>
      <c r="BF240" s="1213"/>
      <c r="BG240" s="1213"/>
    </row>
    <row r="241" spans="18:59" x14ac:dyDescent="0.35">
      <c r="R241" s="1213"/>
      <c r="S241" s="1213"/>
      <c r="W241" s="1213"/>
      <c r="X241" s="1213"/>
      <c r="AE241" s="1213"/>
      <c r="AF241" s="1213"/>
      <c r="AV241" s="1213"/>
      <c r="AW241" s="1213"/>
      <c r="AX241" s="1213"/>
      <c r="AY241" s="1213"/>
      <c r="AZ241" s="1213"/>
      <c r="BA241" s="1213"/>
      <c r="BC241" s="1213"/>
      <c r="BE241" s="1213"/>
      <c r="BF241" s="1213"/>
      <c r="BG241" s="1213"/>
    </row>
    <row r="242" spans="18:59" x14ac:dyDescent="0.35">
      <c r="R242" s="1213"/>
      <c r="S242" s="1213"/>
      <c r="W242" s="1213"/>
      <c r="X242" s="1213"/>
      <c r="AE242" s="1213"/>
      <c r="AF242" s="1213"/>
      <c r="AV242" s="1213"/>
      <c r="AW242" s="1213"/>
      <c r="AX242" s="1213"/>
      <c r="AY242" s="1213"/>
      <c r="AZ242" s="1213"/>
      <c r="BA242" s="1213"/>
      <c r="BC242" s="1213"/>
      <c r="BE242" s="1213"/>
      <c r="BF242" s="1213"/>
      <c r="BG242" s="1213"/>
    </row>
    <row r="243" spans="18:59" x14ac:dyDescent="0.35">
      <c r="R243" s="1213"/>
      <c r="S243" s="1213"/>
      <c r="W243" s="1213"/>
      <c r="X243" s="1213"/>
      <c r="AE243" s="1213"/>
      <c r="AF243" s="1213"/>
      <c r="AV243" s="1213"/>
      <c r="AW243" s="1213"/>
      <c r="AX243" s="1213"/>
      <c r="AY243" s="1213"/>
      <c r="AZ243" s="1213"/>
      <c r="BA243" s="1213"/>
      <c r="BC243" s="1213"/>
      <c r="BE243" s="1213"/>
      <c r="BF243" s="1213"/>
      <c r="BG243" s="1213"/>
    </row>
    <row r="244" spans="18:59" x14ac:dyDescent="0.35">
      <c r="R244" s="1213"/>
      <c r="S244" s="1213"/>
      <c r="W244" s="1213"/>
      <c r="X244" s="1213"/>
      <c r="AE244" s="1213"/>
      <c r="AF244" s="1213"/>
      <c r="AV244" s="1213"/>
      <c r="AW244" s="1213"/>
      <c r="AX244" s="1213"/>
      <c r="AY244" s="1213"/>
      <c r="AZ244" s="1213"/>
      <c r="BA244" s="1213"/>
      <c r="BC244" s="1213"/>
      <c r="BE244" s="1213"/>
      <c r="BF244" s="1213"/>
      <c r="BG244" s="1213"/>
    </row>
    <row r="245" spans="18:59" x14ac:dyDescent="0.35">
      <c r="R245" s="1213"/>
      <c r="S245" s="1213"/>
      <c r="W245" s="1213"/>
      <c r="X245" s="1213"/>
      <c r="AE245" s="1213"/>
      <c r="AF245" s="1213"/>
      <c r="AV245" s="1213"/>
      <c r="AW245" s="1213"/>
      <c r="AX245" s="1213"/>
      <c r="AY245" s="1213"/>
      <c r="AZ245" s="1213"/>
      <c r="BA245" s="1213"/>
      <c r="BC245" s="1213"/>
      <c r="BE245" s="1213"/>
      <c r="BF245" s="1213"/>
      <c r="BG245" s="1213"/>
    </row>
    <row r="246" spans="18:59" x14ac:dyDescent="0.35">
      <c r="R246" s="1213"/>
      <c r="S246" s="1213"/>
      <c r="W246" s="1213"/>
      <c r="X246" s="1213"/>
      <c r="AE246" s="1213"/>
      <c r="AF246" s="1213"/>
      <c r="AV246" s="1213"/>
      <c r="AW246" s="1213"/>
      <c r="AX246" s="1213"/>
      <c r="AY246" s="1213"/>
      <c r="AZ246" s="1213"/>
      <c r="BA246" s="1213"/>
      <c r="BC246" s="1213"/>
      <c r="BE246" s="1213"/>
      <c r="BF246" s="1213"/>
      <c r="BG246" s="1213"/>
    </row>
    <row r="247" spans="18:59" x14ac:dyDescent="0.35">
      <c r="R247" s="1213"/>
      <c r="S247" s="1213"/>
      <c r="W247" s="1213"/>
      <c r="X247" s="1213"/>
      <c r="AE247" s="1213"/>
      <c r="AF247" s="1213"/>
      <c r="AV247" s="1213"/>
      <c r="AW247" s="1213"/>
      <c r="AX247" s="1213"/>
      <c r="AY247" s="1213"/>
      <c r="AZ247" s="1213"/>
      <c r="BA247" s="1213"/>
      <c r="BC247" s="1213"/>
      <c r="BE247" s="1213"/>
      <c r="BF247" s="1213"/>
      <c r="BG247" s="1213"/>
    </row>
    <row r="248" spans="18:59" x14ac:dyDescent="0.35">
      <c r="R248" s="1213"/>
      <c r="S248" s="1213"/>
      <c r="W248" s="1213"/>
      <c r="X248" s="1213"/>
      <c r="AE248" s="1213"/>
      <c r="AF248" s="1213"/>
      <c r="AV248" s="1213"/>
      <c r="AW248" s="1213"/>
      <c r="AX248" s="1213"/>
      <c r="AY248" s="1213"/>
      <c r="AZ248" s="1213"/>
      <c r="BA248" s="1213"/>
      <c r="BC248" s="1213"/>
      <c r="BE248" s="1213"/>
      <c r="BF248" s="1213"/>
      <c r="BG248" s="1213"/>
    </row>
    <row r="249" spans="18:59" x14ac:dyDescent="0.35">
      <c r="R249" s="1213"/>
      <c r="S249" s="1213"/>
      <c r="W249" s="1213"/>
      <c r="X249" s="1213"/>
      <c r="AE249" s="1213"/>
      <c r="AF249" s="1213"/>
      <c r="AV249" s="1213"/>
      <c r="AW249" s="1213"/>
      <c r="AX249" s="1213"/>
      <c r="AY249" s="1213"/>
      <c r="AZ249" s="1213"/>
      <c r="BA249" s="1213"/>
      <c r="BC249" s="1213"/>
      <c r="BE249" s="1213"/>
      <c r="BF249" s="1213"/>
      <c r="BG249" s="1213"/>
    </row>
    <row r="250" spans="18:59" x14ac:dyDescent="0.35">
      <c r="R250" s="1213"/>
      <c r="S250" s="1213"/>
      <c r="W250" s="1213"/>
      <c r="X250" s="1213"/>
      <c r="AE250" s="1213"/>
      <c r="AF250" s="1213"/>
      <c r="AV250" s="1213"/>
      <c r="AW250" s="1213"/>
      <c r="AX250" s="1213"/>
      <c r="AY250" s="1213"/>
      <c r="AZ250" s="1213"/>
      <c r="BA250" s="1213"/>
      <c r="BC250" s="1213"/>
      <c r="BE250" s="1213"/>
      <c r="BF250" s="1213"/>
      <c r="BG250" s="1213"/>
    </row>
    <row r="251" spans="18:59" x14ac:dyDescent="0.35">
      <c r="R251" s="1213"/>
      <c r="S251" s="1213"/>
      <c r="W251" s="1213"/>
      <c r="X251" s="1213"/>
      <c r="AE251" s="1213"/>
      <c r="AF251" s="1213"/>
      <c r="AV251" s="1213"/>
      <c r="AW251" s="1213"/>
      <c r="AX251" s="1213"/>
      <c r="AY251" s="1213"/>
      <c r="AZ251" s="1213"/>
      <c r="BA251" s="1213"/>
      <c r="BC251" s="1213"/>
      <c r="BE251" s="1213"/>
      <c r="BF251" s="1213"/>
      <c r="BG251" s="1213"/>
    </row>
    <row r="252" spans="18:59" x14ac:dyDescent="0.35">
      <c r="R252" s="1213"/>
      <c r="S252" s="1213"/>
      <c r="W252" s="1213"/>
      <c r="X252" s="1213"/>
      <c r="AE252" s="1213"/>
      <c r="AF252" s="1213"/>
      <c r="AV252" s="1213"/>
      <c r="AW252" s="1213"/>
      <c r="AX252" s="1213"/>
      <c r="AY252" s="1213"/>
      <c r="AZ252" s="1213"/>
      <c r="BA252" s="1213"/>
      <c r="BC252" s="1213"/>
      <c r="BE252" s="1213"/>
      <c r="BF252" s="1213"/>
      <c r="BG252" s="1213"/>
    </row>
    <row r="253" spans="18:59" x14ac:dyDescent="0.35">
      <c r="R253" s="1213"/>
      <c r="S253" s="1213"/>
      <c r="W253" s="1213"/>
      <c r="X253" s="1213"/>
      <c r="AE253" s="1213"/>
      <c r="AF253" s="1213"/>
      <c r="AV253" s="1213"/>
      <c r="AW253" s="1213"/>
      <c r="AX253" s="1213"/>
      <c r="AY253" s="1213"/>
      <c r="AZ253" s="1213"/>
      <c r="BA253" s="1213"/>
      <c r="BC253" s="1213"/>
      <c r="BE253" s="1213"/>
      <c r="BF253" s="1213"/>
      <c r="BG253" s="1213"/>
    </row>
    <row r="254" spans="18:59" x14ac:dyDescent="0.35">
      <c r="R254" s="1213"/>
      <c r="S254" s="1213"/>
      <c r="W254" s="1213"/>
      <c r="X254" s="1213"/>
      <c r="AE254" s="1213"/>
      <c r="AF254" s="1213"/>
      <c r="AV254" s="1213"/>
      <c r="AW254" s="1213"/>
      <c r="AX254" s="1213"/>
      <c r="AY254" s="1213"/>
      <c r="AZ254" s="1213"/>
      <c r="BA254" s="1213"/>
      <c r="BC254" s="1213"/>
      <c r="BE254" s="1213"/>
      <c r="BF254" s="1213"/>
      <c r="BG254" s="1213"/>
    </row>
    <row r="255" spans="18:59" x14ac:dyDescent="0.35">
      <c r="R255" s="1213"/>
      <c r="S255" s="1213"/>
      <c r="W255" s="1213"/>
      <c r="X255" s="1213"/>
      <c r="AE255" s="1213"/>
      <c r="AF255" s="1213"/>
      <c r="AV255" s="1213"/>
      <c r="AW255" s="1213"/>
      <c r="AX255" s="1213"/>
      <c r="AY255" s="1213"/>
      <c r="AZ255" s="1213"/>
      <c r="BA255" s="1213"/>
      <c r="BC255" s="1213"/>
      <c r="BE255" s="1213"/>
      <c r="BF255" s="1213"/>
      <c r="BG255" s="1213"/>
    </row>
    <row r="256" spans="18:59" x14ac:dyDescent="0.35">
      <c r="R256" s="1213"/>
      <c r="S256" s="1213"/>
      <c r="W256" s="1213"/>
      <c r="X256" s="1213"/>
      <c r="AE256" s="1213"/>
      <c r="AF256" s="1213"/>
      <c r="AV256" s="1213"/>
      <c r="AW256" s="1213"/>
      <c r="AX256" s="1213"/>
      <c r="AY256" s="1213"/>
      <c r="AZ256" s="1213"/>
      <c r="BA256" s="1213"/>
      <c r="BC256" s="1213"/>
      <c r="BE256" s="1213"/>
      <c r="BF256" s="1213"/>
      <c r="BG256" s="1213"/>
    </row>
    <row r="257" spans="18:59" x14ac:dyDescent="0.35">
      <c r="R257" s="1213"/>
      <c r="S257" s="1213"/>
      <c r="W257" s="1213"/>
      <c r="X257" s="1213"/>
      <c r="AE257" s="1213"/>
      <c r="AF257" s="1213"/>
      <c r="AV257" s="1213"/>
      <c r="AW257" s="1213"/>
      <c r="AX257" s="1213"/>
      <c r="AY257" s="1213"/>
      <c r="AZ257" s="1213"/>
      <c r="BA257" s="1213"/>
      <c r="BC257" s="1213"/>
      <c r="BE257" s="1213"/>
      <c r="BF257" s="1213"/>
      <c r="BG257" s="1213"/>
    </row>
    <row r="258" spans="18:59" x14ac:dyDescent="0.35">
      <c r="R258" s="1213"/>
      <c r="S258" s="1213"/>
      <c r="W258" s="1213"/>
      <c r="X258" s="1213"/>
      <c r="AE258" s="1213"/>
      <c r="AF258" s="1213"/>
      <c r="AV258" s="1213"/>
      <c r="AW258" s="1213"/>
      <c r="AX258" s="1213"/>
      <c r="AY258" s="1213"/>
      <c r="AZ258" s="1213"/>
      <c r="BA258" s="1213"/>
      <c r="BC258" s="1213"/>
      <c r="BE258" s="1213"/>
      <c r="BF258" s="1213"/>
      <c r="BG258" s="1213"/>
    </row>
    <row r="259" spans="18:59" x14ac:dyDescent="0.35">
      <c r="R259" s="1213"/>
      <c r="S259" s="1213"/>
      <c r="W259" s="1213"/>
      <c r="X259" s="1213"/>
      <c r="AE259" s="1213"/>
      <c r="AF259" s="1213"/>
      <c r="AV259" s="1213"/>
      <c r="AW259" s="1213"/>
      <c r="AX259" s="1213"/>
      <c r="AY259" s="1213"/>
      <c r="AZ259" s="1213"/>
      <c r="BA259" s="1213"/>
      <c r="BC259" s="1213"/>
      <c r="BE259" s="1213"/>
      <c r="BF259" s="1213"/>
      <c r="BG259" s="1213"/>
    </row>
    <row r="260" spans="18:59" x14ac:dyDescent="0.35">
      <c r="R260" s="1213"/>
      <c r="S260" s="1213"/>
      <c r="W260" s="1213"/>
      <c r="X260" s="1213"/>
      <c r="AE260" s="1213"/>
      <c r="AF260" s="1213"/>
      <c r="AV260" s="1213"/>
      <c r="AW260" s="1213"/>
      <c r="AX260" s="1213"/>
      <c r="AY260" s="1213"/>
      <c r="AZ260" s="1213"/>
      <c r="BA260" s="1213"/>
      <c r="BC260" s="1213"/>
      <c r="BE260" s="1213"/>
      <c r="BF260" s="1213"/>
      <c r="BG260" s="1213"/>
    </row>
    <row r="261" spans="18:59" x14ac:dyDescent="0.35">
      <c r="R261" s="1213"/>
      <c r="S261" s="1213"/>
      <c r="W261" s="1213"/>
      <c r="X261" s="1213"/>
      <c r="AE261" s="1213"/>
      <c r="AF261" s="1213"/>
      <c r="AV261" s="1213"/>
      <c r="AW261" s="1213"/>
      <c r="AX261" s="1213"/>
      <c r="AY261" s="1213"/>
      <c r="AZ261" s="1213"/>
      <c r="BA261" s="1213"/>
      <c r="BC261" s="1213"/>
      <c r="BE261" s="1213"/>
      <c r="BF261" s="1213"/>
      <c r="BG261" s="1213"/>
    </row>
    <row r="262" spans="18:59" x14ac:dyDescent="0.35">
      <c r="R262" s="1213"/>
      <c r="S262" s="1213"/>
      <c r="W262" s="1213"/>
      <c r="X262" s="1213"/>
      <c r="AE262" s="1213"/>
      <c r="AF262" s="1213"/>
      <c r="AV262" s="1213"/>
      <c r="AW262" s="1213"/>
      <c r="AX262" s="1213"/>
      <c r="AY262" s="1213"/>
      <c r="AZ262" s="1213"/>
      <c r="BA262" s="1213"/>
      <c r="BC262" s="1213"/>
      <c r="BE262" s="1213"/>
      <c r="BF262" s="1213"/>
      <c r="BG262" s="1213"/>
    </row>
    <row r="263" spans="18:59" x14ac:dyDescent="0.35">
      <c r="R263" s="1213"/>
      <c r="S263" s="1213"/>
      <c r="W263" s="1213"/>
      <c r="X263" s="1213"/>
      <c r="AE263" s="1213"/>
      <c r="AF263" s="1213"/>
      <c r="AV263" s="1213"/>
      <c r="AW263" s="1213"/>
      <c r="AX263" s="1213"/>
      <c r="AY263" s="1213"/>
      <c r="AZ263" s="1213"/>
      <c r="BA263" s="1213"/>
      <c r="BC263" s="1213"/>
      <c r="BE263" s="1213"/>
      <c r="BF263" s="1213"/>
      <c r="BG263" s="1213"/>
    </row>
    <row r="264" spans="18:59" x14ac:dyDescent="0.35">
      <c r="R264" s="1213"/>
      <c r="S264" s="1213"/>
      <c r="W264" s="1213"/>
      <c r="X264" s="1213"/>
      <c r="AE264" s="1213"/>
      <c r="AF264" s="1213"/>
      <c r="AV264" s="1213"/>
      <c r="AW264" s="1213"/>
      <c r="AX264" s="1213"/>
      <c r="AY264" s="1213"/>
      <c r="AZ264" s="1213"/>
      <c r="BA264" s="1213"/>
      <c r="BC264" s="1213"/>
      <c r="BE264" s="1213"/>
      <c r="BF264" s="1213"/>
      <c r="BG264" s="1213"/>
    </row>
    <row r="265" spans="18:59" x14ac:dyDescent="0.35">
      <c r="R265" s="1213"/>
      <c r="S265" s="1213"/>
      <c r="W265" s="1213"/>
      <c r="X265" s="1213"/>
      <c r="AE265" s="1213"/>
      <c r="AF265" s="1213"/>
      <c r="AV265" s="1213"/>
      <c r="AW265" s="1213"/>
      <c r="AX265" s="1213"/>
      <c r="AY265" s="1213"/>
      <c r="AZ265" s="1213"/>
      <c r="BA265" s="1213"/>
      <c r="BC265" s="1213"/>
      <c r="BE265" s="1213"/>
      <c r="BF265" s="1213"/>
      <c r="BG265" s="1213"/>
    </row>
    <row r="266" spans="18:59" x14ac:dyDescent="0.35">
      <c r="R266" s="1213"/>
      <c r="S266" s="1213"/>
      <c r="W266" s="1213"/>
      <c r="X266" s="1213"/>
      <c r="AE266" s="1213"/>
      <c r="AF266" s="1213"/>
      <c r="AV266" s="1213"/>
      <c r="AW266" s="1213"/>
      <c r="AX266" s="1213"/>
      <c r="AY266" s="1213"/>
      <c r="AZ266" s="1213"/>
      <c r="BA266" s="1213"/>
      <c r="BC266" s="1213"/>
      <c r="BE266" s="1213"/>
      <c r="BF266" s="1213"/>
      <c r="BG266" s="1213"/>
    </row>
    <row r="267" spans="18:59" x14ac:dyDescent="0.35">
      <c r="R267" s="1213"/>
      <c r="S267" s="1213"/>
      <c r="W267" s="1213"/>
      <c r="X267" s="1213"/>
      <c r="AE267" s="1213"/>
      <c r="AF267" s="1213"/>
      <c r="AV267" s="1213"/>
      <c r="AW267" s="1213"/>
      <c r="AX267" s="1213"/>
      <c r="AY267" s="1213"/>
      <c r="AZ267" s="1213"/>
      <c r="BA267" s="1213"/>
      <c r="BC267" s="1213"/>
      <c r="BE267" s="1213"/>
      <c r="BF267" s="1213"/>
      <c r="BG267" s="1213"/>
    </row>
    <row r="268" spans="18:59" x14ac:dyDescent="0.35">
      <c r="R268" s="1213"/>
      <c r="S268" s="1213"/>
      <c r="W268" s="1213"/>
      <c r="X268" s="1213"/>
      <c r="AE268" s="1213"/>
      <c r="AF268" s="1213"/>
      <c r="AV268" s="1213"/>
      <c r="AW268" s="1213"/>
      <c r="AX268" s="1213"/>
      <c r="AY268" s="1213"/>
      <c r="AZ268" s="1213"/>
      <c r="BA268" s="1213"/>
      <c r="BC268" s="1213"/>
      <c r="BE268" s="1213"/>
      <c r="BF268" s="1213"/>
      <c r="BG268" s="1213"/>
    </row>
    <row r="269" spans="18:59" x14ac:dyDescent="0.35">
      <c r="R269" s="1213"/>
      <c r="S269" s="1213"/>
      <c r="W269" s="1213"/>
      <c r="X269" s="1213"/>
      <c r="AE269" s="1213"/>
      <c r="AF269" s="1213"/>
      <c r="AV269" s="1213"/>
      <c r="AW269" s="1213"/>
      <c r="AX269" s="1213"/>
      <c r="AY269" s="1213"/>
      <c r="AZ269" s="1213"/>
      <c r="BA269" s="1213"/>
      <c r="BC269" s="1213"/>
      <c r="BE269" s="1213"/>
      <c r="BF269" s="1213"/>
      <c r="BG269" s="1213"/>
    </row>
    <row r="270" spans="18:59" x14ac:dyDescent="0.35">
      <c r="R270" s="1213"/>
      <c r="S270" s="1213"/>
      <c r="W270" s="1213"/>
      <c r="X270" s="1213"/>
      <c r="AE270" s="1213"/>
      <c r="AF270" s="1213"/>
      <c r="AV270" s="1213"/>
      <c r="AW270" s="1213"/>
      <c r="AX270" s="1213"/>
      <c r="AY270" s="1213"/>
      <c r="AZ270" s="1213"/>
      <c r="BA270" s="1213"/>
      <c r="BC270" s="1213"/>
      <c r="BE270" s="1213"/>
      <c r="BF270" s="1213"/>
      <c r="BG270" s="1213"/>
    </row>
    <row r="271" spans="18:59" x14ac:dyDescent="0.35">
      <c r="R271" s="1213"/>
      <c r="S271" s="1213"/>
      <c r="W271" s="1213"/>
      <c r="X271" s="1213"/>
      <c r="AE271" s="1213"/>
      <c r="AF271" s="1213"/>
      <c r="AV271" s="1213"/>
      <c r="AW271" s="1213"/>
      <c r="AX271" s="1213"/>
      <c r="AY271" s="1213"/>
      <c r="AZ271" s="1213"/>
      <c r="BA271" s="1213"/>
      <c r="BC271" s="1213"/>
      <c r="BE271" s="1213"/>
      <c r="BF271" s="1213"/>
      <c r="BG271" s="1213"/>
    </row>
    <row r="272" spans="18:59" x14ac:dyDescent="0.35">
      <c r="R272" s="1213"/>
      <c r="S272" s="1213"/>
      <c r="W272" s="1213"/>
      <c r="X272" s="1213"/>
      <c r="AE272" s="1213"/>
      <c r="AF272" s="1213"/>
      <c r="AV272" s="1213"/>
      <c r="AW272" s="1213"/>
      <c r="AX272" s="1213"/>
      <c r="AY272" s="1213"/>
      <c r="AZ272" s="1213"/>
      <c r="BA272" s="1213"/>
      <c r="BC272" s="1213"/>
      <c r="BE272" s="1213"/>
      <c r="BF272" s="1213"/>
      <c r="BG272" s="1213"/>
    </row>
    <row r="273" spans="18:59" x14ac:dyDescent="0.35">
      <c r="R273" s="1213"/>
      <c r="S273" s="1213"/>
      <c r="W273" s="1213"/>
      <c r="X273" s="1213"/>
      <c r="AE273" s="1213"/>
      <c r="AF273" s="1213"/>
      <c r="AV273" s="1213"/>
      <c r="AW273" s="1213"/>
      <c r="AX273" s="1213"/>
      <c r="AY273" s="1213"/>
      <c r="AZ273" s="1213"/>
      <c r="BA273" s="1213"/>
      <c r="BC273" s="1213"/>
      <c r="BE273" s="1213"/>
      <c r="BF273" s="1213"/>
      <c r="BG273" s="1213"/>
    </row>
    <row r="274" spans="18:59" x14ac:dyDescent="0.35">
      <c r="R274" s="1213"/>
      <c r="S274" s="1213"/>
      <c r="W274" s="1213"/>
      <c r="X274" s="1213"/>
      <c r="AE274" s="1213"/>
      <c r="AF274" s="1213"/>
      <c r="AV274" s="1213"/>
      <c r="AW274" s="1213"/>
      <c r="AX274" s="1213"/>
      <c r="AY274" s="1213"/>
      <c r="AZ274" s="1213"/>
      <c r="BA274" s="1213"/>
      <c r="BC274" s="1213"/>
      <c r="BE274" s="1213"/>
      <c r="BF274" s="1213"/>
      <c r="BG274" s="1213"/>
    </row>
    <row r="275" spans="18:59" x14ac:dyDescent="0.35">
      <c r="R275" s="1213"/>
      <c r="S275" s="1213"/>
      <c r="W275" s="1213"/>
      <c r="X275" s="1213"/>
      <c r="AE275" s="1213"/>
      <c r="AF275" s="1213"/>
      <c r="AV275" s="1213"/>
      <c r="AW275" s="1213"/>
      <c r="AX275" s="1213"/>
      <c r="AY275" s="1213"/>
      <c r="AZ275" s="1213"/>
      <c r="BA275" s="1213"/>
      <c r="BC275" s="1213"/>
      <c r="BE275" s="1213"/>
      <c r="BF275" s="1213"/>
      <c r="BG275" s="1213"/>
    </row>
    <row r="276" spans="18:59" x14ac:dyDescent="0.35">
      <c r="R276" s="1213"/>
      <c r="S276" s="1213"/>
      <c r="W276" s="1213"/>
      <c r="X276" s="1213"/>
      <c r="AE276" s="1213"/>
      <c r="AF276" s="1213"/>
      <c r="AV276" s="1213"/>
      <c r="AW276" s="1213"/>
      <c r="AX276" s="1213"/>
      <c r="AY276" s="1213"/>
      <c r="AZ276" s="1213"/>
      <c r="BA276" s="1213"/>
      <c r="BC276" s="1213"/>
      <c r="BE276" s="1213"/>
      <c r="BF276" s="1213"/>
      <c r="BG276" s="1213"/>
    </row>
    <row r="277" spans="18:59" x14ac:dyDescent="0.35">
      <c r="R277" s="1213"/>
      <c r="S277" s="1213"/>
      <c r="W277" s="1213"/>
      <c r="X277" s="1213"/>
      <c r="AE277" s="1213"/>
      <c r="AF277" s="1213"/>
      <c r="AV277" s="1213"/>
      <c r="AW277" s="1213"/>
      <c r="AX277" s="1213"/>
      <c r="AY277" s="1213"/>
      <c r="AZ277" s="1213"/>
      <c r="BA277" s="1213"/>
      <c r="BC277" s="1213"/>
      <c r="BE277" s="1213"/>
      <c r="BF277" s="1213"/>
      <c r="BG277" s="1213"/>
    </row>
    <row r="278" spans="18:59" x14ac:dyDescent="0.35">
      <c r="R278" s="1213"/>
      <c r="S278" s="1213"/>
      <c r="W278" s="1213"/>
      <c r="X278" s="1213"/>
      <c r="AE278" s="1213"/>
      <c r="AF278" s="1213"/>
      <c r="AV278" s="1213"/>
      <c r="AW278" s="1213"/>
      <c r="AX278" s="1213"/>
      <c r="AY278" s="1213"/>
      <c r="AZ278" s="1213"/>
      <c r="BA278" s="1213"/>
      <c r="BC278" s="1213"/>
      <c r="BE278" s="1213"/>
      <c r="BF278" s="1213"/>
      <c r="BG278" s="1213"/>
    </row>
    <row r="279" spans="18:59" x14ac:dyDescent="0.35">
      <c r="R279" s="1213"/>
      <c r="S279" s="1213"/>
      <c r="W279" s="1213"/>
      <c r="X279" s="1213"/>
      <c r="AE279" s="1213"/>
      <c r="AF279" s="1213"/>
      <c r="AV279" s="1213"/>
      <c r="AW279" s="1213"/>
      <c r="AX279" s="1213"/>
      <c r="AY279" s="1213"/>
      <c r="AZ279" s="1213"/>
      <c r="BA279" s="1213"/>
      <c r="BC279" s="1213"/>
      <c r="BE279" s="1213"/>
      <c r="BF279" s="1213"/>
      <c r="BG279" s="1213"/>
    </row>
    <row r="280" spans="18:59" x14ac:dyDescent="0.35">
      <c r="R280" s="1213"/>
      <c r="S280" s="1213"/>
      <c r="W280" s="1213"/>
      <c r="X280" s="1213"/>
      <c r="AE280" s="1213"/>
      <c r="AF280" s="1213"/>
      <c r="AV280" s="1213"/>
      <c r="AW280" s="1213"/>
      <c r="AX280" s="1213"/>
      <c r="AY280" s="1213"/>
      <c r="AZ280" s="1213"/>
      <c r="BA280" s="1213"/>
      <c r="BC280" s="1213"/>
      <c r="BE280" s="1213"/>
      <c r="BF280" s="1213"/>
      <c r="BG280" s="1213"/>
    </row>
    <row r="281" spans="18:59" x14ac:dyDescent="0.35">
      <c r="R281" s="1213"/>
      <c r="S281" s="1213"/>
      <c r="W281" s="1213"/>
      <c r="X281" s="1213"/>
      <c r="AE281" s="1213"/>
      <c r="AF281" s="1213"/>
      <c r="AV281" s="1213"/>
      <c r="AW281" s="1213"/>
      <c r="AX281" s="1213"/>
      <c r="AY281" s="1213"/>
      <c r="AZ281" s="1213"/>
      <c r="BA281" s="1213"/>
      <c r="BC281" s="1213"/>
      <c r="BE281" s="1213"/>
      <c r="BF281" s="1213"/>
      <c r="BG281" s="1213"/>
    </row>
    <row r="282" spans="18:59" x14ac:dyDescent="0.35">
      <c r="R282" s="1213"/>
      <c r="S282" s="1213"/>
      <c r="W282" s="1213"/>
      <c r="X282" s="1213"/>
      <c r="AE282" s="1213"/>
      <c r="AF282" s="1213"/>
      <c r="AV282" s="1213"/>
      <c r="AW282" s="1213"/>
      <c r="AX282" s="1213"/>
      <c r="AY282" s="1213"/>
      <c r="AZ282" s="1213"/>
      <c r="BA282" s="1213"/>
      <c r="BC282" s="1213"/>
      <c r="BE282" s="1213"/>
      <c r="BF282" s="1213"/>
      <c r="BG282" s="1213"/>
    </row>
    <row r="283" spans="18:59" x14ac:dyDescent="0.35">
      <c r="R283" s="1213"/>
      <c r="S283" s="1213"/>
      <c r="W283" s="1213"/>
      <c r="X283" s="1213"/>
      <c r="AE283" s="1213"/>
      <c r="AF283" s="1213"/>
      <c r="AV283" s="1213"/>
      <c r="AW283" s="1213"/>
      <c r="AX283" s="1213"/>
      <c r="AY283" s="1213"/>
      <c r="AZ283" s="1213"/>
      <c r="BA283" s="1213"/>
      <c r="BC283" s="1213"/>
      <c r="BE283" s="1213"/>
      <c r="BF283" s="1213"/>
      <c r="BG283" s="1213"/>
    </row>
    <row r="284" spans="18:59" x14ac:dyDescent="0.35">
      <c r="R284" s="1213"/>
      <c r="S284" s="1213"/>
      <c r="W284" s="1213"/>
      <c r="X284" s="1213"/>
      <c r="AE284" s="1213"/>
      <c r="AF284" s="1213"/>
      <c r="AV284" s="1213"/>
      <c r="AW284" s="1213"/>
      <c r="AX284" s="1213"/>
      <c r="AY284" s="1213"/>
      <c r="AZ284" s="1213"/>
      <c r="BA284" s="1213"/>
      <c r="BC284" s="1213"/>
      <c r="BE284" s="1213"/>
      <c r="BF284" s="1213"/>
      <c r="BG284" s="1213"/>
    </row>
    <row r="285" spans="18:59" x14ac:dyDescent="0.35">
      <c r="R285" s="1213"/>
      <c r="S285" s="1213"/>
      <c r="W285" s="1213"/>
      <c r="X285" s="1213"/>
      <c r="AE285" s="1213"/>
      <c r="AF285" s="1213"/>
      <c r="AV285" s="1213"/>
      <c r="AW285" s="1213"/>
      <c r="AX285" s="1213"/>
      <c r="AY285" s="1213"/>
      <c r="AZ285" s="1213"/>
      <c r="BA285" s="1213"/>
      <c r="BC285" s="1213"/>
      <c r="BE285" s="1213"/>
      <c r="BF285" s="1213"/>
      <c r="BG285" s="1213"/>
    </row>
    <row r="286" spans="18:59" x14ac:dyDescent="0.35">
      <c r="R286" s="1213"/>
      <c r="S286" s="1213"/>
      <c r="W286" s="1213"/>
      <c r="X286" s="1213"/>
      <c r="AE286" s="1213"/>
      <c r="AF286" s="1213"/>
      <c r="AV286" s="1213"/>
      <c r="AW286" s="1213"/>
      <c r="AX286" s="1213"/>
      <c r="AY286" s="1213"/>
      <c r="AZ286" s="1213"/>
      <c r="BA286" s="1213"/>
      <c r="BC286" s="1213"/>
      <c r="BE286" s="1213"/>
      <c r="BF286" s="1213"/>
      <c r="BG286" s="1213"/>
    </row>
    <row r="287" spans="18:59" x14ac:dyDescent="0.35">
      <c r="R287" s="1213"/>
      <c r="S287" s="1213"/>
      <c r="W287" s="1213"/>
      <c r="X287" s="1213"/>
      <c r="AE287" s="1213"/>
      <c r="AF287" s="1213"/>
      <c r="AV287" s="1213"/>
      <c r="AW287" s="1213"/>
      <c r="AX287" s="1213"/>
      <c r="AY287" s="1213"/>
      <c r="AZ287" s="1213"/>
      <c r="BA287" s="1213"/>
      <c r="BC287" s="1213"/>
      <c r="BE287" s="1213"/>
      <c r="BF287" s="1213"/>
      <c r="BG287" s="1213"/>
    </row>
    <row r="288" spans="18:59" x14ac:dyDescent="0.35">
      <c r="R288" s="1213"/>
      <c r="S288" s="1213"/>
      <c r="W288" s="1213"/>
      <c r="X288" s="1213"/>
      <c r="AE288" s="1213"/>
      <c r="AF288" s="1213"/>
      <c r="AV288" s="1213"/>
      <c r="AW288" s="1213"/>
      <c r="AX288" s="1213"/>
      <c r="AY288" s="1213"/>
      <c r="AZ288" s="1213"/>
      <c r="BA288" s="1213"/>
      <c r="BC288" s="1213"/>
      <c r="BE288" s="1213"/>
      <c r="BF288" s="1213"/>
      <c r="BG288" s="1213"/>
    </row>
    <row r="289" spans="18:59" x14ac:dyDescent="0.35">
      <c r="R289" s="1213"/>
      <c r="S289" s="1213"/>
      <c r="W289" s="1213"/>
      <c r="X289" s="1213"/>
      <c r="AE289" s="1213"/>
      <c r="AF289" s="1213"/>
      <c r="AV289" s="1213"/>
      <c r="AW289" s="1213"/>
      <c r="AX289" s="1213"/>
      <c r="AY289" s="1213"/>
      <c r="AZ289" s="1213"/>
      <c r="BA289" s="1213"/>
      <c r="BC289" s="1213"/>
      <c r="BE289" s="1213"/>
      <c r="BF289" s="1213"/>
      <c r="BG289" s="1213"/>
    </row>
    <row r="290" spans="18:59" x14ac:dyDescent="0.35">
      <c r="R290" s="1213"/>
      <c r="S290" s="1213"/>
      <c r="W290" s="1213"/>
      <c r="X290" s="1213"/>
      <c r="AE290" s="1213"/>
      <c r="AF290" s="1213"/>
      <c r="AV290" s="1213"/>
      <c r="AW290" s="1213"/>
      <c r="AX290" s="1213"/>
      <c r="AY290" s="1213"/>
      <c r="AZ290" s="1213"/>
      <c r="BA290" s="1213"/>
      <c r="BC290" s="1213"/>
      <c r="BE290" s="1213"/>
      <c r="BF290" s="1213"/>
      <c r="BG290" s="1213"/>
    </row>
    <row r="291" spans="18:59" x14ac:dyDescent="0.35">
      <c r="R291" s="1213"/>
      <c r="S291" s="1213"/>
      <c r="W291" s="1213"/>
      <c r="X291" s="1213"/>
      <c r="AE291" s="1213"/>
      <c r="AF291" s="1213"/>
      <c r="AV291" s="1213"/>
      <c r="AW291" s="1213"/>
      <c r="AX291" s="1213"/>
      <c r="AY291" s="1213"/>
      <c r="AZ291" s="1213"/>
      <c r="BA291" s="1213"/>
      <c r="BC291" s="1213"/>
      <c r="BE291" s="1213"/>
      <c r="BF291" s="1213"/>
      <c r="BG291" s="1213"/>
    </row>
    <row r="292" spans="18:59" x14ac:dyDescent="0.35">
      <c r="R292" s="1213"/>
      <c r="S292" s="1213"/>
      <c r="W292" s="1213"/>
      <c r="X292" s="1213"/>
      <c r="AE292" s="1213"/>
      <c r="AF292" s="1213"/>
      <c r="AV292" s="1213"/>
      <c r="AW292" s="1213"/>
      <c r="AX292" s="1213"/>
      <c r="AY292" s="1213"/>
      <c r="AZ292" s="1213"/>
      <c r="BA292" s="1213"/>
      <c r="BC292" s="1213"/>
      <c r="BE292" s="1213"/>
      <c r="BF292" s="1213"/>
      <c r="BG292" s="1213"/>
    </row>
    <row r="293" spans="18:59" x14ac:dyDescent="0.35">
      <c r="R293" s="1213"/>
      <c r="S293" s="1213"/>
      <c r="W293" s="1213"/>
      <c r="X293" s="1213"/>
      <c r="AE293" s="1213"/>
      <c r="AF293" s="1213"/>
      <c r="AV293" s="1213"/>
      <c r="AW293" s="1213"/>
      <c r="AX293" s="1213"/>
      <c r="AY293" s="1213"/>
      <c r="AZ293" s="1213"/>
      <c r="BA293" s="1213"/>
      <c r="BC293" s="1213"/>
      <c r="BE293" s="1213"/>
      <c r="BF293" s="1213"/>
      <c r="BG293" s="1213"/>
    </row>
    <row r="294" spans="18:59" x14ac:dyDescent="0.35">
      <c r="R294" s="1213"/>
      <c r="S294" s="1213"/>
      <c r="W294" s="1213"/>
      <c r="X294" s="1213"/>
      <c r="AE294" s="1213"/>
      <c r="AF294" s="1213"/>
      <c r="AV294" s="1213"/>
      <c r="AW294" s="1213"/>
      <c r="AX294" s="1213"/>
      <c r="AY294" s="1213"/>
      <c r="AZ294" s="1213"/>
      <c r="BA294" s="1213"/>
      <c r="BC294" s="1213"/>
      <c r="BE294" s="1213"/>
      <c r="BF294" s="1213"/>
      <c r="BG294" s="1213"/>
    </row>
    <row r="295" spans="18:59" x14ac:dyDescent="0.35">
      <c r="R295" s="1213"/>
      <c r="S295" s="1213"/>
      <c r="W295" s="1213"/>
      <c r="X295" s="1213"/>
      <c r="AE295" s="1213"/>
      <c r="AF295" s="1213"/>
      <c r="AV295" s="1213"/>
      <c r="AW295" s="1213"/>
      <c r="AX295" s="1213"/>
      <c r="AY295" s="1213"/>
      <c r="AZ295" s="1213"/>
      <c r="BA295" s="1213"/>
      <c r="BC295" s="1213"/>
      <c r="BE295" s="1213"/>
      <c r="BF295" s="1213"/>
      <c r="BG295" s="1213"/>
    </row>
    <row r="296" spans="18:59" x14ac:dyDescent="0.35">
      <c r="R296" s="1213"/>
      <c r="S296" s="1213"/>
      <c r="W296" s="1213"/>
      <c r="X296" s="1213"/>
      <c r="AE296" s="1213"/>
      <c r="AF296" s="1213"/>
      <c r="AV296" s="1213"/>
      <c r="AW296" s="1213"/>
      <c r="AX296" s="1213"/>
      <c r="AY296" s="1213"/>
      <c r="AZ296" s="1213"/>
      <c r="BA296" s="1213"/>
      <c r="BC296" s="1213"/>
      <c r="BE296" s="1213"/>
      <c r="BF296" s="1213"/>
      <c r="BG296" s="1213"/>
    </row>
    <row r="297" spans="18:59" x14ac:dyDescent="0.35">
      <c r="R297" s="1213"/>
      <c r="S297" s="1213"/>
      <c r="W297" s="1213"/>
      <c r="X297" s="1213"/>
      <c r="AE297" s="1213"/>
      <c r="AF297" s="1213"/>
      <c r="AV297" s="1213"/>
      <c r="AW297" s="1213"/>
      <c r="AX297" s="1213"/>
      <c r="AY297" s="1213"/>
      <c r="AZ297" s="1213"/>
      <c r="BA297" s="1213"/>
      <c r="BC297" s="1213"/>
      <c r="BE297" s="1213"/>
      <c r="BF297" s="1213"/>
      <c r="BG297" s="1213"/>
    </row>
    <row r="298" spans="18:59" x14ac:dyDescent="0.35">
      <c r="R298" s="1213"/>
      <c r="S298" s="1213"/>
      <c r="W298" s="1213"/>
      <c r="X298" s="1213"/>
      <c r="AE298" s="1213"/>
      <c r="AF298" s="1213"/>
      <c r="AV298" s="1213"/>
      <c r="AW298" s="1213"/>
      <c r="AX298" s="1213"/>
      <c r="AY298" s="1213"/>
      <c r="AZ298" s="1213"/>
      <c r="BA298" s="1213"/>
      <c r="BC298" s="1213"/>
      <c r="BE298" s="1213"/>
      <c r="BF298" s="1213"/>
      <c r="BG298" s="1213"/>
    </row>
    <row r="299" spans="18:59" x14ac:dyDescent="0.35">
      <c r="R299" s="1213"/>
      <c r="S299" s="1213"/>
      <c r="W299" s="1213"/>
      <c r="X299" s="1213"/>
      <c r="AE299" s="1213"/>
      <c r="AF299" s="1213"/>
      <c r="AV299" s="1213"/>
      <c r="AW299" s="1213"/>
      <c r="AX299" s="1213"/>
      <c r="AY299" s="1213"/>
      <c r="AZ299" s="1213"/>
      <c r="BA299" s="1213"/>
      <c r="BC299" s="1213"/>
      <c r="BE299" s="1213"/>
      <c r="BF299" s="1213"/>
      <c r="BG299" s="1213"/>
    </row>
    <row r="300" spans="18:59" x14ac:dyDescent="0.35">
      <c r="R300" s="1213"/>
      <c r="S300" s="1213"/>
      <c r="W300" s="1213"/>
      <c r="X300" s="1213"/>
      <c r="AE300" s="1213"/>
      <c r="AF300" s="1213"/>
      <c r="AV300" s="1213"/>
      <c r="AW300" s="1213"/>
      <c r="AX300" s="1213"/>
      <c r="AY300" s="1213"/>
      <c r="AZ300" s="1213"/>
      <c r="BA300" s="1213"/>
      <c r="BC300" s="1213"/>
      <c r="BE300" s="1213"/>
      <c r="BF300" s="1213"/>
      <c r="BG300" s="1213"/>
    </row>
    <row r="301" spans="18:59" x14ac:dyDescent="0.35">
      <c r="R301" s="1213"/>
      <c r="S301" s="1213"/>
      <c r="W301" s="1213"/>
      <c r="X301" s="1213"/>
      <c r="AE301" s="1213"/>
      <c r="AF301" s="1213"/>
      <c r="AV301" s="1213"/>
      <c r="AW301" s="1213"/>
      <c r="AX301" s="1213"/>
      <c r="AY301" s="1213"/>
      <c r="AZ301" s="1213"/>
      <c r="BA301" s="1213"/>
      <c r="BC301" s="1213"/>
      <c r="BE301" s="1213"/>
      <c r="BF301" s="1213"/>
      <c r="BG301" s="1213"/>
    </row>
    <row r="302" spans="18:59" x14ac:dyDescent="0.35">
      <c r="R302" s="1213"/>
      <c r="S302" s="1213"/>
      <c r="W302" s="1213"/>
      <c r="X302" s="1213"/>
      <c r="AE302" s="1213"/>
      <c r="AF302" s="1213"/>
      <c r="AV302" s="1213"/>
      <c r="AW302" s="1213"/>
      <c r="AX302" s="1213"/>
      <c r="AY302" s="1213"/>
      <c r="AZ302" s="1213"/>
      <c r="BA302" s="1213"/>
      <c r="BC302" s="1213"/>
      <c r="BE302" s="1213"/>
      <c r="BF302" s="1213"/>
      <c r="BG302" s="1213"/>
    </row>
    <row r="303" spans="18:59" x14ac:dyDescent="0.35">
      <c r="R303" s="1213"/>
      <c r="S303" s="1213"/>
      <c r="W303" s="1213"/>
      <c r="X303" s="1213"/>
      <c r="AE303" s="1213"/>
      <c r="AF303" s="1213"/>
      <c r="AV303" s="1213"/>
      <c r="AW303" s="1213"/>
      <c r="AX303" s="1213"/>
      <c r="AY303" s="1213"/>
      <c r="AZ303" s="1213"/>
      <c r="BA303" s="1213"/>
      <c r="BC303" s="1213"/>
      <c r="BE303" s="1213"/>
      <c r="BF303" s="1213"/>
      <c r="BG303" s="1213"/>
    </row>
    <row r="304" spans="18:59" x14ac:dyDescent="0.35">
      <c r="R304" s="1213"/>
      <c r="S304" s="1213"/>
      <c r="W304" s="1213"/>
      <c r="X304" s="1213"/>
      <c r="AE304" s="1213"/>
      <c r="AF304" s="1213"/>
      <c r="AV304" s="1213"/>
      <c r="AW304" s="1213"/>
      <c r="AX304" s="1213"/>
      <c r="AY304" s="1213"/>
      <c r="AZ304" s="1213"/>
      <c r="BA304" s="1213"/>
      <c r="BC304" s="1213"/>
      <c r="BE304" s="1213"/>
      <c r="BF304" s="1213"/>
      <c r="BG304" s="1213"/>
    </row>
    <row r="305" spans="18:59" x14ac:dyDescent="0.35">
      <c r="R305" s="1213"/>
      <c r="S305" s="1213"/>
      <c r="W305" s="1213"/>
      <c r="X305" s="1213"/>
      <c r="AE305" s="1213"/>
      <c r="AF305" s="1213"/>
      <c r="AV305" s="1213"/>
      <c r="AW305" s="1213"/>
      <c r="AX305" s="1213"/>
      <c r="AY305" s="1213"/>
      <c r="AZ305" s="1213"/>
      <c r="BA305" s="1213"/>
      <c r="BC305" s="1213"/>
      <c r="BE305" s="1213"/>
      <c r="BF305" s="1213"/>
      <c r="BG305" s="1213"/>
    </row>
    <row r="306" spans="18:59" x14ac:dyDescent="0.35">
      <c r="R306" s="1213"/>
      <c r="S306" s="1213"/>
      <c r="W306" s="1213"/>
      <c r="X306" s="1213"/>
      <c r="AE306" s="1213"/>
      <c r="AF306" s="1213"/>
      <c r="AV306" s="1213"/>
      <c r="AW306" s="1213"/>
      <c r="AX306" s="1213"/>
      <c r="AY306" s="1213"/>
      <c r="AZ306" s="1213"/>
      <c r="BA306" s="1213"/>
      <c r="BC306" s="1213"/>
      <c r="BE306" s="1213"/>
      <c r="BF306" s="1213"/>
      <c r="BG306" s="1213"/>
    </row>
    <row r="307" spans="18:59" x14ac:dyDescent="0.35">
      <c r="R307" s="1213"/>
      <c r="S307" s="1213"/>
      <c r="W307" s="1213"/>
      <c r="X307" s="1213"/>
      <c r="AE307" s="1213"/>
      <c r="AF307" s="1213"/>
      <c r="AV307" s="1213"/>
      <c r="AW307" s="1213"/>
      <c r="AX307" s="1213"/>
      <c r="AY307" s="1213"/>
      <c r="AZ307" s="1213"/>
      <c r="BA307" s="1213"/>
      <c r="BC307" s="1213"/>
      <c r="BE307" s="1213"/>
      <c r="BF307" s="1213"/>
      <c r="BG307" s="1213"/>
    </row>
    <row r="308" spans="18:59" x14ac:dyDescent="0.35">
      <c r="R308" s="1213"/>
      <c r="S308" s="1213"/>
      <c r="W308" s="1213"/>
      <c r="X308" s="1213"/>
      <c r="AE308" s="1213"/>
      <c r="AF308" s="1213"/>
      <c r="AV308" s="1213"/>
      <c r="AW308" s="1213"/>
      <c r="AX308" s="1213"/>
      <c r="AY308" s="1213"/>
      <c r="AZ308" s="1213"/>
      <c r="BA308" s="1213"/>
      <c r="BC308" s="1213"/>
      <c r="BE308" s="1213"/>
      <c r="BF308" s="1213"/>
      <c r="BG308" s="1213"/>
    </row>
    <row r="309" spans="18:59" x14ac:dyDescent="0.35">
      <c r="R309" s="1213"/>
      <c r="S309" s="1213"/>
      <c r="W309" s="1213"/>
      <c r="X309" s="1213"/>
      <c r="AE309" s="1213"/>
      <c r="AF309" s="1213"/>
      <c r="AV309" s="1213"/>
      <c r="AW309" s="1213"/>
      <c r="AX309" s="1213"/>
      <c r="AY309" s="1213"/>
      <c r="AZ309" s="1213"/>
      <c r="BA309" s="1213"/>
      <c r="BC309" s="1213"/>
      <c r="BE309" s="1213"/>
      <c r="BF309" s="1213"/>
      <c r="BG309" s="1213"/>
    </row>
    <row r="310" spans="18:59" x14ac:dyDescent="0.35">
      <c r="R310" s="1213"/>
      <c r="S310" s="1213"/>
      <c r="W310" s="1213"/>
      <c r="X310" s="1213"/>
      <c r="AE310" s="1213"/>
      <c r="AF310" s="1213"/>
      <c r="AV310" s="1213"/>
      <c r="AW310" s="1213"/>
      <c r="AX310" s="1213"/>
      <c r="AY310" s="1213"/>
      <c r="AZ310" s="1213"/>
      <c r="BA310" s="1213"/>
      <c r="BC310" s="1213"/>
      <c r="BE310" s="1213"/>
      <c r="BF310" s="1213"/>
      <c r="BG310" s="1213"/>
    </row>
    <row r="311" spans="18:59" x14ac:dyDescent="0.35">
      <c r="R311" s="1213"/>
      <c r="S311" s="1213"/>
      <c r="W311" s="1213"/>
      <c r="X311" s="1213"/>
      <c r="AE311" s="1213"/>
      <c r="AF311" s="1213"/>
      <c r="AV311" s="1213"/>
      <c r="AW311" s="1213"/>
      <c r="AX311" s="1213"/>
      <c r="AY311" s="1213"/>
      <c r="AZ311" s="1213"/>
      <c r="BA311" s="1213"/>
      <c r="BC311" s="1213"/>
      <c r="BE311" s="1213"/>
      <c r="BF311" s="1213"/>
      <c r="BG311" s="1213"/>
    </row>
    <row r="312" spans="18:59" x14ac:dyDescent="0.35">
      <c r="R312" s="1213"/>
      <c r="S312" s="1213"/>
      <c r="W312" s="1213"/>
      <c r="X312" s="1213"/>
      <c r="AE312" s="1213"/>
      <c r="AF312" s="1213"/>
      <c r="AV312" s="1213"/>
      <c r="AW312" s="1213"/>
      <c r="AX312" s="1213"/>
      <c r="AY312" s="1213"/>
      <c r="AZ312" s="1213"/>
      <c r="BA312" s="1213"/>
      <c r="BC312" s="1213"/>
      <c r="BE312" s="1213"/>
      <c r="BF312" s="1213"/>
      <c r="BG312" s="1213"/>
    </row>
    <row r="313" spans="18:59" x14ac:dyDescent="0.35">
      <c r="R313" s="1213"/>
      <c r="S313" s="1213"/>
      <c r="W313" s="1213"/>
      <c r="X313" s="1213"/>
      <c r="AE313" s="1213"/>
      <c r="AF313" s="1213"/>
      <c r="AV313" s="1213"/>
      <c r="AW313" s="1213"/>
      <c r="AX313" s="1213"/>
      <c r="AY313" s="1213"/>
      <c r="AZ313" s="1213"/>
      <c r="BA313" s="1213"/>
      <c r="BC313" s="1213"/>
      <c r="BE313" s="1213"/>
      <c r="BF313" s="1213"/>
      <c r="BG313" s="1213"/>
    </row>
    <row r="314" spans="18:59" x14ac:dyDescent="0.35">
      <c r="R314" s="1213"/>
      <c r="S314" s="1213"/>
      <c r="W314" s="1213"/>
      <c r="X314" s="1213"/>
      <c r="AE314" s="1213"/>
      <c r="AF314" s="1213"/>
      <c r="AV314" s="1213"/>
      <c r="AW314" s="1213"/>
      <c r="AX314" s="1213"/>
      <c r="AY314" s="1213"/>
      <c r="AZ314" s="1213"/>
      <c r="BA314" s="1213"/>
      <c r="BC314" s="1213"/>
      <c r="BE314" s="1213"/>
      <c r="BF314" s="1213"/>
      <c r="BG314" s="1213"/>
    </row>
    <row r="315" spans="18:59" x14ac:dyDescent="0.35">
      <c r="R315" s="1213"/>
      <c r="S315" s="1213"/>
      <c r="W315" s="1213"/>
      <c r="X315" s="1213"/>
      <c r="AE315" s="1213"/>
      <c r="AF315" s="1213"/>
      <c r="AV315" s="1213"/>
      <c r="AW315" s="1213"/>
      <c r="AX315" s="1213"/>
      <c r="AY315" s="1213"/>
      <c r="AZ315" s="1213"/>
      <c r="BA315" s="1213"/>
      <c r="BC315" s="1213"/>
      <c r="BE315" s="1213"/>
      <c r="BF315" s="1213"/>
      <c r="BG315" s="1213"/>
    </row>
    <row r="316" spans="18:59" x14ac:dyDescent="0.35">
      <c r="R316" s="1213"/>
      <c r="S316" s="1213"/>
      <c r="W316" s="1213"/>
      <c r="X316" s="1213"/>
      <c r="AE316" s="1213"/>
      <c r="AF316" s="1213"/>
      <c r="AV316" s="1213"/>
      <c r="AW316" s="1213"/>
      <c r="AX316" s="1213"/>
      <c r="AY316" s="1213"/>
      <c r="AZ316" s="1213"/>
      <c r="BA316" s="1213"/>
      <c r="BC316" s="1213"/>
      <c r="BE316" s="1213"/>
      <c r="BF316" s="1213"/>
      <c r="BG316" s="1213"/>
    </row>
    <row r="317" spans="18:59" x14ac:dyDescent="0.35">
      <c r="R317" s="1213"/>
      <c r="S317" s="1213"/>
      <c r="W317" s="1213"/>
      <c r="X317" s="1213"/>
      <c r="AE317" s="1213"/>
      <c r="AF317" s="1213"/>
      <c r="AV317" s="1213"/>
      <c r="AW317" s="1213"/>
      <c r="AX317" s="1213"/>
      <c r="AY317" s="1213"/>
      <c r="AZ317" s="1213"/>
      <c r="BA317" s="1213"/>
      <c r="BC317" s="1213"/>
      <c r="BE317" s="1213"/>
      <c r="BF317" s="1213"/>
      <c r="BG317" s="1213"/>
    </row>
    <row r="318" spans="18:59" x14ac:dyDescent="0.35">
      <c r="R318" s="1213"/>
      <c r="S318" s="1213"/>
      <c r="W318" s="1213"/>
      <c r="X318" s="1213"/>
      <c r="AE318" s="1213"/>
      <c r="AF318" s="1213"/>
      <c r="AV318" s="1213"/>
      <c r="AW318" s="1213"/>
      <c r="AX318" s="1213"/>
      <c r="AY318" s="1213"/>
      <c r="AZ318" s="1213"/>
      <c r="BA318" s="1213"/>
      <c r="BC318" s="1213"/>
      <c r="BE318" s="1213"/>
      <c r="BF318" s="1213"/>
      <c r="BG318" s="1213"/>
    </row>
    <row r="319" spans="18:59" x14ac:dyDescent="0.35">
      <c r="R319" s="1213"/>
      <c r="S319" s="1213"/>
      <c r="W319" s="1213"/>
      <c r="X319" s="1213"/>
      <c r="AE319" s="1213"/>
      <c r="AF319" s="1213"/>
      <c r="AV319" s="1213"/>
      <c r="AW319" s="1213"/>
      <c r="AX319" s="1213"/>
      <c r="AY319" s="1213"/>
      <c r="AZ319" s="1213"/>
      <c r="BA319" s="1213"/>
      <c r="BC319" s="1213"/>
      <c r="BE319" s="1213"/>
      <c r="BF319" s="1213"/>
      <c r="BG319" s="1213"/>
    </row>
    <row r="320" spans="18:59" x14ac:dyDescent="0.35">
      <c r="R320" s="1213"/>
      <c r="S320" s="1213"/>
      <c r="W320" s="1213"/>
      <c r="X320" s="1213"/>
      <c r="AE320" s="1213"/>
      <c r="AF320" s="1213"/>
      <c r="AV320" s="1213"/>
      <c r="AW320" s="1213"/>
      <c r="AX320" s="1213"/>
      <c r="AY320" s="1213"/>
      <c r="AZ320" s="1213"/>
      <c r="BA320" s="1213"/>
      <c r="BC320" s="1213"/>
      <c r="BE320" s="1213"/>
      <c r="BF320" s="1213"/>
      <c r="BG320" s="1213"/>
    </row>
    <row r="321" spans="18:59" x14ac:dyDescent="0.35">
      <c r="R321" s="1213"/>
      <c r="S321" s="1213"/>
      <c r="W321" s="1213"/>
      <c r="X321" s="1213"/>
      <c r="AE321" s="1213"/>
      <c r="AF321" s="1213"/>
      <c r="AV321" s="1213"/>
      <c r="AW321" s="1213"/>
      <c r="AX321" s="1213"/>
      <c r="AY321" s="1213"/>
      <c r="AZ321" s="1213"/>
      <c r="BA321" s="1213"/>
      <c r="BC321" s="1213"/>
      <c r="BE321" s="1213"/>
      <c r="BF321" s="1213"/>
      <c r="BG321" s="1213"/>
    </row>
    <row r="322" spans="18:59" x14ac:dyDescent="0.35">
      <c r="R322" s="1213"/>
      <c r="S322" s="1213"/>
      <c r="W322" s="1213"/>
      <c r="X322" s="1213"/>
      <c r="AE322" s="1213"/>
      <c r="AF322" s="1213"/>
      <c r="AV322" s="1213"/>
      <c r="AW322" s="1213"/>
      <c r="AX322" s="1213"/>
      <c r="AY322" s="1213"/>
      <c r="AZ322" s="1213"/>
      <c r="BA322" s="1213"/>
      <c r="BC322" s="1213"/>
      <c r="BE322" s="1213"/>
      <c r="BF322" s="1213"/>
      <c r="BG322" s="1213"/>
    </row>
    <row r="323" spans="18:59" x14ac:dyDescent="0.35">
      <c r="R323" s="1213"/>
      <c r="S323" s="1213"/>
      <c r="W323" s="1213"/>
      <c r="X323" s="1213"/>
      <c r="AE323" s="1213"/>
      <c r="AF323" s="1213"/>
      <c r="AV323" s="1213"/>
      <c r="AW323" s="1213"/>
      <c r="AX323" s="1213"/>
      <c r="AY323" s="1213"/>
      <c r="AZ323" s="1213"/>
      <c r="BA323" s="1213"/>
      <c r="BC323" s="1213"/>
      <c r="BE323" s="1213"/>
      <c r="BF323" s="1213"/>
      <c r="BG323" s="1213"/>
    </row>
    <row r="324" spans="18:59" x14ac:dyDescent="0.35">
      <c r="R324" s="1213"/>
      <c r="S324" s="1213"/>
      <c r="W324" s="1213"/>
      <c r="X324" s="1213"/>
      <c r="AE324" s="1213"/>
      <c r="AF324" s="1213"/>
      <c r="AV324" s="1213"/>
      <c r="AW324" s="1213"/>
      <c r="AX324" s="1213"/>
      <c r="AY324" s="1213"/>
      <c r="AZ324" s="1213"/>
      <c r="BA324" s="1213"/>
      <c r="BC324" s="1213"/>
      <c r="BE324" s="1213"/>
      <c r="BF324" s="1213"/>
      <c r="BG324" s="1213"/>
    </row>
    <row r="325" spans="18:59" x14ac:dyDescent="0.35">
      <c r="R325" s="1213"/>
      <c r="S325" s="1213"/>
      <c r="W325" s="1213"/>
      <c r="X325" s="1213"/>
      <c r="AE325" s="1213"/>
      <c r="AF325" s="1213"/>
      <c r="AV325" s="1213"/>
      <c r="AW325" s="1213"/>
      <c r="AX325" s="1213"/>
      <c r="AY325" s="1213"/>
      <c r="AZ325" s="1213"/>
      <c r="BA325" s="1213"/>
      <c r="BC325" s="1213"/>
      <c r="BE325" s="1213"/>
      <c r="BF325" s="1213"/>
      <c r="BG325" s="1213"/>
    </row>
    <row r="326" spans="18:59" x14ac:dyDescent="0.35">
      <c r="R326" s="1213"/>
      <c r="S326" s="1213"/>
      <c r="W326" s="1213"/>
      <c r="X326" s="1213"/>
      <c r="AE326" s="1213"/>
      <c r="AF326" s="1213"/>
      <c r="AV326" s="1213"/>
      <c r="AW326" s="1213"/>
      <c r="AX326" s="1213"/>
      <c r="AY326" s="1213"/>
      <c r="AZ326" s="1213"/>
      <c r="BA326" s="1213"/>
      <c r="BC326" s="1213"/>
      <c r="BE326" s="1213"/>
      <c r="BF326" s="1213"/>
      <c r="BG326" s="1213"/>
    </row>
    <row r="327" spans="18:59" x14ac:dyDescent="0.35">
      <c r="R327" s="1213"/>
      <c r="S327" s="1213"/>
      <c r="W327" s="1213"/>
      <c r="X327" s="1213"/>
      <c r="AE327" s="1213"/>
      <c r="AF327" s="1213"/>
      <c r="AV327" s="1213"/>
      <c r="AW327" s="1213"/>
      <c r="AX327" s="1213"/>
      <c r="AY327" s="1213"/>
      <c r="AZ327" s="1213"/>
      <c r="BA327" s="1213"/>
      <c r="BC327" s="1213"/>
      <c r="BE327" s="1213"/>
      <c r="BF327" s="1213"/>
      <c r="BG327" s="1213"/>
    </row>
    <row r="328" spans="18:59" x14ac:dyDescent="0.35">
      <c r="R328" s="1213"/>
      <c r="S328" s="1213"/>
      <c r="W328" s="1213"/>
      <c r="X328" s="1213"/>
      <c r="AE328" s="1213"/>
      <c r="AF328" s="1213"/>
      <c r="AV328" s="1213"/>
      <c r="AW328" s="1213"/>
      <c r="AX328" s="1213"/>
      <c r="AY328" s="1213"/>
      <c r="AZ328" s="1213"/>
      <c r="BA328" s="1213"/>
      <c r="BC328" s="1213"/>
      <c r="BE328" s="1213"/>
      <c r="BF328" s="1213"/>
      <c r="BG328" s="1213"/>
    </row>
    <row r="329" spans="18:59" x14ac:dyDescent="0.35">
      <c r="R329" s="1213"/>
      <c r="S329" s="1213"/>
      <c r="W329" s="1213"/>
      <c r="X329" s="1213"/>
      <c r="AE329" s="1213"/>
      <c r="AF329" s="1213"/>
      <c r="AV329" s="1213"/>
      <c r="AW329" s="1213"/>
      <c r="AX329" s="1213"/>
      <c r="AY329" s="1213"/>
      <c r="AZ329" s="1213"/>
      <c r="BA329" s="1213"/>
      <c r="BC329" s="1213"/>
      <c r="BE329" s="1213"/>
      <c r="BF329" s="1213"/>
      <c r="BG329" s="1213"/>
    </row>
    <row r="330" spans="18:59" x14ac:dyDescent="0.35">
      <c r="R330" s="1213"/>
      <c r="S330" s="1213"/>
      <c r="W330" s="1213"/>
      <c r="X330" s="1213"/>
      <c r="AE330" s="1213"/>
      <c r="AF330" s="1213"/>
      <c r="AV330" s="1213"/>
      <c r="AW330" s="1213"/>
      <c r="AX330" s="1213"/>
      <c r="AY330" s="1213"/>
      <c r="AZ330" s="1213"/>
      <c r="BA330" s="1213"/>
      <c r="BC330" s="1213"/>
      <c r="BE330" s="1213"/>
      <c r="BF330" s="1213"/>
      <c r="BG330" s="1213"/>
    </row>
    <row r="331" spans="18:59" x14ac:dyDescent="0.35">
      <c r="R331" s="1213"/>
      <c r="S331" s="1213"/>
      <c r="W331" s="1213"/>
      <c r="X331" s="1213"/>
      <c r="AE331" s="1213"/>
      <c r="AF331" s="1213"/>
      <c r="AV331" s="1213"/>
      <c r="AW331" s="1213"/>
      <c r="AX331" s="1213"/>
      <c r="AY331" s="1213"/>
      <c r="AZ331" s="1213"/>
      <c r="BA331" s="1213"/>
      <c r="BC331" s="1213"/>
      <c r="BE331" s="1213"/>
      <c r="BF331" s="1213"/>
      <c r="BG331" s="1213"/>
    </row>
    <row r="332" spans="18:59" x14ac:dyDescent="0.35">
      <c r="R332" s="1213"/>
      <c r="S332" s="1213"/>
      <c r="W332" s="1213"/>
      <c r="X332" s="1213"/>
      <c r="AE332" s="1213"/>
      <c r="AF332" s="1213"/>
      <c r="AV332" s="1213"/>
      <c r="AW332" s="1213"/>
      <c r="AX332" s="1213"/>
      <c r="AY332" s="1213"/>
      <c r="AZ332" s="1213"/>
      <c r="BA332" s="1213"/>
      <c r="BC332" s="1213"/>
      <c r="BE332" s="1213"/>
      <c r="BF332" s="1213"/>
      <c r="BG332" s="1213"/>
    </row>
    <row r="333" spans="18:59" x14ac:dyDescent="0.35">
      <c r="R333" s="1213"/>
      <c r="S333" s="1213"/>
      <c r="W333" s="1213"/>
      <c r="X333" s="1213"/>
      <c r="AE333" s="1213"/>
      <c r="AF333" s="1213"/>
      <c r="AV333" s="1213"/>
      <c r="AW333" s="1213"/>
      <c r="AX333" s="1213"/>
      <c r="AY333" s="1213"/>
      <c r="AZ333" s="1213"/>
      <c r="BA333" s="1213"/>
      <c r="BC333" s="1213"/>
      <c r="BE333" s="1213"/>
      <c r="BF333" s="1213"/>
      <c r="BG333" s="1213"/>
    </row>
    <row r="334" spans="18:59" x14ac:dyDescent="0.35">
      <c r="R334" s="1213"/>
      <c r="S334" s="1213"/>
      <c r="W334" s="1213"/>
      <c r="X334" s="1213"/>
      <c r="AE334" s="1213"/>
      <c r="AF334" s="1213"/>
      <c r="AV334" s="1213"/>
      <c r="AW334" s="1213"/>
      <c r="AX334" s="1213"/>
      <c r="AY334" s="1213"/>
      <c r="AZ334" s="1213"/>
      <c r="BA334" s="1213"/>
      <c r="BC334" s="1213"/>
      <c r="BE334" s="1213"/>
      <c r="BF334" s="1213"/>
      <c r="BG334" s="1213"/>
    </row>
    <row r="335" spans="18:59" x14ac:dyDescent="0.35">
      <c r="R335" s="1213"/>
      <c r="S335" s="1213"/>
      <c r="W335" s="1213"/>
      <c r="X335" s="1213"/>
      <c r="AE335" s="1213"/>
      <c r="AF335" s="1213"/>
      <c r="AV335" s="1213"/>
      <c r="AW335" s="1213"/>
      <c r="AX335" s="1213"/>
      <c r="AY335" s="1213"/>
      <c r="AZ335" s="1213"/>
      <c r="BA335" s="1213"/>
      <c r="BC335" s="1213"/>
      <c r="BE335" s="1213"/>
      <c r="BF335" s="1213"/>
      <c r="BG335" s="1213"/>
    </row>
    <row r="336" spans="18:59" x14ac:dyDescent="0.35">
      <c r="R336" s="1213"/>
      <c r="S336" s="1213"/>
      <c r="W336" s="1213"/>
      <c r="X336" s="1213"/>
      <c r="AE336" s="1213"/>
      <c r="AF336" s="1213"/>
      <c r="AV336" s="1213"/>
      <c r="AW336" s="1213"/>
      <c r="AX336" s="1213"/>
      <c r="AY336" s="1213"/>
      <c r="AZ336" s="1213"/>
      <c r="BA336" s="1213"/>
      <c r="BC336" s="1213"/>
      <c r="BE336" s="1213"/>
      <c r="BF336" s="1213"/>
      <c r="BG336" s="1213"/>
    </row>
    <row r="337" spans="18:59" x14ac:dyDescent="0.35">
      <c r="R337" s="1213"/>
      <c r="S337" s="1213"/>
      <c r="W337" s="1213"/>
      <c r="X337" s="1213"/>
      <c r="AE337" s="1213"/>
      <c r="AF337" s="1213"/>
      <c r="AV337" s="1213"/>
      <c r="AW337" s="1213"/>
      <c r="AX337" s="1213"/>
      <c r="AY337" s="1213"/>
      <c r="AZ337" s="1213"/>
      <c r="BA337" s="1213"/>
      <c r="BC337" s="1213"/>
      <c r="BE337" s="1213"/>
      <c r="BF337" s="1213"/>
      <c r="BG337" s="1213"/>
    </row>
    <row r="338" spans="18:59" x14ac:dyDescent="0.35">
      <c r="R338" s="1213"/>
      <c r="S338" s="1213"/>
      <c r="W338" s="1213"/>
      <c r="X338" s="1213"/>
      <c r="AE338" s="1213"/>
      <c r="AF338" s="1213"/>
      <c r="AV338" s="1213"/>
      <c r="AW338" s="1213"/>
      <c r="AX338" s="1213"/>
      <c r="AY338" s="1213"/>
      <c r="AZ338" s="1213"/>
      <c r="BA338" s="1213"/>
      <c r="BC338" s="1213"/>
      <c r="BE338" s="1213"/>
      <c r="BF338" s="1213"/>
      <c r="BG338" s="1213"/>
    </row>
    <row r="339" spans="18:59" x14ac:dyDescent="0.35">
      <c r="R339" s="1213"/>
      <c r="S339" s="1213"/>
      <c r="W339" s="1213"/>
      <c r="X339" s="1213"/>
      <c r="AE339" s="1213"/>
      <c r="AF339" s="1213"/>
      <c r="AV339" s="1213"/>
      <c r="AW339" s="1213"/>
      <c r="AX339" s="1213"/>
      <c r="AY339" s="1213"/>
      <c r="AZ339" s="1213"/>
      <c r="BA339" s="1213"/>
      <c r="BC339" s="1213"/>
      <c r="BE339" s="1213"/>
      <c r="BF339" s="1213"/>
      <c r="BG339" s="1213"/>
    </row>
    <row r="340" spans="18:59" x14ac:dyDescent="0.35">
      <c r="R340" s="1213"/>
      <c r="S340" s="1213"/>
      <c r="W340" s="1213"/>
      <c r="X340" s="1213"/>
      <c r="AE340" s="1213"/>
      <c r="AF340" s="1213"/>
      <c r="AV340" s="1213"/>
      <c r="AW340" s="1213"/>
      <c r="AX340" s="1213"/>
      <c r="AY340" s="1213"/>
      <c r="AZ340" s="1213"/>
      <c r="BA340" s="1213"/>
      <c r="BC340" s="1213"/>
      <c r="BE340" s="1213"/>
      <c r="BF340" s="1213"/>
      <c r="BG340" s="1213"/>
    </row>
    <row r="341" spans="18:59" x14ac:dyDescent="0.35">
      <c r="R341" s="1213"/>
      <c r="S341" s="1213"/>
      <c r="W341" s="1213"/>
      <c r="X341" s="1213"/>
      <c r="AE341" s="1213"/>
      <c r="AF341" s="1213"/>
      <c r="AV341" s="1213"/>
      <c r="AW341" s="1213"/>
      <c r="AX341" s="1213"/>
      <c r="AY341" s="1213"/>
      <c r="AZ341" s="1213"/>
      <c r="BA341" s="1213"/>
      <c r="BC341" s="1213"/>
      <c r="BE341" s="1213"/>
      <c r="BF341" s="1213"/>
      <c r="BG341" s="1213"/>
    </row>
    <row r="342" spans="18:59" x14ac:dyDescent="0.35">
      <c r="R342" s="1213"/>
      <c r="S342" s="1213"/>
      <c r="W342" s="1213"/>
      <c r="X342" s="1213"/>
      <c r="AE342" s="1213"/>
      <c r="AF342" s="1213"/>
      <c r="AV342" s="1213"/>
      <c r="AW342" s="1213"/>
      <c r="AX342" s="1213"/>
      <c r="AY342" s="1213"/>
      <c r="AZ342" s="1213"/>
      <c r="BA342" s="1213"/>
      <c r="BC342" s="1213"/>
      <c r="BE342" s="1213"/>
      <c r="BF342" s="1213"/>
      <c r="BG342" s="1213"/>
    </row>
    <row r="343" spans="18:59" x14ac:dyDescent="0.35">
      <c r="R343" s="1213"/>
      <c r="S343" s="1213"/>
      <c r="W343" s="1213"/>
      <c r="X343" s="1213"/>
      <c r="AE343" s="1213"/>
      <c r="AF343" s="1213"/>
      <c r="AV343" s="1213"/>
      <c r="AW343" s="1213"/>
      <c r="AX343" s="1213"/>
      <c r="AY343" s="1213"/>
      <c r="AZ343" s="1213"/>
      <c r="BA343" s="1213"/>
      <c r="BC343" s="1213"/>
      <c r="BE343" s="1213"/>
      <c r="BF343" s="1213"/>
      <c r="BG343" s="1213"/>
    </row>
    <row r="344" spans="18:59" x14ac:dyDescent="0.35">
      <c r="R344" s="1213"/>
      <c r="S344" s="1213"/>
      <c r="W344" s="1213"/>
      <c r="X344" s="1213"/>
      <c r="AE344" s="1213"/>
      <c r="AF344" s="1213"/>
      <c r="AV344" s="1213"/>
      <c r="AW344" s="1213"/>
      <c r="AX344" s="1213"/>
      <c r="AY344" s="1213"/>
      <c r="AZ344" s="1213"/>
      <c r="BA344" s="1213"/>
      <c r="BC344" s="1213"/>
      <c r="BE344" s="1213"/>
      <c r="BF344" s="1213"/>
      <c r="BG344" s="1213"/>
    </row>
    <row r="345" spans="18:59" x14ac:dyDescent="0.35">
      <c r="R345" s="1213"/>
      <c r="S345" s="1213"/>
      <c r="W345" s="1213"/>
      <c r="X345" s="1213"/>
      <c r="AE345" s="1213"/>
      <c r="AF345" s="1213"/>
      <c r="AV345" s="1213"/>
      <c r="AW345" s="1213"/>
      <c r="AX345" s="1213"/>
      <c r="AY345" s="1213"/>
      <c r="AZ345" s="1213"/>
      <c r="BA345" s="1213"/>
      <c r="BC345" s="1213"/>
      <c r="BE345" s="1213"/>
      <c r="BF345" s="1213"/>
      <c r="BG345" s="1213"/>
    </row>
    <row r="346" spans="18:59" x14ac:dyDescent="0.35">
      <c r="R346" s="1213"/>
      <c r="S346" s="1213"/>
      <c r="W346" s="1213"/>
      <c r="X346" s="1213"/>
      <c r="AE346" s="1213"/>
      <c r="AF346" s="1213"/>
      <c r="AV346" s="1213"/>
      <c r="AW346" s="1213"/>
      <c r="AX346" s="1213"/>
      <c r="AY346" s="1213"/>
      <c r="AZ346" s="1213"/>
      <c r="BA346" s="1213"/>
      <c r="BC346" s="1213"/>
      <c r="BE346" s="1213"/>
      <c r="BF346" s="1213"/>
      <c r="BG346" s="1213"/>
    </row>
    <row r="347" spans="18:59" x14ac:dyDescent="0.35">
      <c r="R347" s="1213"/>
      <c r="S347" s="1213"/>
      <c r="W347" s="1213"/>
      <c r="X347" s="1213"/>
      <c r="AE347" s="1213"/>
      <c r="AF347" s="1213"/>
      <c r="AV347" s="1213"/>
      <c r="AW347" s="1213"/>
      <c r="AX347" s="1213"/>
      <c r="AY347" s="1213"/>
      <c r="AZ347" s="1213"/>
      <c r="BA347" s="1213"/>
      <c r="BC347" s="1213"/>
      <c r="BE347" s="1213"/>
      <c r="BF347" s="1213"/>
      <c r="BG347" s="1213"/>
    </row>
    <row r="348" spans="18:59" x14ac:dyDescent="0.35">
      <c r="R348" s="1213"/>
      <c r="S348" s="1213"/>
      <c r="W348" s="1213"/>
      <c r="X348" s="1213"/>
      <c r="AE348" s="1213"/>
      <c r="AF348" s="1213"/>
      <c r="AV348" s="1213"/>
      <c r="AW348" s="1213"/>
      <c r="AX348" s="1213"/>
      <c r="AY348" s="1213"/>
      <c r="AZ348" s="1213"/>
      <c r="BA348" s="1213"/>
      <c r="BC348" s="1213"/>
      <c r="BE348" s="1213"/>
      <c r="BF348" s="1213"/>
      <c r="BG348" s="1213"/>
    </row>
    <row r="349" spans="18:59" x14ac:dyDescent="0.35">
      <c r="R349" s="1213"/>
      <c r="S349" s="1213"/>
      <c r="W349" s="1213"/>
      <c r="X349" s="1213"/>
      <c r="AE349" s="1213"/>
      <c r="AF349" s="1213"/>
      <c r="AV349" s="1213"/>
      <c r="AW349" s="1213"/>
      <c r="AX349" s="1213"/>
      <c r="AY349" s="1213"/>
      <c r="AZ349" s="1213"/>
      <c r="BA349" s="1213"/>
      <c r="BC349" s="1213"/>
      <c r="BE349" s="1213"/>
      <c r="BF349" s="1213"/>
      <c r="BG349" s="1213"/>
    </row>
    <row r="350" spans="18:59" x14ac:dyDescent="0.35">
      <c r="R350" s="1213"/>
      <c r="S350" s="1213"/>
      <c r="W350" s="1213"/>
      <c r="X350" s="1213"/>
      <c r="AE350" s="1213"/>
      <c r="AF350" s="1213"/>
      <c r="AV350" s="1213"/>
      <c r="AW350" s="1213"/>
      <c r="AX350" s="1213"/>
      <c r="AY350" s="1213"/>
      <c r="AZ350" s="1213"/>
      <c r="BA350" s="1213"/>
      <c r="BC350" s="1213"/>
      <c r="BE350" s="1213"/>
      <c r="BF350" s="1213"/>
      <c r="BG350" s="1213"/>
    </row>
    <row r="351" spans="18:59" x14ac:dyDescent="0.35">
      <c r="R351" s="1213"/>
      <c r="S351" s="1213"/>
      <c r="W351" s="1213"/>
      <c r="X351" s="1213"/>
      <c r="AE351" s="1213"/>
      <c r="AF351" s="1213"/>
      <c r="AV351" s="1213"/>
      <c r="AW351" s="1213"/>
      <c r="AX351" s="1213"/>
      <c r="AY351" s="1213"/>
      <c r="AZ351" s="1213"/>
      <c r="BA351" s="1213"/>
      <c r="BC351" s="1213"/>
      <c r="BE351" s="1213"/>
      <c r="BF351" s="1213"/>
      <c r="BG351" s="1213"/>
    </row>
    <row r="352" spans="18:59" x14ac:dyDescent="0.35">
      <c r="R352" s="1213"/>
      <c r="S352" s="1213"/>
      <c r="W352" s="1213"/>
      <c r="X352" s="1213"/>
      <c r="AE352" s="1213"/>
      <c r="AF352" s="1213"/>
      <c r="AV352" s="1213"/>
      <c r="AW352" s="1213"/>
      <c r="AX352" s="1213"/>
      <c r="AY352" s="1213"/>
      <c r="AZ352" s="1213"/>
      <c r="BA352" s="1213"/>
      <c r="BC352" s="1213"/>
      <c r="BE352" s="1213"/>
      <c r="BF352" s="1213"/>
      <c r="BG352" s="1213"/>
    </row>
    <row r="353" spans="18:59" x14ac:dyDescent="0.35">
      <c r="R353" s="1213"/>
      <c r="S353" s="1213"/>
      <c r="W353" s="1213"/>
      <c r="X353" s="1213"/>
      <c r="AE353" s="1213"/>
      <c r="AF353" s="1213"/>
      <c r="AV353" s="1213"/>
      <c r="AW353" s="1213"/>
      <c r="AX353" s="1213"/>
      <c r="AY353" s="1213"/>
      <c r="AZ353" s="1213"/>
      <c r="BA353" s="1213"/>
      <c r="BC353" s="1213"/>
      <c r="BE353" s="1213"/>
      <c r="BF353" s="1213"/>
      <c r="BG353" s="1213"/>
    </row>
    <row r="354" spans="18:59" x14ac:dyDescent="0.35">
      <c r="R354" s="1213"/>
      <c r="S354" s="1213"/>
      <c r="W354" s="1213"/>
      <c r="X354" s="1213"/>
      <c r="AE354" s="1213"/>
      <c r="AF354" s="1213"/>
      <c r="AV354" s="1213"/>
      <c r="AW354" s="1213"/>
      <c r="AX354" s="1213"/>
      <c r="AY354" s="1213"/>
      <c r="AZ354" s="1213"/>
      <c r="BA354" s="1213"/>
      <c r="BC354" s="1213"/>
      <c r="BE354" s="1213"/>
      <c r="BF354" s="1213"/>
      <c r="BG354" s="1213"/>
    </row>
    <row r="355" spans="18:59" x14ac:dyDescent="0.35">
      <c r="R355" s="1213"/>
      <c r="S355" s="1213"/>
      <c r="W355" s="1213"/>
      <c r="X355" s="1213"/>
      <c r="AE355" s="1213"/>
      <c r="AF355" s="1213"/>
      <c r="AV355" s="1213"/>
      <c r="AW355" s="1213"/>
      <c r="AX355" s="1213"/>
      <c r="AY355" s="1213"/>
      <c r="AZ355" s="1213"/>
      <c r="BA355" s="1213"/>
      <c r="BC355" s="1213"/>
      <c r="BE355" s="1213"/>
      <c r="BF355" s="1213"/>
      <c r="BG355" s="1213"/>
    </row>
    <row r="356" spans="18:59" x14ac:dyDescent="0.35">
      <c r="R356" s="1213"/>
      <c r="S356" s="1213"/>
      <c r="W356" s="1213"/>
      <c r="X356" s="1213"/>
      <c r="AE356" s="1213"/>
      <c r="AF356" s="1213"/>
      <c r="AV356" s="1213"/>
      <c r="AW356" s="1213"/>
      <c r="AX356" s="1213"/>
      <c r="AY356" s="1213"/>
      <c r="AZ356" s="1213"/>
      <c r="BA356" s="1213"/>
      <c r="BC356" s="1213"/>
      <c r="BE356" s="1213"/>
      <c r="BF356" s="1213"/>
      <c r="BG356" s="1213"/>
    </row>
    <row r="357" spans="18:59" x14ac:dyDescent="0.35">
      <c r="R357" s="1213"/>
      <c r="S357" s="1213"/>
      <c r="W357" s="1213"/>
      <c r="X357" s="1213"/>
      <c r="AE357" s="1213"/>
      <c r="AF357" s="1213"/>
      <c r="AV357" s="1213"/>
      <c r="AW357" s="1213"/>
      <c r="AX357" s="1213"/>
      <c r="AY357" s="1213"/>
      <c r="AZ357" s="1213"/>
      <c r="BA357" s="1213"/>
      <c r="BC357" s="1213"/>
      <c r="BE357" s="1213"/>
      <c r="BF357" s="1213"/>
      <c r="BG357" s="1213"/>
    </row>
    <row r="358" spans="18:59" x14ac:dyDescent="0.35">
      <c r="R358" s="1213"/>
      <c r="S358" s="1213"/>
      <c r="W358" s="1213"/>
      <c r="X358" s="1213"/>
      <c r="AE358" s="1213"/>
      <c r="AF358" s="1213"/>
      <c r="AV358" s="1213"/>
      <c r="AW358" s="1213"/>
      <c r="AX358" s="1213"/>
      <c r="AY358" s="1213"/>
      <c r="AZ358" s="1213"/>
      <c r="BA358" s="1213"/>
      <c r="BC358" s="1213"/>
      <c r="BE358" s="1213"/>
      <c r="BF358" s="1213"/>
      <c r="BG358" s="1213"/>
    </row>
    <row r="359" spans="18:59" x14ac:dyDescent="0.35">
      <c r="R359" s="1213"/>
      <c r="S359" s="1213"/>
      <c r="W359" s="1213"/>
      <c r="X359" s="1213"/>
      <c r="AE359" s="1213"/>
      <c r="AF359" s="1213"/>
      <c r="AV359" s="1213"/>
      <c r="AW359" s="1213"/>
      <c r="AX359" s="1213"/>
      <c r="AY359" s="1213"/>
      <c r="AZ359" s="1213"/>
      <c r="BA359" s="1213"/>
      <c r="BC359" s="1213"/>
      <c r="BE359" s="1213"/>
      <c r="BF359" s="1213"/>
      <c r="BG359" s="1213"/>
    </row>
    <row r="360" spans="18:59" x14ac:dyDescent="0.35">
      <c r="R360" s="1213"/>
      <c r="S360" s="1213"/>
      <c r="W360" s="1213"/>
      <c r="X360" s="1213"/>
      <c r="AE360" s="1213"/>
      <c r="AF360" s="1213"/>
      <c r="AV360" s="1213"/>
      <c r="AW360" s="1213"/>
      <c r="AX360" s="1213"/>
      <c r="AY360" s="1213"/>
      <c r="AZ360" s="1213"/>
      <c r="BA360" s="1213"/>
      <c r="BC360" s="1213"/>
      <c r="BE360" s="1213"/>
      <c r="BF360" s="1213"/>
      <c r="BG360" s="1213"/>
    </row>
    <row r="361" spans="18:59" x14ac:dyDescent="0.35">
      <c r="R361" s="1213"/>
      <c r="S361" s="1213"/>
      <c r="W361" s="1213"/>
      <c r="X361" s="1213"/>
      <c r="AE361" s="1213"/>
      <c r="AF361" s="1213"/>
      <c r="AV361" s="1213"/>
      <c r="AW361" s="1213"/>
      <c r="AX361" s="1213"/>
      <c r="AY361" s="1213"/>
      <c r="AZ361" s="1213"/>
      <c r="BA361" s="1213"/>
      <c r="BC361" s="1213"/>
      <c r="BE361" s="1213"/>
      <c r="BF361" s="1213"/>
      <c r="BG361" s="1213"/>
    </row>
    <row r="362" spans="18:59" x14ac:dyDescent="0.35">
      <c r="R362" s="1213"/>
      <c r="S362" s="1213"/>
      <c r="W362" s="1213"/>
      <c r="X362" s="1213"/>
      <c r="AE362" s="1213"/>
      <c r="AF362" s="1213"/>
      <c r="AV362" s="1213"/>
      <c r="AW362" s="1213"/>
      <c r="AX362" s="1213"/>
      <c r="AY362" s="1213"/>
      <c r="AZ362" s="1213"/>
      <c r="BA362" s="1213"/>
      <c r="BC362" s="1213"/>
      <c r="BE362" s="1213"/>
      <c r="BF362" s="1213"/>
      <c r="BG362" s="1213"/>
    </row>
    <row r="363" spans="18:59" x14ac:dyDescent="0.35">
      <c r="R363" s="1213"/>
      <c r="S363" s="1213"/>
      <c r="W363" s="1213"/>
      <c r="X363" s="1213"/>
      <c r="AE363" s="1213"/>
      <c r="AF363" s="1213"/>
      <c r="AV363" s="1213"/>
      <c r="AW363" s="1213"/>
      <c r="AX363" s="1213"/>
      <c r="AY363" s="1213"/>
      <c r="AZ363" s="1213"/>
      <c r="BA363" s="1213"/>
      <c r="BC363" s="1213"/>
      <c r="BE363" s="1213"/>
      <c r="BF363" s="1213"/>
      <c r="BG363" s="1213"/>
    </row>
    <row r="364" spans="18:59" x14ac:dyDescent="0.35">
      <c r="R364" s="1213"/>
      <c r="S364" s="1213"/>
      <c r="W364" s="1213"/>
      <c r="X364" s="1213"/>
      <c r="AE364" s="1213"/>
      <c r="AF364" s="1213"/>
      <c r="AV364" s="1213"/>
      <c r="AW364" s="1213"/>
      <c r="AX364" s="1213"/>
      <c r="AY364" s="1213"/>
      <c r="AZ364" s="1213"/>
      <c r="BA364" s="1213"/>
      <c r="BC364" s="1213"/>
      <c r="BE364" s="1213"/>
      <c r="BF364" s="1213"/>
      <c r="BG364" s="1213"/>
    </row>
    <row r="365" spans="18:59" x14ac:dyDescent="0.35">
      <c r="R365" s="1213"/>
      <c r="S365" s="1213"/>
      <c r="W365" s="1213"/>
      <c r="X365" s="1213"/>
      <c r="AE365" s="1213"/>
      <c r="AF365" s="1213"/>
      <c r="AV365" s="1213"/>
      <c r="AW365" s="1213"/>
      <c r="AX365" s="1213"/>
      <c r="AY365" s="1213"/>
      <c r="AZ365" s="1213"/>
      <c r="BA365" s="1213"/>
      <c r="BC365" s="1213"/>
      <c r="BE365" s="1213"/>
      <c r="BF365" s="1213"/>
      <c r="BG365" s="1213"/>
    </row>
    <row r="366" spans="18:59" x14ac:dyDescent="0.35">
      <c r="R366" s="1213"/>
      <c r="S366" s="1213"/>
      <c r="W366" s="1213"/>
      <c r="X366" s="1213"/>
      <c r="AE366" s="1213"/>
      <c r="AF366" s="1213"/>
      <c r="AV366" s="1213"/>
      <c r="AW366" s="1213"/>
      <c r="AX366" s="1213"/>
      <c r="AY366" s="1213"/>
      <c r="AZ366" s="1213"/>
      <c r="BA366" s="1213"/>
      <c r="BC366" s="1213"/>
      <c r="BE366" s="1213"/>
      <c r="BF366" s="1213"/>
      <c r="BG366" s="1213"/>
    </row>
    <row r="367" spans="18:59" x14ac:dyDescent="0.35">
      <c r="R367" s="1213"/>
      <c r="S367" s="1213"/>
      <c r="W367" s="1213"/>
      <c r="X367" s="1213"/>
      <c r="AE367" s="1213"/>
      <c r="AF367" s="1213"/>
      <c r="AV367" s="1213"/>
      <c r="AW367" s="1213"/>
      <c r="AX367" s="1213"/>
      <c r="AY367" s="1213"/>
      <c r="AZ367" s="1213"/>
      <c r="BA367" s="1213"/>
      <c r="BC367" s="1213"/>
      <c r="BE367" s="1213"/>
      <c r="BF367" s="1213"/>
      <c r="BG367" s="1213"/>
    </row>
    <row r="368" spans="18:59" x14ac:dyDescent="0.35">
      <c r="R368" s="1213"/>
      <c r="S368" s="1213"/>
      <c r="W368" s="1213"/>
      <c r="X368" s="1213"/>
      <c r="AE368" s="1213"/>
      <c r="AF368" s="1213"/>
      <c r="AV368" s="1213"/>
      <c r="AW368" s="1213"/>
      <c r="AX368" s="1213"/>
      <c r="AY368" s="1213"/>
      <c r="AZ368" s="1213"/>
      <c r="BA368" s="1213"/>
      <c r="BC368" s="1213"/>
      <c r="BE368" s="1213"/>
      <c r="BF368" s="1213"/>
      <c r="BG368" s="1213"/>
    </row>
    <row r="369" spans="18:59" x14ac:dyDescent="0.35">
      <c r="R369" s="1213"/>
      <c r="S369" s="1213"/>
      <c r="W369" s="1213"/>
      <c r="X369" s="1213"/>
      <c r="AE369" s="1213"/>
      <c r="AF369" s="1213"/>
      <c r="AV369" s="1213"/>
      <c r="AW369" s="1213"/>
      <c r="AX369" s="1213"/>
      <c r="AY369" s="1213"/>
      <c r="AZ369" s="1213"/>
      <c r="BA369" s="1213"/>
      <c r="BC369" s="1213"/>
      <c r="BE369" s="1213"/>
      <c r="BF369" s="1213"/>
      <c r="BG369" s="1213"/>
    </row>
    <row r="370" spans="18:59" x14ac:dyDescent="0.35">
      <c r="R370" s="1213"/>
      <c r="S370" s="1213"/>
      <c r="W370" s="1213"/>
      <c r="X370" s="1213"/>
      <c r="AE370" s="1213"/>
      <c r="AF370" s="1213"/>
      <c r="AV370" s="1213"/>
      <c r="AW370" s="1213"/>
      <c r="AX370" s="1213"/>
      <c r="AY370" s="1213"/>
      <c r="AZ370" s="1213"/>
      <c r="BA370" s="1213"/>
      <c r="BC370" s="1213"/>
      <c r="BE370" s="1213"/>
      <c r="BF370" s="1213"/>
      <c r="BG370" s="1213"/>
    </row>
    <row r="371" spans="18:59" x14ac:dyDescent="0.35">
      <c r="R371" s="1213"/>
      <c r="S371" s="1213"/>
      <c r="W371" s="1213"/>
      <c r="X371" s="1213"/>
      <c r="AE371" s="1213"/>
      <c r="AF371" s="1213"/>
      <c r="AV371" s="1213"/>
      <c r="AW371" s="1213"/>
      <c r="AX371" s="1213"/>
      <c r="AY371" s="1213"/>
      <c r="AZ371" s="1213"/>
      <c r="BA371" s="1213"/>
      <c r="BC371" s="1213"/>
      <c r="BE371" s="1213"/>
      <c r="BF371" s="1213"/>
      <c r="BG371" s="1213"/>
    </row>
    <row r="372" spans="18:59" x14ac:dyDescent="0.35">
      <c r="R372" s="1213"/>
      <c r="S372" s="1213"/>
      <c r="W372" s="1213"/>
      <c r="X372" s="1213"/>
      <c r="AE372" s="1213"/>
      <c r="AF372" s="1213"/>
      <c r="AV372" s="1213"/>
      <c r="AW372" s="1213"/>
      <c r="AX372" s="1213"/>
      <c r="AY372" s="1213"/>
      <c r="AZ372" s="1213"/>
      <c r="BA372" s="1213"/>
      <c r="BC372" s="1213"/>
      <c r="BE372" s="1213"/>
      <c r="BF372" s="1213"/>
      <c r="BG372" s="1213"/>
    </row>
    <row r="373" spans="18:59" x14ac:dyDescent="0.35">
      <c r="R373" s="1213"/>
      <c r="S373" s="1213"/>
      <c r="W373" s="1213"/>
      <c r="X373" s="1213"/>
      <c r="AE373" s="1213"/>
      <c r="AF373" s="1213"/>
      <c r="AV373" s="1213"/>
      <c r="AW373" s="1213"/>
      <c r="AX373" s="1213"/>
      <c r="AY373" s="1213"/>
      <c r="AZ373" s="1213"/>
      <c r="BA373" s="1213"/>
      <c r="BC373" s="1213"/>
      <c r="BE373" s="1213"/>
      <c r="BF373" s="1213"/>
      <c r="BG373" s="1213"/>
    </row>
    <row r="374" spans="18:59" x14ac:dyDescent="0.35">
      <c r="R374" s="1213"/>
      <c r="S374" s="1213"/>
      <c r="W374" s="1213"/>
      <c r="X374" s="1213"/>
      <c r="AE374" s="1213"/>
      <c r="AF374" s="1213"/>
      <c r="AV374" s="1213"/>
      <c r="AW374" s="1213"/>
      <c r="AX374" s="1213"/>
      <c r="AY374" s="1213"/>
      <c r="AZ374" s="1213"/>
      <c r="BA374" s="1213"/>
      <c r="BC374" s="1213"/>
      <c r="BE374" s="1213"/>
      <c r="BF374" s="1213"/>
      <c r="BG374" s="1213"/>
    </row>
    <row r="375" spans="18:59" x14ac:dyDescent="0.35">
      <c r="R375" s="1213"/>
      <c r="S375" s="1213"/>
      <c r="W375" s="1213"/>
      <c r="X375" s="1213"/>
      <c r="AE375" s="1213"/>
      <c r="AF375" s="1213"/>
      <c r="AV375" s="1213"/>
      <c r="AW375" s="1213"/>
      <c r="AX375" s="1213"/>
      <c r="AY375" s="1213"/>
      <c r="AZ375" s="1213"/>
      <c r="BA375" s="1213"/>
      <c r="BC375" s="1213"/>
      <c r="BE375" s="1213"/>
      <c r="BF375" s="1213"/>
      <c r="BG375" s="1213"/>
    </row>
    <row r="376" spans="18:59" x14ac:dyDescent="0.35">
      <c r="R376" s="1213"/>
      <c r="S376" s="1213"/>
      <c r="W376" s="1213"/>
      <c r="X376" s="1213"/>
      <c r="AE376" s="1213"/>
      <c r="AF376" s="1213"/>
      <c r="AV376" s="1213"/>
      <c r="AW376" s="1213"/>
      <c r="AX376" s="1213"/>
      <c r="AY376" s="1213"/>
      <c r="AZ376" s="1213"/>
      <c r="BA376" s="1213"/>
      <c r="BC376" s="1213"/>
      <c r="BE376" s="1213"/>
      <c r="BF376" s="1213"/>
      <c r="BG376" s="1213"/>
    </row>
    <row r="377" spans="18:59" x14ac:dyDescent="0.35">
      <c r="R377" s="1213"/>
      <c r="S377" s="1213"/>
      <c r="W377" s="1213"/>
      <c r="X377" s="1213"/>
      <c r="AE377" s="1213"/>
      <c r="AF377" s="1213"/>
      <c r="AV377" s="1213"/>
      <c r="AW377" s="1213"/>
      <c r="AX377" s="1213"/>
      <c r="AY377" s="1213"/>
      <c r="AZ377" s="1213"/>
      <c r="BA377" s="1213"/>
      <c r="BC377" s="1213"/>
      <c r="BE377" s="1213"/>
      <c r="BF377" s="1213"/>
      <c r="BG377" s="1213"/>
    </row>
    <row r="378" spans="18:59" x14ac:dyDescent="0.35">
      <c r="R378" s="1213"/>
      <c r="S378" s="1213"/>
      <c r="W378" s="1213"/>
      <c r="X378" s="1213"/>
      <c r="AE378" s="1213"/>
      <c r="AF378" s="1213"/>
      <c r="AV378" s="1213"/>
      <c r="AW378" s="1213"/>
      <c r="AX378" s="1213"/>
      <c r="AY378" s="1213"/>
      <c r="AZ378" s="1213"/>
      <c r="BA378" s="1213"/>
      <c r="BC378" s="1213"/>
      <c r="BE378" s="1213"/>
      <c r="BF378" s="1213"/>
      <c r="BG378" s="1213"/>
    </row>
    <row r="379" spans="18:59" x14ac:dyDescent="0.35">
      <c r="R379" s="1213"/>
      <c r="S379" s="1213"/>
      <c r="W379" s="1213"/>
      <c r="X379" s="1213"/>
      <c r="AE379" s="1213"/>
      <c r="AF379" s="1213"/>
      <c r="AV379" s="1213"/>
      <c r="AW379" s="1213"/>
      <c r="AX379" s="1213"/>
      <c r="AY379" s="1213"/>
      <c r="AZ379" s="1213"/>
      <c r="BA379" s="1213"/>
      <c r="BC379" s="1213"/>
      <c r="BE379" s="1213"/>
      <c r="BF379" s="1213"/>
      <c r="BG379" s="1213"/>
    </row>
    <row r="380" spans="18:59" x14ac:dyDescent="0.35">
      <c r="R380" s="1213"/>
      <c r="S380" s="1213"/>
      <c r="W380" s="1213"/>
      <c r="X380" s="1213"/>
      <c r="AE380" s="1213"/>
      <c r="AF380" s="1213"/>
      <c r="AV380" s="1213"/>
      <c r="AW380" s="1213"/>
      <c r="AX380" s="1213"/>
      <c r="AY380" s="1213"/>
      <c r="AZ380" s="1213"/>
      <c r="BA380" s="1213"/>
      <c r="BC380" s="1213"/>
      <c r="BE380" s="1213"/>
      <c r="BF380" s="1213"/>
      <c r="BG380" s="1213"/>
    </row>
    <row r="381" spans="18:59" x14ac:dyDescent="0.35">
      <c r="R381" s="1213"/>
      <c r="S381" s="1213"/>
      <c r="W381" s="1213"/>
      <c r="X381" s="1213"/>
      <c r="AE381" s="1213"/>
      <c r="AF381" s="1213"/>
      <c r="AV381" s="1213"/>
      <c r="AW381" s="1213"/>
      <c r="AX381" s="1213"/>
      <c r="AY381" s="1213"/>
      <c r="AZ381" s="1213"/>
      <c r="BA381" s="1213"/>
      <c r="BC381" s="1213"/>
      <c r="BE381" s="1213"/>
      <c r="BF381" s="1213"/>
      <c r="BG381" s="1213"/>
    </row>
    <row r="382" spans="18:59" x14ac:dyDescent="0.35">
      <c r="R382" s="1213"/>
      <c r="S382" s="1213"/>
      <c r="W382" s="1213"/>
      <c r="X382" s="1213"/>
      <c r="AE382" s="1213"/>
      <c r="AF382" s="1213"/>
      <c r="AV382" s="1213"/>
      <c r="AW382" s="1213"/>
      <c r="AX382" s="1213"/>
      <c r="AY382" s="1213"/>
      <c r="AZ382" s="1213"/>
      <c r="BA382" s="1213"/>
      <c r="BC382" s="1213"/>
      <c r="BE382" s="1213"/>
      <c r="BF382" s="1213"/>
      <c r="BG382" s="1213"/>
    </row>
    <row r="383" spans="18:59" x14ac:dyDescent="0.35">
      <c r="R383" s="1213"/>
      <c r="S383" s="1213"/>
      <c r="W383" s="1213"/>
      <c r="X383" s="1213"/>
      <c r="AE383" s="1213"/>
      <c r="AF383" s="1213"/>
      <c r="AV383" s="1213"/>
      <c r="AW383" s="1213"/>
      <c r="AX383" s="1213"/>
      <c r="AY383" s="1213"/>
      <c r="AZ383" s="1213"/>
      <c r="BA383" s="1213"/>
      <c r="BC383" s="1213"/>
      <c r="BE383" s="1213"/>
      <c r="BF383" s="1213"/>
      <c r="BG383" s="1213"/>
    </row>
    <row r="384" spans="18:59" x14ac:dyDescent="0.35">
      <c r="R384" s="1213"/>
      <c r="S384" s="1213"/>
      <c r="W384" s="1213"/>
      <c r="X384" s="1213"/>
      <c r="AE384" s="1213"/>
      <c r="AF384" s="1213"/>
      <c r="AV384" s="1213"/>
      <c r="AW384" s="1213"/>
      <c r="AX384" s="1213"/>
      <c r="AY384" s="1213"/>
      <c r="AZ384" s="1213"/>
      <c r="BA384" s="1213"/>
      <c r="BC384" s="1213"/>
      <c r="BE384" s="1213"/>
      <c r="BF384" s="1213"/>
      <c r="BG384" s="1213"/>
    </row>
    <row r="385" spans="18:59" x14ac:dyDescent="0.35">
      <c r="R385" s="1213"/>
      <c r="S385" s="1213"/>
      <c r="W385" s="1213"/>
      <c r="X385" s="1213"/>
      <c r="AE385" s="1213"/>
      <c r="AF385" s="1213"/>
      <c r="AV385" s="1213"/>
      <c r="AW385" s="1213"/>
      <c r="AX385" s="1213"/>
      <c r="AY385" s="1213"/>
      <c r="AZ385" s="1213"/>
      <c r="BA385" s="1213"/>
      <c r="BC385" s="1213"/>
      <c r="BE385" s="1213"/>
      <c r="BF385" s="1213"/>
      <c r="BG385" s="1213"/>
    </row>
    <row r="386" spans="18:59" x14ac:dyDescent="0.35">
      <c r="R386" s="1213"/>
      <c r="S386" s="1213"/>
      <c r="W386" s="1213"/>
      <c r="X386" s="1213"/>
      <c r="AE386" s="1213"/>
      <c r="AF386" s="1213"/>
      <c r="AV386" s="1213"/>
      <c r="AW386" s="1213"/>
      <c r="AX386" s="1213"/>
      <c r="AY386" s="1213"/>
      <c r="AZ386" s="1213"/>
      <c r="BA386" s="1213"/>
      <c r="BC386" s="1213"/>
      <c r="BE386" s="1213"/>
      <c r="BF386" s="1213"/>
      <c r="BG386" s="1213"/>
    </row>
    <row r="387" spans="18:59" x14ac:dyDescent="0.35">
      <c r="R387" s="1213"/>
      <c r="S387" s="1213"/>
      <c r="W387" s="1213"/>
      <c r="X387" s="1213"/>
      <c r="AE387" s="1213"/>
      <c r="AF387" s="1213"/>
      <c r="AV387" s="1213"/>
      <c r="AW387" s="1213"/>
      <c r="AX387" s="1213"/>
      <c r="AY387" s="1213"/>
      <c r="AZ387" s="1213"/>
      <c r="BA387" s="1213"/>
      <c r="BC387" s="1213"/>
      <c r="BE387" s="1213"/>
      <c r="BF387" s="1213"/>
      <c r="BG387" s="1213"/>
    </row>
    <row r="388" spans="18:59" x14ac:dyDescent="0.35">
      <c r="R388" s="1213"/>
      <c r="S388" s="1213"/>
      <c r="W388" s="1213"/>
      <c r="X388" s="1213"/>
      <c r="AE388" s="1213"/>
      <c r="AF388" s="1213"/>
      <c r="AV388" s="1213"/>
      <c r="AW388" s="1213"/>
      <c r="AX388" s="1213"/>
      <c r="AY388" s="1213"/>
      <c r="AZ388" s="1213"/>
      <c r="BA388" s="1213"/>
      <c r="BC388" s="1213"/>
      <c r="BE388" s="1213"/>
      <c r="BF388" s="1213"/>
      <c r="BG388" s="1213"/>
    </row>
    <row r="389" spans="18:59" x14ac:dyDescent="0.35">
      <c r="R389" s="1213"/>
      <c r="S389" s="1213"/>
      <c r="W389" s="1213"/>
      <c r="X389" s="1213"/>
      <c r="AE389" s="1213"/>
      <c r="AF389" s="1213"/>
      <c r="AV389" s="1213"/>
      <c r="AW389" s="1213"/>
      <c r="AX389" s="1213"/>
      <c r="AY389" s="1213"/>
      <c r="AZ389" s="1213"/>
      <c r="BA389" s="1213"/>
      <c r="BC389" s="1213"/>
      <c r="BE389" s="1213"/>
      <c r="BF389" s="1213"/>
      <c r="BG389" s="1213"/>
    </row>
    <row r="390" spans="18:59" x14ac:dyDescent="0.35">
      <c r="R390" s="1213"/>
      <c r="S390" s="1213"/>
      <c r="W390" s="1213"/>
      <c r="X390" s="1213"/>
      <c r="AE390" s="1213"/>
      <c r="AF390" s="1213"/>
      <c r="AV390" s="1213"/>
      <c r="AW390" s="1213"/>
      <c r="AX390" s="1213"/>
      <c r="AY390" s="1213"/>
      <c r="AZ390" s="1213"/>
      <c r="BA390" s="1213"/>
      <c r="BC390" s="1213"/>
      <c r="BE390" s="1213"/>
      <c r="BF390" s="1213"/>
      <c r="BG390" s="1213"/>
    </row>
    <row r="391" spans="18:59" x14ac:dyDescent="0.35">
      <c r="R391" s="1213"/>
      <c r="S391" s="1213"/>
      <c r="W391" s="1213"/>
      <c r="X391" s="1213"/>
      <c r="AE391" s="1213"/>
      <c r="AF391" s="1213"/>
      <c r="AV391" s="1213"/>
      <c r="AW391" s="1213"/>
      <c r="AX391" s="1213"/>
      <c r="AY391" s="1213"/>
      <c r="AZ391" s="1213"/>
      <c r="BA391" s="1213"/>
      <c r="BC391" s="1213"/>
      <c r="BE391" s="1213"/>
      <c r="BF391" s="1213"/>
      <c r="BG391" s="1213"/>
    </row>
    <row r="392" spans="18:59" x14ac:dyDescent="0.35">
      <c r="R392" s="1213"/>
      <c r="S392" s="1213"/>
      <c r="W392" s="1213"/>
      <c r="X392" s="1213"/>
      <c r="AE392" s="1213"/>
      <c r="AF392" s="1213"/>
      <c r="AV392" s="1213"/>
      <c r="AW392" s="1213"/>
      <c r="AX392" s="1213"/>
      <c r="AY392" s="1213"/>
      <c r="AZ392" s="1213"/>
      <c r="BA392" s="1213"/>
      <c r="BC392" s="1213"/>
      <c r="BE392" s="1213"/>
      <c r="BF392" s="1213"/>
      <c r="BG392" s="1213"/>
    </row>
    <row r="393" spans="18:59" x14ac:dyDescent="0.35">
      <c r="R393" s="1213"/>
      <c r="S393" s="1213"/>
      <c r="W393" s="1213"/>
      <c r="X393" s="1213"/>
      <c r="AE393" s="1213"/>
      <c r="AF393" s="1213"/>
      <c r="AV393" s="1213"/>
      <c r="AW393" s="1213"/>
      <c r="AX393" s="1213"/>
      <c r="AY393" s="1213"/>
      <c r="AZ393" s="1213"/>
      <c r="BA393" s="1213"/>
      <c r="BC393" s="1213"/>
      <c r="BE393" s="1213"/>
      <c r="BF393" s="1213"/>
      <c r="BG393" s="1213"/>
    </row>
    <row r="394" spans="18:59" x14ac:dyDescent="0.35">
      <c r="R394" s="1213"/>
      <c r="S394" s="1213"/>
      <c r="W394" s="1213"/>
      <c r="X394" s="1213"/>
      <c r="AE394" s="1213"/>
      <c r="AF394" s="1213"/>
      <c r="AV394" s="1213"/>
      <c r="AW394" s="1213"/>
      <c r="AX394" s="1213"/>
      <c r="AY394" s="1213"/>
      <c r="AZ394" s="1213"/>
      <c r="BA394" s="1213"/>
      <c r="BC394" s="1213"/>
      <c r="BE394" s="1213"/>
      <c r="BF394" s="1213"/>
      <c r="BG394" s="1213"/>
    </row>
    <row r="395" spans="18:59" x14ac:dyDescent="0.35">
      <c r="R395" s="1213"/>
      <c r="S395" s="1213"/>
      <c r="W395" s="1213"/>
      <c r="X395" s="1213"/>
      <c r="AE395" s="1213"/>
      <c r="AF395" s="1213"/>
      <c r="AV395" s="1213"/>
      <c r="AW395" s="1213"/>
      <c r="AX395" s="1213"/>
      <c r="AY395" s="1213"/>
      <c r="AZ395" s="1213"/>
      <c r="BA395" s="1213"/>
      <c r="BC395" s="1213"/>
      <c r="BE395" s="1213"/>
      <c r="BF395" s="1213"/>
      <c r="BG395" s="1213"/>
    </row>
    <row r="396" spans="18:59" x14ac:dyDescent="0.35">
      <c r="R396" s="1213"/>
      <c r="S396" s="1213"/>
      <c r="W396" s="1213"/>
      <c r="X396" s="1213"/>
      <c r="AE396" s="1213"/>
      <c r="AF396" s="1213"/>
      <c r="AV396" s="1213"/>
      <c r="AW396" s="1213"/>
      <c r="AX396" s="1213"/>
      <c r="AY396" s="1213"/>
      <c r="AZ396" s="1213"/>
      <c r="BA396" s="1213"/>
      <c r="BC396" s="1213"/>
      <c r="BE396" s="1213"/>
      <c r="BF396" s="1213"/>
      <c r="BG396" s="1213"/>
    </row>
    <row r="397" spans="18:59" x14ac:dyDescent="0.35">
      <c r="R397" s="1213"/>
      <c r="S397" s="1213"/>
      <c r="W397" s="1213"/>
      <c r="X397" s="1213"/>
      <c r="AE397" s="1213"/>
      <c r="AF397" s="1213"/>
      <c r="AV397" s="1213"/>
      <c r="AW397" s="1213"/>
      <c r="AX397" s="1213"/>
      <c r="AY397" s="1213"/>
      <c r="AZ397" s="1213"/>
      <c r="BA397" s="1213"/>
      <c r="BC397" s="1213"/>
      <c r="BE397" s="1213"/>
      <c r="BF397" s="1213"/>
      <c r="BG397" s="1213"/>
    </row>
    <row r="398" spans="18:59" x14ac:dyDescent="0.35">
      <c r="R398" s="1213"/>
      <c r="S398" s="1213"/>
      <c r="W398" s="1213"/>
      <c r="X398" s="1213"/>
      <c r="AE398" s="1213"/>
      <c r="AF398" s="1213"/>
      <c r="AV398" s="1213"/>
      <c r="AW398" s="1213"/>
      <c r="AX398" s="1213"/>
      <c r="AY398" s="1213"/>
      <c r="AZ398" s="1213"/>
      <c r="BA398" s="1213"/>
      <c r="BC398" s="1213"/>
      <c r="BE398" s="1213"/>
      <c r="BF398" s="1213"/>
      <c r="BG398" s="1213"/>
    </row>
    <row r="399" spans="18:59" x14ac:dyDescent="0.35">
      <c r="R399" s="1213"/>
      <c r="S399" s="1213"/>
      <c r="W399" s="1213"/>
      <c r="X399" s="1213"/>
      <c r="AE399" s="1213"/>
      <c r="AF399" s="1213"/>
      <c r="AV399" s="1213"/>
      <c r="AW399" s="1213"/>
      <c r="AX399" s="1213"/>
      <c r="AY399" s="1213"/>
      <c r="AZ399" s="1213"/>
      <c r="BA399" s="1213"/>
      <c r="BC399" s="1213"/>
      <c r="BE399" s="1213"/>
      <c r="BF399" s="1213"/>
      <c r="BG399" s="1213"/>
    </row>
    <row r="400" spans="18:59" x14ac:dyDescent="0.35">
      <c r="R400" s="1213"/>
      <c r="S400" s="1213"/>
      <c r="W400" s="1213"/>
      <c r="X400" s="1213"/>
      <c r="AE400" s="1213"/>
      <c r="AF400" s="1213"/>
      <c r="AV400" s="1213"/>
      <c r="AW400" s="1213"/>
      <c r="AX400" s="1213"/>
      <c r="AY400" s="1213"/>
      <c r="AZ400" s="1213"/>
      <c r="BA400" s="1213"/>
      <c r="BC400" s="1213"/>
      <c r="BE400" s="1213"/>
      <c r="BF400" s="1213"/>
      <c r="BG400" s="1213"/>
    </row>
    <row r="401" spans="18:59" x14ac:dyDescent="0.35">
      <c r="R401" s="1213"/>
      <c r="S401" s="1213"/>
      <c r="W401" s="1213"/>
      <c r="X401" s="1213"/>
      <c r="AE401" s="1213"/>
      <c r="AF401" s="1213"/>
      <c r="AV401" s="1213"/>
      <c r="AW401" s="1213"/>
      <c r="AX401" s="1213"/>
      <c r="AY401" s="1213"/>
      <c r="AZ401" s="1213"/>
      <c r="BA401" s="1213"/>
      <c r="BC401" s="1213"/>
      <c r="BE401" s="1213"/>
      <c r="BF401" s="1213"/>
      <c r="BG401" s="1213"/>
    </row>
    <row r="402" spans="18:59" x14ac:dyDescent="0.35">
      <c r="R402" s="1213"/>
      <c r="S402" s="1213"/>
      <c r="W402" s="1213"/>
      <c r="X402" s="1213"/>
      <c r="AE402" s="1213"/>
      <c r="AF402" s="1213"/>
      <c r="AV402" s="1213"/>
      <c r="AW402" s="1213"/>
      <c r="AX402" s="1213"/>
      <c r="AY402" s="1213"/>
      <c r="AZ402" s="1213"/>
      <c r="BA402" s="1213"/>
      <c r="BC402" s="1213"/>
      <c r="BE402" s="1213"/>
      <c r="BF402" s="1213"/>
      <c r="BG402" s="1213"/>
    </row>
    <row r="403" spans="18:59" x14ac:dyDescent="0.35">
      <c r="R403" s="1213"/>
      <c r="S403" s="1213"/>
      <c r="W403" s="1213"/>
      <c r="X403" s="1213"/>
      <c r="AE403" s="1213"/>
      <c r="AF403" s="1213"/>
      <c r="AV403" s="1213"/>
      <c r="AW403" s="1213"/>
      <c r="AX403" s="1213"/>
      <c r="AY403" s="1213"/>
      <c r="AZ403" s="1213"/>
      <c r="BA403" s="1213"/>
      <c r="BC403" s="1213"/>
      <c r="BE403" s="1213"/>
      <c r="BF403" s="1213"/>
      <c r="BG403" s="1213"/>
    </row>
    <row r="404" spans="18:59" x14ac:dyDescent="0.35">
      <c r="R404" s="1213"/>
      <c r="S404" s="1213"/>
      <c r="W404" s="1213"/>
      <c r="X404" s="1213"/>
      <c r="AE404" s="1213"/>
      <c r="AF404" s="1213"/>
      <c r="AV404" s="1213"/>
      <c r="AW404" s="1213"/>
      <c r="AX404" s="1213"/>
      <c r="AY404" s="1213"/>
      <c r="AZ404" s="1213"/>
      <c r="BA404" s="1213"/>
      <c r="BC404" s="1213"/>
      <c r="BE404" s="1213"/>
      <c r="BF404" s="1213"/>
      <c r="BG404" s="1213"/>
    </row>
    <row r="405" spans="18:59" x14ac:dyDescent="0.35">
      <c r="R405" s="1213"/>
      <c r="S405" s="1213"/>
      <c r="W405" s="1213"/>
      <c r="X405" s="1213"/>
      <c r="AE405" s="1213"/>
      <c r="AF405" s="1213"/>
      <c r="AV405" s="1213"/>
      <c r="AW405" s="1213"/>
      <c r="AX405" s="1213"/>
      <c r="AY405" s="1213"/>
      <c r="AZ405" s="1213"/>
      <c r="BA405" s="1213"/>
      <c r="BC405" s="1213"/>
      <c r="BE405" s="1213"/>
      <c r="BF405" s="1213"/>
      <c r="BG405" s="1213"/>
    </row>
    <row r="406" spans="18:59" x14ac:dyDescent="0.35">
      <c r="R406" s="1213"/>
      <c r="S406" s="1213"/>
      <c r="W406" s="1213"/>
      <c r="X406" s="1213"/>
      <c r="AE406" s="1213"/>
      <c r="AF406" s="1213"/>
      <c r="AV406" s="1213"/>
      <c r="AW406" s="1213"/>
      <c r="AX406" s="1213"/>
      <c r="AY406" s="1213"/>
      <c r="AZ406" s="1213"/>
      <c r="BA406" s="1213"/>
      <c r="BC406" s="1213"/>
      <c r="BE406" s="1213"/>
      <c r="BF406" s="1213"/>
      <c r="BG406" s="1213"/>
    </row>
    <row r="407" spans="18:59" x14ac:dyDescent="0.35">
      <c r="R407" s="1213"/>
      <c r="S407" s="1213"/>
      <c r="W407" s="1213"/>
      <c r="X407" s="1213"/>
      <c r="AE407" s="1213"/>
      <c r="AF407" s="1213"/>
      <c r="AV407" s="1213"/>
      <c r="AW407" s="1213"/>
      <c r="AX407" s="1213"/>
      <c r="AY407" s="1213"/>
      <c r="AZ407" s="1213"/>
      <c r="BA407" s="1213"/>
      <c r="BC407" s="1213"/>
      <c r="BE407" s="1213"/>
      <c r="BF407" s="1213"/>
      <c r="BG407" s="1213"/>
    </row>
    <row r="408" spans="18:59" x14ac:dyDescent="0.35">
      <c r="R408" s="1213"/>
      <c r="S408" s="1213"/>
      <c r="W408" s="1213"/>
      <c r="X408" s="1213"/>
      <c r="AE408" s="1213"/>
      <c r="AF408" s="1213"/>
      <c r="AV408" s="1213"/>
      <c r="AW408" s="1213"/>
      <c r="AX408" s="1213"/>
      <c r="AY408" s="1213"/>
      <c r="AZ408" s="1213"/>
      <c r="BA408" s="1213"/>
      <c r="BC408" s="1213"/>
      <c r="BE408" s="1213"/>
      <c r="BF408" s="1213"/>
      <c r="BG408" s="1213"/>
    </row>
    <row r="409" spans="18:59" x14ac:dyDescent="0.35">
      <c r="R409" s="1213"/>
      <c r="S409" s="1213"/>
      <c r="W409" s="1213"/>
      <c r="X409" s="1213"/>
      <c r="AE409" s="1213"/>
      <c r="AF409" s="1213"/>
      <c r="AV409" s="1213"/>
      <c r="AW409" s="1213"/>
      <c r="AX409" s="1213"/>
      <c r="AY409" s="1213"/>
      <c r="AZ409" s="1213"/>
      <c r="BA409" s="1213"/>
      <c r="BC409" s="1213"/>
      <c r="BE409" s="1213"/>
      <c r="BF409" s="1213"/>
      <c r="BG409" s="1213"/>
    </row>
    <row r="410" spans="18:59" x14ac:dyDescent="0.35">
      <c r="R410" s="1213"/>
      <c r="S410" s="1213"/>
      <c r="W410" s="1213"/>
      <c r="X410" s="1213"/>
      <c r="AE410" s="1213"/>
      <c r="AF410" s="1213"/>
      <c r="AV410" s="1213"/>
      <c r="AW410" s="1213"/>
      <c r="AX410" s="1213"/>
      <c r="AY410" s="1213"/>
      <c r="AZ410" s="1213"/>
      <c r="BA410" s="1213"/>
      <c r="BC410" s="1213"/>
      <c r="BE410" s="1213"/>
      <c r="BF410" s="1213"/>
      <c r="BG410" s="1213"/>
    </row>
    <row r="411" spans="18:59" x14ac:dyDescent="0.35">
      <c r="R411" s="1213"/>
      <c r="S411" s="1213"/>
      <c r="W411" s="1213"/>
      <c r="X411" s="1213"/>
      <c r="AE411" s="1213"/>
      <c r="AF411" s="1213"/>
      <c r="AV411" s="1213"/>
      <c r="AW411" s="1213"/>
      <c r="AX411" s="1213"/>
      <c r="AY411" s="1213"/>
      <c r="AZ411" s="1213"/>
      <c r="BA411" s="1213"/>
      <c r="BC411" s="1213"/>
      <c r="BE411" s="1213"/>
      <c r="BF411" s="1213"/>
      <c r="BG411" s="1213"/>
    </row>
    <row r="412" spans="18:59" x14ac:dyDescent="0.35">
      <c r="R412" s="1213"/>
      <c r="S412" s="1213"/>
      <c r="W412" s="1213"/>
      <c r="X412" s="1213"/>
      <c r="AE412" s="1213"/>
      <c r="AF412" s="1213"/>
      <c r="AV412" s="1213"/>
      <c r="AW412" s="1213"/>
      <c r="AX412" s="1213"/>
      <c r="AY412" s="1213"/>
      <c r="AZ412" s="1213"/>
      <c r="BA412" s="1213"/>
      <c r="BC412" s="1213"/>
      <c r="BE412" s="1213"/>
      <c r="BF412" s="1213"/>
      <c r="BG412" s="1213"/>
    </row>
    <row r="413" spans="18:59" x14ac:dyDescent="0.35">
      <c r="R413" s="1213"/>
      <c r="S413" s="1213"/>
      <c r="W413" s="1213"/>
      <c r="X413" s="1213"/>
      <c r="AE413" s="1213"/>
      <c r="AF413" s="1213"/>
      <c r="AV413" s="1213"/>
      <c r="AW413" s="1213"/>
      <c r="AX413" s="1213"/>
      <c r="AY413" s="1213"/>
      <c r="AZ413" s="1213"/>
      <c r="BA413" s="1213"/>
      <c r="BC413" s="1213"/>
      <c r="BE413" s="1213"/>
      <c r="BF413" s="1213"/>
      <c r="BG413" s="1213"/>
    </row>
    <row r="414" spans="18:59" x14ac:dyDescent="0.35">
      <c r="R414" s="1213"/>
      <c r="S414" s="1213"/>
      <c r="W414" s="1213"/>
      <c r="X414" s="1213"/>
      <c r="AE414" s="1213"/>
      <c r="AF414" s="1213"/>
      <c r="AV414" s="1213"/>
      <c r="AW414" s="1213"/>
      <c r="AX414" s="1213"/>
      <c r="AY414" s="1213"/>
      <c r="AZ414" s="1213"/>
      <c r="BA414" s="1213"/>
      <c r="BC414" s="1213"/>
      <c r="BE414" s="1213"/>
      <c r="BF414" s="1213"/>
      <c r="BG414" s="1213"/>
    </row>
    <row r="415" spans="18:59" x14ac:dyDescent="0.35">
      <c r="R415" s="1213"/>
      <c r="S415" s="1213"/>
      <c r="W415" s="1213"/>
      <c r="X415" s="1213"/>
      <c r="AE415" s="1213"/>
      <c r="AF415" s="1213"/>
      <c r="AV415" s="1213"/>
      <c r="AW415" s="1213"/>
      <c r="AX415" s="1213"/>
      <c r="AY415" s="1213"/>
      <c r="AZ415" s="1213"/>
      <c r="BA415" s="1213"/>
      <c r="BC415" s="1213"/>
      <c r="BE415" s="1213"/>
      <c r="BF415" s="1213"/>
      <c r="BG415" s="1213"/>
    </row>
    <row r="416" spans="18:59" x14ac:dyDescent="0.35">
      <c r="R416" s="1213"/>
      <c r="S416" s="1213"/>
      <c r="W416" s="1213"/>
      <c r="X416" s="1213"/>
      <c r="AE416" s="1213"/>
      <c r="AF416" s="1213"/>
      <c r="AV416" s="1213"/>
      <c r="AW416" s="1213"/>
      <c r="AX416" s="1213"/>
      <c r="AY416" s="1213"/>
      <c r="AZ416" s="1213"/>
      <c r="BA416" s="1213"/>
      <c r="BC416" s="1213"/>
      <c r="BE416" s="1213"/>
      <c r="BF416" s="1213"/>
      <c r="BG416" s="1213"/>
    </row>
    <row r="417" spans="18:59" x14ac:dyDescent="0.35">
      <c r="R417" s="1213"/>
      <c r="S417" s="1213"/>
      <c r="W417" s="1213"/>
      <c r="X417" s="1213"/>
      <c r="AE417" s="1213"/>
      <c r="AF417" s="1213"/>
      <c r="AV417" s="1213"/>
      <c r="AW417" s="1213"/>
      <c r="AX417" s="1213"/>
      <c r="AY417" s="1213"/>
      <c r="AZ417" s="1213"/>
      <c r="BA417" s="1213"/>
      <c r="BC417" s="1213"/>
      <c r="BE417" s="1213"/>
      <c r="BF417" s="1213"/>
      <c r="BG417" s="1213"/>
    </row>
    <row r="418" spans="18:59" x14ac:dyDescent="0.35">
      <c r="R418" s="1213"/>
      <c r="S418" s="1213"/>
      <c r="W418" s="1213"/>
      <c r="X418" s="1213"/>
      <c r="AE418" s="1213"/>
      <c r="AF418" s="1213"/>
      <c r="AV418" s="1213"/>
      <c r="AW418" s="1213"/>
      <c r="AX418" s="1213"/>
      <c r="AY418" s="1213"/>
      <c r="AZ418" s="1213"/>
      <c r="BA418" s="1213"/>
      <c r="BC418" s="1213"/>
      <c r="BE418" s="1213"/>
      <c r="BF418" s="1213"/>
      <c r="BG418" s="1213"/>
    </row>
    <row r="419" spans="18:59" x14ac:dyDescent="0.35">
      <c r="R419" s="1213"/>
      <c r="S419" s="1213"/>
      <c r="W419" s="1213"/>
      <c r="X419" s="1213"/>
      <c r="AE419" s="1213"/>
      <c r="AF419" s="1213"/>
      <c r="AV419" s="1213"/>
      <c r="AW419" s="1213"/>
      <c r="AX419" s="1213"/>
      <c r="AY419" s="1213"/>
      <c r="AZ419" s="1213"/>
      <c r="BA419" s="1213"/>
      <c r="BC419" s="1213"/>
      <c r="BE419" s="1213"/>
      <c r="BF419" s="1213"/>
      <c r="BG419" s="1213"/>
    </row>
    <row r="420" spans="18:59" x14ac:dyDescent="0.35">
      <c r="R420" s="1213"/>
      <c r="S420" s="1213"/>
      <c r="W420" s="1213"/>
      <c r="X420" s="1213"/>
      <c r="AE420" s="1213"/>
      <c r="AF420" s="1213"/>
      <c r="AV420" s="1213"/>
      <c r="AW420" s="1213"/>
      <c r="AX420" s="1213"/>
      <c r="AY420" s="1213"/>
      <c r="AZ420" s="1213"/>
      <c r="BA420" s="1213"/>
      <c r="BC420" s="1213"/>
      <c r="BE420" s="1213"/>
      <c r="BF420" s="1213"/>
      <c r="BG420" s="1213"/>
    </row>
    <row r="421" spans="18:59" x14ac:dyDescent="0.35">
      <c r="R421" s="1213"/>
      <c r="S421" s="1213"/>
      <c r="W421" s="1213"/>
      <c r="X421" s="1213"/>
      <c r="AE421" s="1213"/>
      <c r="AF421" s="1213"/>
      <c r="AV421" s="1213"/>
      <c r="AW421" s="1213"/>
      <c r="AX421" s="1213"/>
      <c r="AY421" s="1213"/>
      <c r="AZ421" s="1213"/>
      <c r="BA421" s="1213"/>
      <c r="BC421" s="1213"/>
      <c r="BE421" s="1213"/>
      <c r="BF421" s="1213"/>
      <c r="BG421" s="1213"/>
    </row>
    <row r="422" spans="18:59" x14ac:dyDescent="0.35">
      <c r="R422" s="1213"/>
      <c r="S422" s="1213"/>
      <c r="W422" s="1213"/>
      <c r="X422" s="1213"/>
      <c r="AE422" s="1213"/>
      <c r="AF422" s="1213"/>
      <c r="AV422" s="1213"/>
      <c r="AW422" s="1213"/>
      <c r="AX422" s="1213"/>
      <c r="AY422" s="1213"/>
      <c r="AZ422" s="1213"/>
      <c r="BA422" s="1213"/>
      <c r="BC422" s="1213"/>
      <c r="BE422" s="1213"/>
      <c r="BF422" s="1213"/>
      <c r="BG422" s="1213"/>
    </row>
    <row r="423" spans="18:59" x14ac:dyDescent="0.35">
      <c r="R423" s="1213"/>
      <c r="S423" s="1213"/>
      <c r="W423" s="1213"/>
      <c r="X423" s="1213"/>
      <c r="AE423" s="1213"/>
      <c r="AF423" s="1213"/>
      <c r="AV423" s="1213"/>
      <c r="AW423" s="1213"/>
      <c r="AX423" s="1213"/>
      <c r="AY423" s="1213"/>
      <c r="AZ423" s="1213"/>
      <c r="BA423" s="1213"/>
      <c r="BC423" s="1213"/>
      <c r="BE423" s="1213"/>
      <c r="BF423" s="1213"/>
      <c r="BG423" s="1213"/>
    </row>
    <row r="424" spans="18:59" x14ac:dyDescent="0.35">
      <c r="R424" s="1213"/>
      <c r="S424" s="1213"/>
      <c r="W424" s="1213"/>
      <c r="X424" s="1213"/>
      <c r="AE424" s="1213"/>
      <c r="AF424" s="1213"/>
      <c r="AV424" s="1213"/>
      <c r="AW424" s="1213"/>
      <c r="AX424" s="1213"/>
      <c r="AY424" s="1213"/>
      <c r="AZ424" s="1213"/>
      <c r="BA424" s="1213"/>
      <c r="BC424" s="1213"/>
      <c r="BE424" s="1213"/>
      <c r="BF424" s="1213"/>
      <c r="BG424" s="1213"/>
    </row>
    <row r="425" spans="18:59" x14ac:dyDescent="0.35">
      <c r="R425" s="1213"/>
      <c r="S425" s="1213"/>
      <c r="W425" s="1213"/>
      <c r="X425" s="1213"/>
      <c r="AE425" s="1213"/>
      <c r="AF425" s="1213"/>
      <c r="AV425" s="1213"/>
      <c r="AW425" s="1213"/>
      <c r="AX425" s="1213"/>
      <c r="AY425" s="1213"/>
      <c r="AZ425" s="1213"/>
      <c r="BA425" s="1213"/>
      <c r="BC425" s="1213"/>
      <c r="BE425" s="1213"/>
      <c r="BF425" s="1213"/>
      <c r="BG425" s="1213"/>
    </row>
    <row r="426" spans="18:59" x14ac:dyDescent="0.35">
      <c r="R426" s="1213"/>
      <c r="S426" s="1213"/>
      <c r="W426" s="1213"/>
      <c r="X426" s="1213"/>
      <c r="AE426" s="1213"/>
      <c r="AF426" s="1213"/>
      <c r="AV426" s="1213"/>
      <c r="AW426" s="1213"/>
      <c r="AX426" s="1213"/>
      <c r="AY426" s="1213"/>
      <c r="AZ426" s="1213"/>
      <c r="BA426" s="1213"/>
      <c r="BC426" s="1213"/>
      <c r="BE426" s="1213"/>
      <c r="BF426" s="1213"/>
      <c r="BG426" s="1213"/>
    </row>
    <row r="427" spans="18:59" x14ac:dyDescent="0.35">
      <c r="R427" s="1213"/>
      <c r="S427" s="1213"/>
      <c r="W427" s="1213"/>
      <c r="X427" s="1213"/>
      <c r="AE427" s="1213"/>
      <c r="AF427" s="1213"/>
      <c r="AV427" s="1213"/>
      <c r="AW427" s="1213"/>
      <c r="AX427" s="1213"/>
      <c r="AY427" s="1213"/>
      <c r="AZ427" s="1213"/>
      <c r="BA427" s="1213"/>
      <c r="BC427" s="1213"/>
      <c r="BE427" s="1213"/>
      <c r="BF427" s="1213"/>
      <c r="BG427" s="1213"/>
    </row>
    <row r="428" spans="18:59" x14ac:dyDescent="0.35">
      <c r="R428" s="1213"/>
      <c r="S428" s="1213"/>
      <c r="W428" s="1213"/>
      <c r="X428" s="1213"/>
      <c r="AE428" s="1213"/>
      <c r="AF428" s="1213"/>
      <c r="AV428" s="1213"/>
      <c r="AW428" s="1213"/>
      <c r="AX428" s="1213"/>
      <c r="AY428" s="1213"/>
      <c r="AZ428" s="1213"/>
      <c r="BA428" s="1213"/>
      <c r="BC428" s="1213"/>
      <c r="BE428" s="1213"/>
      <c r="BF428" s="1213"/>
      <c r="BG428" s="1213"/>
    </row>
    <row r="429" spans="18:59" x14ac:dyDescent="0.35">
      <c r="R429" s="1213"/>
      <c r="S429" s="1213"/>
      <c r="W429" s="1213"/>
      <c r="X429" s="1213"/>
      <c r="AE429" s="1213"/>
      <c r="AF429" s="1213"/>
      <c r="AV429" s="1213"/>
      <c r="AW429" s="1213"/>
      <c r="AX429" s="1213"/>
      <c r="AY429" s="1213"/>
      <c r="AZ429" s="1213"/>
      <c r="BA429" s="1213"/>
      <c r="BC429" s="1213"/>
      <c r="BE429" s="1213"/>
      <c r="BF429" s="1213"/>
      <c r="BG429" s="1213"/>
    </row>
    <row r="430" spans="18:59" x14ac:dyDescent="0.35">
      <c r="R430" s="1213"/>
      <c r="S430" s="1213"/>
      <c r="W430" s="1213"/>
      <c r="X430" s="1213"/>
      <c r="AE430" s="1213"/>
      <c r="AF430" s="1213"/>
      <c r="AV430" s="1213"/>
      <c r="AW430" s="1213"/>
      <c r="AX430" s="1213"/>
      <c r="AY430" s="1213"/>
      <c r="AZ430" s="1213"/>
      <c r="BA430" s="1213"/>
      <c r="BC430" s="1213"/>
      <c r="BE430" s="1213"/>
      <c r="BF430" s="1213"/>
      <c r="BG430" s="1213"/>
    </row>
    <row r="431" spans="18:59" x14ac:dyDescent="0.35">
      <c r="R431" s="1213"/>
      <c r="S431" s="1213"/>
      <c r="W431" s="1213"/>
      <c r="X431" s="1213"/>
      <c r="AE431" s="1213"/>
      <c r="AF431" s="1213"/>
      <c r="AV431" s="1213"/>
      <c r="AW431" s="1213"/>
      <c r="AX431" s="1213"/>
      <c r="AY431" s="1213"/>
      <c r="AZ431" s="1213"/>
      <c r="BA431" s="1213"/>
      <c r="BC431" s="1213"/>
      <c r="BE431" s="1213"/>
      <c r="BF431" s="1213"/>
      <c r="BG431" s="1213"/>
    </row>
    <row r="432" spans="18:59" x14ac:dyDescent="0.35">
      <c r="R432" s="1213"/>
      <c r="S432" s="1213"/>
      <c r="W432" s="1213"/>
      <c r="X432" s="1213"/>
      <c r="AE432" s="1213"/>
      <c r="AF432" s="1213"/>
      <c r="AV432" s="1213"/>
      <c r="AW432" s="1213"/>
      <c r="AX432" s="1213"/>
      <c r="AY432" s="1213"/>
      <c r="AZ432" s="1213"/>
      <c r="BA432" s="1213"/>
      <c r="BC432" s="1213"/>
      <c r="BE432" s="1213"/>
      <c r="BF432" s="1213"/>
      <c r="BG432" s="1213"/>
    </row>
    <row r="433" spans="18:59" x14ac:dyDescent="0.35">
      <c r="R433" s="1213"/>
      <c r="S433" s="1213"/>
      <c r="W433" s="1213"/>
      <c r="X433" s="1213"/>
      <c r="AE433" s="1213"/>
      <c r="AF433" s="1213"/>
      <c r="AV433" s="1213"/>
      <c r="AW433" s="1213"/>
      <c r="AX433" s="1213"/>
      <c r="AY433" s="1213"/>
      <c r="AZ433" s="1213"/>
      <c r="BA433" s="1213"/>
      <c r="BC433" s="1213"/>
      <c r="BE433" s="1213"/>
      <c r="BF433" s="1213"/>
      <c r="BG433" s="1213"/>
    </row>
    <row r="434" spans="18:59" x14ac:dyDescent="0.35">
      <c r="R434" s="1213"/>
      <c r="S434" s="1213"/>
      <c r="W434" s="1213"/>
      <c r="X434" s="1213"/>
      <c r="AE434" s="1213"/>
      <c r="AF434" s="1213"/>
      <c r="AV434" s="1213"/>
      <c r="AW434" s="1213"/>
      <c r="AX434" s="1213"/>
      <c r="AY434" s="1213"/>
      <c r="AZ434" s="1213"/>
      <c r="BA434" s="1213"/>
      <c r="BC434" s="1213"/>
      <c r="BE434" s="1213"/>
      <c r="BF434" s="1213"/>
      <c r="BG434" s="1213"/>
    </row>
    <row r="435" spans="18:59" x14ac:dyDescent="0.35">
      <c r="R435" s="1213"/>
      <c r="S435" s="1213"/>
      <c r="W435" s="1213"/>
      <c r="X435" s="1213"/>
      <c r="AE435" s="1213"/>
      <c r="AF435" s="1213"/>
      <c r="AV435" s="1213"/>
      <c r="AW435" s="1213"/>
      <c r="AX435" s="1213"/>
      <c r="AY435" s="1213"/>
      <c r="AZ435" s="1213"/>
      <c r="BA435" s="1213"/>
      <c r="BC435" s="1213"/>
      <c r="BE435" s="1213"/>
      <c r="BF435" s="1213"/>
      <c r="BG435" s="1213"/>
    </row>
    <row r="436" spans="18:59" x14ac:dyDescent="0.35">
      <c r="R436" s="1213"/>
      <c r="S436" s="1213"/>
      <c r="W436" s="1213"/>
      <c r="X436" s="1213"/>
      <c r="AE436" s="1213"/>
      <c r="AF436" s="1213"/>
      <c r="AV436" s="1213"/>
      <c r="AW436" s="1213"/>
      <c r="AX436" s="1213"/>
      <c r="AY436" s="1213"/>
      <c r="AZ436" s="1213"/>
      <c r="BA436" s="1213"/>
      <c r="BC436" s="1213"/>
      <c r="BE436" s="1213"/>
      <c r="BF436" s="1213"/>
      <c r="BG436" s="1213"/>
    </row>
    <row r="437" spans="18:59" x14ac:dyDescent="0.35">
      <c r="R437" s="1213"/>
      <c r="S437" s="1213"/>
      <c r="W437" s="1213"/>
      <c r="X437" s="1213"/>
      <c r="AE437" s="1213"/>
      <c r="AF437" s="1213"/>
      <c r="AV437" s="1213"/>
      <c r="AW437" s="1213"/>
      <c r="AX437" s="1213"/>
      <c r="AY437" s="1213"/>
      <c r="AZ437" s="1213"/>
      <c r="BA437" s="1213"/>
      <c r="BC437" s="1213"/>
      <c r="BE437" s="1213"/>
      <c r="BF437" s="1213"/>
      <c r="BG437" s="1213"/>
    </row>
    <row r="438" spans="18:59" x14ac:dyDescent="0.35">
      <c r="R438" s="1213"/>
      <c r="S438" s="1213"/>
      <c r="W438" s="1213"/>
      <c r="X438" s="1213"/>
      <c r="AE438" s="1213"/>
      <c r="AF438" s="1213"/>
      <c r="AV438" s="1213"/>
      <c r="AW438" s="1213"/>
      <c r="AX438" s="1213"/>
      <c r="AY438" s="1213"/>
      <c r="AZ438" s="1213"/>
      <c r="BA438" s="1213"/>
      <c r="BC438" s="1213"/>
      <c r="BE438" s="1213"/>
      <c r="BF438" s="1213"/>
      <c r="BG438" s="1213"/>
    </row>
    <row r="439" spans="18:59" x14ac:dyDescent="0.35">
      <c r="R439" s="1213"/>
      <c r="S439" s="1213"/>
      <c r="W439" s="1213"/>
      <c r="X439" s="1213"/>
      <c r="AE439" s="1213"/>
      <c r="AF439" s="1213"/>
      <c r="AV439" s="1213"/>
      <c r="AW439" s="1213"/>
      <c r="AX439" s="1213"/>
      <c r="AY439" s="1213"/>
      <c r="AZ439" s="1213"/>
      <c r="BA439" s="1213"/>
      <c r="BC439" s="1213"/>
      <c r="BE439" s="1213"/>
      <c r="BF439" s="1213"/>
      <c r="BG439" s="1213"/>
    </row>
    <row r="440" spans="18:59" x14ac:dyDescent="0.35">
      <c r="R440" s="1213"/>
      <c r="S440" s="1213"/>
      <c r="W440" s="1213"/>
      <c r="X440" s="1213"/>
      <c r="AE440" s="1213"/>
      <c r="AF440" s="1213"/>
      <c r="AV440" s="1213"/>
      <c r="AW440" s="1213"/>
      <c r="AX440" s="1213"/>
      <c r="AY440" s="1213"/>
      <c r="AZ440" s="1213"/>
      <c r="BA440" s="1213"/>
      <c r="BC440" s="1213"/>
      <c r="BE440" s="1213"/>
      <c r="BF440" s="1213"/>
      <c r="BG440" s="1213"/>
    </row>
    <row r="441" spans="18:59" x14ac:dyDescent="0.35">
      <c r="R441" s="1213"/>
      <c r="S441" s="1213"/>
      <c r="W441" s="1213"/>
      <c r="X441" s="1213"/>
      <c r="AE441" s="1213"/>
      <c r="AF441" s="1213"/>
      <c r="AV441" s="1213"/>
      <c r="AW441" s="1213"/>
      <c r="AX441" s="1213"/>
      <c r="AY441" s="1213"/>
      <c r="AZ441" s="1213"/>
      <c r="BA441" s="1213"/>
      <c r="BC441" s="1213"/>
      <c r="BE441" s="1213"/>
      <c r="BF441" s="1213"/>
      <c r="BG441" s="1213"/>
    </row>
    <row r="442" spans="18:59" x14ac:dyDescent="0.35">
      <c r="R442" s="1213"/>
      <c r="S442" s="1213"/>
      <c r="W442" s="1213"/>
      <c r="X442" s="1213"/>
      <c r="AE442" s="1213"/>
      <c r="AF442" s="1213"/>
      <c r="AV442" s="1213"/>
      <c r="AW442" s="1213"/>
      <c r="AX442" s="1213"/>
      <c r="AY442" s="1213"/>
      <c r="AZ442" s="1213"/>
      <c r="BA442" s="1213"/>
      <c r="BC442" s="1213"/>
      <c r="BE442" s="1213"/>
      <c r="BF442" s="1213"/>
      <c r="BG442" s="1213"/>
    </row>
    <row r="443" spans="18:59" x14ac:dyDescent="0.35">
      <c r="R443" s="1213"/>
      <c r="S443" s="1213"/>
      <c r="W443" s="1213"/>
      <c r="X443" s="1213"/>
      <c r="AE443" s="1213"/>
      <c r="AF443" s="1213"/>
      <c r="AV443" s="1213"/>
      <c r="AW443" s="1213"/>
      <c r="AX443" s="1213"/>
      <c r="AY443" s="1213"/>
      <c r="AZ443" s="1213"/>
      <c r="BA443" s="1213"/>
      <c r="BC443" s="1213"/>
      <c r="BE443" s="1213"/>
      <c r="BF443" s="1213"/>
      <c r="BG443" s="1213"/>
    </row>
    <row r="444" spans="18:59" x14ac:dyDescent="0.35">
      <c r="R444" s="1213"/>
      <c r="S444" s="1213"/>
      <c r="W444" s="1213"/>
      <c r="X444" s="1213"/>
      <c r="AE444" s="1213"/>
      <c r="AF444" s="1213"/>
      <c r="AV444" s="1213"/>
      <c r="AW444" s="1213"/>
      <c r="AX444" s="1213"/>
      <c r="AY444" s="1213"/>
      <c r="AZ444" s="1213"/>
      <c r="BA444" s="1213"/>
      <c r="BC444" s="1213"/>
      <c r="BE444" s="1213"/>
      <c r="BF444" s="1213"/>
      <c r="BG444" s="1213"/>
    </row>
    <row r="445" spans="18:59" x14ac:dyDescent="0.35">
      <c r="R445" s="1213"/>
      <c r="S445" s="1213"/>
      <c r="W445" s="1213"/>
      <c r="X445" s="1213"/>
      <c r="AE445" s="1213"/>
      <c r="AF445" s="1213"/>
      <c r="AV445" s="1213"/>
      <c r="AW445" s="1213"/>
      <c r="AX445" s="1213"/>
      <c r="AY445" s="1213"/>
      <c r="AZ445" s="1213"/>
      <c r="BA445" s="1213"/>
      <c r="BC445" s="1213"/>
      <c r="BE445" s="1213"/>
      <c r="BF445" s="1213"/>
      <c r="BG445" s="1213"/>
    </row>
    <row r="446" spans="18:59" x14ac:dyDescent="0.35">
      <c r="R446" s="1213"/>
      <c r="S446" s="1213"/>
      <c r="W446" s="1213"/>
      <c r="X446" s="1213"/>
      <c r="AE446" s="1213"/>
      <c r="AF446" s="1213"/>
      <c r="AV446" s="1213"/>
      <c r="AW446" s="1213"/>
      <c r="AX446" s="1213"/>
      <c r="AY446" s="1213"/>
      <c r="AZ446" s="1213"/>
      <c r="BA446" s="1213"/>
      <c r="BC446" s="1213"/>
      <c r="BE446" s="1213"/>
      <c r="BF446" s="1213"/>
      <c r="BG446" s="1213"/>
    </row>
    <row r="447" spans="18:59" x14ac:dyDescent="0.35">
      <c r="R447" s="1213"/>
      <c r="S447" s="1213"/>
      <c r="W447" s="1213"/>
      <c r="X447" s="1213"/>
      <c r="AE447" s="1213"/>
      <c r="AF447" s="1213"/>
      <c r="AV447" s="1213"/>
      <c r="AW447" s="1213"/>
      <c r="AX447" s="1213"/>
      <c r="AY447" s="1213"/>
      <c r="AZ447" s="1213"/>
      <c r="BA447" s="1213"/>
      <c r="BC447" s="1213"/>
      <c r="BE447" s="1213"/>
      <c r="BF447" s="1213"/>
      <c r="BG447" s="1213"/>
    </row>
    <row r="448" spans="18:59" x14ac:dyDescent="0.35">
      <c r="R448" s="1213"/>
      <c r="S448" s="1213"/>
      <c r="W448" s="1213"/>
      <c r="X448" s="1213"/>
      <c r="AE448" s="1213"/>
      <c r="AF448" s="1213"/>
      <c r="AV448" s="1213"/>
      <c r="AW448" s="1213"/>
      <c r="AX448" s="1213"/>
      <c r="AY448" s="1213"/>
      <c r="AZ448" s="1213"/>
      <c r="BA448" s="1213"/>
      <c r="BC448" s="1213"/>
      <c r="BE448" s="1213"/>
      <c r="BF448" s="1213"/>
      <c r="BG448" s="1213"/>
    </row>
    <row r="449" spans="18:59" x14ac:dyDescent="0.35">
      <c r="R449" s="1213"/>
      <c r="S449" s="1213"/>
      <c r="W449" s="1213"/>
      <c r="X449" s="1213"/>
      <c r="AE449" s="1213"/>
      <c r="AF449" s="1213"/>
      <c r="AV449" s="1213"/>
      <c r="AW449" s="1213"/>
      <c r="AX449" s="1213"/>
      <c r="AY449" s="1213"/>
      <c r="AZ449" s="1213"/>
      <c r="BA449" s="1213"/>
      <c r="BC449" s="1213"/>
      <c r="BE449" s="1213"/>
      <c r="BF449" s="1213"/>
      <c r="BG449" s="1213"/>
    </row>
    <row r="450" spans="18:59" x14ac:dyDescent="0.35">
      <c r="R450" s="1213"/>
      <c r="S450" s="1213"/>
      <c r="W450" s="1213"/>
      <c r="X450" s="1213"/>
      <c r="AE450" s="1213"/>
      <c r="AF450" s="1213"/>
      <c r="AV450" s="1213"/>
      <c r="AW450" s="1213"/>
      <c r="AX450" s="1213"/>
      <c r="AY450" s="1213"/>
      <c r="AZ450" s="1213"/>
      <c r="BA450" s="1213"/>
      <c r="BC450" s="1213"/>
      <c r="BE450" s="1213"/>
      <c r="BF450" s="1213"/>
      <c r="BG450" s="1213"/>
    </row>
    <row r="451" spans="18:59" x14ac:dyDescent="0.35">
      <c r="R451" s="1213"/>
      <c r="S451" s="1213"/>
      <c r="W451" s="1213"/>
      <c r="X451" s="1213"/>
      <c r="AE451" s="1213"/>
      <c r="AF451" s="1213"/>
      <c r="AV451" s="1213"/>
      <c r="AW451" s="1213"/>
      <c r="AX451" s="1213"/>
      <c r="AY451" s="1213"/>
      <c r="AZ451" s="1213"/>
      <c r="BA451" s="1213"/>
      <c r="BC451" s="1213"/>
      <c r="BE451" s="1213"/>
      <c r="BF451" s="1213"/>
      <c r="BG451" s="1213"/>
    </row>
    <row r="452" spans="18:59" x14ac:dyDescent="0.35">
      <c r="R452" s="1213"/>
      <c r="S452" s="1213"/>
      <c r="W452" s="1213"/>
      <c r="X452" s="1213"/>
      <c r="AE452" s="1213"/>
      <c r="AF452" s="1213"/>
      <c r="AV452" s="1213"/>
      <c r="AW452" s="1213"/>
      <c r="AX452" s="1213"/>
      <c r="AY452" s="1213"/>
      <c r="AZ452" s="1213"/>
      <c r="BA452" s="1213"/>
      <c r="BC452" s="1213"/>
      <c r="BE452" s="1213"/>
      <c r="BF452" s="1213"/>
      <c r="BG452" s="1213"/>
    </row>
    <row r="453" spans="18:59" x14ac:dyDescent="0.35">
      <c r="R453" s="1213"/>
      <c r="S453" s="1213"/>
      <c r="W453" s="1213"/>
      <c r="X453" s="1213"/>
      <c r="AE453" s="1213"/>
      <c r="AF453" s="1213"/>
      <c r="AV453" s="1213"/>
      <c r="AW453" s="1213"/>
      <c r="AX453" s="1213"/>
      <c r="AY453" s="1213"/>
      <c r="AZ453" s="1213"/>
      <c r="BA453" s="1213"/>
      <c r="BC453" s="1213"/>
      <c r="BE453" s="1213"/>
      <c r="BF453" s="1213"/>
      <c r="BG453" s="1213"/>
    </row>
    <row r="454" spans="18:59" x14ac:dyDescent="0.35">
      <c r="R454" s="1213"/>
      <c r="S454" s="1213"/>
      <c r="W454" s="1213"/>
      <c r="X454" s="1213"/>
      <c r="AE454" s="1213"/>
      <c r="AF454" s="1213"/>
      <c r="AV454" s="1213"/>
      <c r="AW454" s="1213"/>
      <c r="AX454" s="1213"/>
      <c r="AY454" s="1213"/>
      <c r="AZ454" s="1213"/>
      <c r="BA454" s="1213"/>
      <c r="BC454" s="1213"/>
      <c r="BE454" s="1213"/>
      <c r="BF454" s="1213"/>
      <c r="BG454" s="1213"/>
    </row>
    <row r="455" spans="18:59" x14ac:dyDescent="0.35">
      <c r="R455" s="1213"/>
      <c r="S455" s="1213"/>
      <c r="W455" s="1213"/>
      <c r="X455" s="1213"/>
      <c r="AE455" s="1213"/>
      <c r="AF455" s="1213"/>
      <c r="AV455" s="1213"/>
      <c r="AW455" s="1213"/>
      <c r="AX455" s="1213"/>
      <c r="AY455" s="1213"/>
      <c r="AZ455" s="1213"/>
      <c r="BA455" s="1213"/>
      <c r="BC455" s="1213"/>
      <c r="BE455" s="1213"/>
      <c r="BF455" s="1213"/>
      <c r="BG455" s="1213"/>
    </row>
    <row r="456" spans="18:59" x14ac:dyDescent="0.35">
      <c r="R456" s="1213"/>
      <c r="S456" s="1213"/>
      <c r="W456" s="1213"/>
      <c r="X456" s="1213"/>
      <c r="AE456" s="1213"/>
      <c r="AF456" s="1213"/>
      <c r="AV456" s="1213"/>
      <c r="AW456" s="1213"/>
      <c r="AX456" s="1213"/>
      <c r="AY456" s="1213"/>
      <c r="AZ456" s="1213"/>
      <c r="BA456" s="1213"/>
      <c r="BC456" s="1213"/>
      <c r="BE456" s="1213"/>
      <c r="BF456" s="1213"/>
      <c r="BG456" s="1213"/>
    </row>
    <row r="457" spans="18:59" x14ac:dyDescent="0.35">
      <c r="R457" s="1213"/>
      <c r="S457" s="1213"/>
      <c r="W457" s="1213"/>
      <c r="X457" s="1213"/>
      <c r="AE457" s="1213"/>
      <c r="AF457" s="1213"/>
      <c r="AV457" s="1213"/>
      <c r="AW457" s="1213"/>
      <c r="AX457" s="1213"/>
      <c r="AY457" s="1213"/>
      <c r="AZ457" s="1213"/>
      <c r="BA457" s="1213"/>
      <c r="BC457" s="1213"/>
      <c r="BE457" s="1213"/>
      <c r="BF457" s="1213"/>
      <c r="BG457" s="1213"/>
    </row>
    <row r="458" spans="18:59" x14ac:dyDescent="0.35">
      <c r="R458" s="1213"/>
      <c r="S458" s="1213"/>
      <c r="W458" s="1213"/>
      <c r="X458" s="1213"/>
      <c r="AE458" s="1213"/>
      <c r="AF458" s="1213"/>
      <c r="AV458" s="1213"/>
      <c r="AW458" s="1213"/>
      <c r="AX458" s="1213"/>
      <c r="AY458" s="1213"/>
      <c r="AZ458" s="1213"/>
      <c r="BA458" s="1213"/>
      <c r="BC458" s="1213"/>
      <c r="BE458" s="1213"/>
      <c r="BF458" s="1213"/>
      <c r="BG458" s="1213"/>
    </row>
    <row r="459" spans="18:59" x14ac:dyDescent="0.35">
      <c r="R459" s="1213"/>
      <c r="S459" s="1213"/>
      <c r="W459" s="1213"/>
      <c r="X459" s="1213"/>
      <c r="AE459" s="1213"/>
      <c r="AF459" s="1213"/>
      <c r="AV459" s="1213"/>
      <c r="AW459" s="1213"/>
      <c r="AX459" s="1213"/>
      <c r="AY459" s="1213"/>
      <c r="AZ459" s="1213"/>
      <c r="BA459" s="1213"/>
      <c r="BC459" s="1213"/>
      <c r="BE459" s="1213"/>
      <c r="BF459" s="1213"/>
      <c r="BG459" s="1213"/>
    </row>
    <row r="460" spans="18:59" x14ac:dyDescent="0.35">
      <c r="R460" s="1213"/>
      <c r="S460" s="1213"/>
      <c r="W460" s="1213"/>
      <c r="X460" s="1213"/>
      <c r="AE460" s="1213"/>
      <c r="AF460" s="1213"/>
      <c r="AV460" s="1213"/>
      <c r="AW460" s="1213"/>
      <c r="AX460" s="1213"/>
      <c r="AY460" s="1213"/>
      <c r="AZ460" s="1213"/>
      <c r="BA460" s="1213"/>
      <c r="BC460" s="1213"/>
      <c r="BE460" s="1213"/>
      <c r="BF460" s="1213"/>
      <c r="BG460" s="1213"/>
    </row>
    <row r="461" spans="18:59" x14ac:dyDescent="0.35">
      <c r="R461" s="1213"/>
      <c r="S461" s="1213"/>
      <c r="W461" s="1213"/>
      <c r="X461" s="1213"/>
      <c r="AE461" s="1213"/>
      <c r="AF461" s="1213"/>
      <c r="AV461" s="1213"/>
      <c r="AW461" s="1213"/>
      <c r="AX461" s="1213"/>
      <c r="AY461" s="1213"/>
      <c r="AZ461" s="1213"/>
      <c r="BA461" s="1213"/>
      <c r="BC461" s="1213"/>
      <c r="BE461" s="1213"/>
      <c r="BF461" s="1213"/>
      <c r="BG461" s="1213"/>
    </row>
    <row r="462" spans="18:59" x14ac:dyDescent="0.35">
      <c r="R462" s="1213"/>
      <c r="S462" s="1213"/>
      <c r="W462" s="1213"/>
      <c r="X462" s="1213"/>
      <c r="AE462" s="1213"/>
      <c r="AF462" s="1213"/>
      <c r="AV462" s="1213"/>
      <c r="AW462" s="1213"/>
      <c r="AX462" s="1213"/>
      <c r="AY462" s="1213"/>
      <c r="AZ462" s="1213"/>
      <c r="BA462" s="1213"/>
      <c r="BC462" s="1213"/>
      <c r="BE462" s="1213"/>
      <c r="BF462" s="1213"/>
      <c r="BG462" s="1213"/>
    </row>
    <row r="463" spans="18:59" x14ac:dyDescent="0.35">
      <c r="R463" s="1213"/>
      <c r="S463" s="1213"/>
      <c r="W463" s="1213"/>
      <c r="X463" s="1213"/>
      <c r="AE463" s="1213"/>
      <c r="AF463" s="1213"/>
      <c r="AV463" s="1213"/>
      <c r="AW463" s="1213"/>
      <c r="AX463" s="1213"/>
      <c r="AY463" s="1213"/>
      <c r="AZ463" s="1213"/>
      <c r="BA463" s="1213"/>
      <c r="BC463" s="1213"/>
      <c r="BE463" s="1213"/>
      <c r="BF463" s="1213"/>
      <c r="BG463" s="1213"/>
    </row>
    <row r="464" spans="18:59" x14ac:dyDescent="0.35">
      <c r="R464" s="1213"/>
      <c r="S464" s="1213"/>
      <c r="W464" s="1213"/>
      <c r="X464" s="1213"/>
      <c r="AE464" s="1213"/>
      <c r="AF464" s="1213"/>
      <c r="AV464" s="1213"/>
      <c r="AW464" s="1213"/>
      <c r="AX464" s="1213"/>
      <c r="AY464" s="1213"/>
      <c r="AZ464" s="1213"/>
      <c r="BA464" s="1213"/>
      <c r="BC464" s="1213"/>
      <c r="BE464" s="1213"/>
      <c r="BF464" s="1213"/>
      <c r="BG464" s="1213"/>
    </row>
    <row r="465" spans="18:59" x14ac:dyDescent="0.35">
      <c r="R465" s="1213"/>
      <c r="S465" s="1213"/>
      <c r="W465" s="1213"/>
      <c r="X465" s="1213"/>
      <c r="AE465" s="1213"/>
      <c r="AF465" s="1213"/>
      <c r="AV465" s="1213"/>
      <c r="AW465" s="1213"/>
      <c r="AX465" s="1213"/>
      <c r="AY465" s="1213"/>
      <c r="AZ465" s="1213"/>
      <c r="BA465" s="1213"/>
      <c r="BC465" s="1213"/>
      <c r="BE465" s="1213"/>
      <c r="BF465" s="1213"/>
      <c r="BG465" s="1213"/>
    </row>
    <row r="466" spans="18:59" x14ac:dyDescent="0.35">
      <c r="R466" s="1213"/>
      <c r="S466" s="1213"/>
      <c r="W466" s="1213"/>
      <c r="X466" s="1213"/>
      <c r="AE466" s="1213"/>
      <c r="AF466" s="1213"/>
      <c r="AV466" s="1213"/>
      <c r="AW466" s="1213"/>
      <c r="AX466" s="1213"/>
      <c r="AY466" s="1213"/>
      <c r="AZ466" s="1213"/>
      <c r="BA466" s="1213"/>
      <c r="BC466" s="1213"/>
      <c r="BE466" s="1213"/>
      <c r="BF466" s="1213"/>
      <c r="BG466" s="1213"/>
    </row>
    <row r="467" spans="18:59" x14ac:dyDescent="0.35">
      <c r="R467" s="1213"/>
      <c r="S467" s="1213"/>
      <c r="W467" s="1213"/>
      <c r="X467" s="1213"/>
      <c r="AE467" s="1213"/>
      <c r="AF467" s="1213"/>
      <c r="AV467" s="1213"/>
      <c r="AW467" s="1213"/>
      <c r="AX467" s="1213"/>
      <c r="AY467" s="1213"/>
      <c r="AZ467" s="1213"/>
      <c r="BA467" s="1213"/>
      <c r="BC467" s="1213"/>
      <c r="BE467" s="1213"/>
      <c r="BF467" s="1213"/>
      <c r="BG467" s="1213"/>
    </row>
    <row r="468" spans="18:59" x14ac:dyDescent="0.35">
      <c r="R468" s="1213"/>
      <c r="S468" s="1213"/>
      <c r="W468" s="1213"/>
      <c r="X468" s="1213"/>
      <c r="AE468" s="1213"/>
      <c r="AF468" s="1213"/>
      <c r="AV468" s="1213"/>
      <c r="AW468" s="1213"/>
      <c r="AX468" s="1213"/>
      <c r="AY468" s="1213"/>
      <c r="AZ468" s="1213"/>
      <c r="BA468" s="1213"/>
      <c r="BC468" s="1213"/>
      <c r="BE468" s="1213"/>
      <c r="BF468" s="1213"/>
      <c r="BG468" s="1213"/>
    </row>
    <row r="469" spans="18:59" x14ac:dyDescent="0.35">
      <c r="R469" s="1213"/>
      <c r="S469" s="1213"/>
      <c r="W469" s="1213"/>
      <c r="X469" s="1213"/>
      <c r="AE469" s="1213"/>
      <c r="AF469" s="1213"/>
      <c r="AV469" s="1213"/>
      <c r="AW469" s="1213"/>
      <c r="AX469" s="1213"/>
      <c r="AY469" s="1213"/>
      <c r="AZ469" s="1213"/>
      <c r="BA469" s="1213"/>
      <c r="BC469" s="1213"/>
      <c r="BE469" s="1213"/>
      <c r="BF469" s="1213"/>
      <c r="BG469" s="1213"/>
    </row>
    <row r="470" spans="18:59" x14ac:dyDescent="0.35">
      <c r="R470" s="1213"/>
      <c r="S470" s="1213"/>
      <c r="W470" s="1213"/>
      <c r="X470" s="1213"/>
      <c r="AE470" s="1213"/>
      <c r="AF470" s="1213"/>
      <c r="AV470" s="1213"/>
      <c r="AW470" s="1213"/>
      <c r="AX470" s="1213"/>
      <c r="AY470" s="1213"/>
      <c r="AZ470" s="1213"/>
      <c r="BA470" s="1213"/>
      <c r="BC470" s="1213"/>
      <c r="BE470" s="1213"/>
      <c r="BF470" s="1213"/>
      <c r="BG470" s="1213"/>
    </row>
    <row r="471" spans="18:59" x14ac:dyDescent="0.35">
      <c r="R471" s="1213"/>
      <c r="S471" s="1213"/>
      <c r="W471" s="1213"/>
      <c r="X471" s="1213"/>
      <c r="AE471" s="1213"/>
      <c r="AF471" s="1213"/>
      <c r="AV471" s="1213"/>
      <c r="AW471" s="1213"/>
      <c r="AX471" s="1213"/>
      <c r="AY471" s="1213"/>
      <c r="AZ471" s="1213"/>
      <c r="BA471" s="1213"/>
      <c r="BC471" s="1213"/>
      <c r="BE471" s="1213"/>
      <c r="BF471" s="1213"/>
      <c r="BG471" s="1213"/>
    </row>
    <row r="472" spans="18:59" x14ac:dyDescent="0.35">
      <c r="R472" s="1213"/>
      <c r="S472" s="1213"/>
      <c r="W472" s="1213"/>
      <c r="X472" s="1213"/>
      <c r="AE472" s="1213"/>
      <c r="AF472" s="1213"/>
      <c r="AV472" s="1213"/>
      <c r="AW472" s="1213"/>
      <c r="AX472" s="1213"/>
      <c r="AY472" s="1213"/>
      <c r="AZ472" s="1213"/>
      <c r="BA472" s="1213"/>
      <c r="BC472" s="1213"/>
      <c r="BE472" s="1213"/>
      <c r="BF472" s="1213"/>
      <c r="BG472" s="1213"/>
    </row>
    <row r="473" spans="18:59" x14ac:dyDescent="0.35">
      <c r="R473" s="1213"/>
      <c r="S473" s="1213"/>
      <c r="W473" s="1213"/>
      <c r="X473" s="1213"/>
      <c r="AE473" s="1213"/>
      <c r="AF473" s="1213"/>
      <c r="AV473" s="1213"/>
      <c r="AW473" s="1213"/>
      <c r="AX473" s="1213"/>
      <c r="AY473" s="1213"/>
      <c r="AZ473" s="1213"/>
      <c r="BA473" s="1213"/>
      <c r="BC473" s="1213"/>
      <c r="BE473" s="1213"/>
      <c r="BF473" s="1213"/>
      <c r="BG473" s="1213"/>
    </row>
    <row r="474" spans="18:59" x14ac:dyDescent="0.35">
      <c r="R474" s="1213"/>
      <c r="S474" s="1213"/>
      <c r="W474" s="1213"/>
      <c r="X474" s="1213"/>
      <c r="AE474" s="1213"/>
      <c r="AF474" s="1213"/>
      <c r="AV474" s="1213"/>
      <c r="AW474" s="1213"/>
      <c r="AX474" s="1213"/>
      <c r="AY474" s="1213"/>
      <c r="AZ474" s="1213"/>
      <c r="BA474" s="1213"/>
      <c r="BC474" s="1213"/>
      <c r="BE474" s="1213"/>
      <c r="BF474" s="1213"/>
      <c r="BG474" s="1213"/>
    </row>
    <row r="475" spans="18:59" x14ac:dyDescent="0.35">
      <c r="R475" s="1213"/>
      <c r="S475" s="1213"/>
      <c r="W475" s="1213"/>
      <c r="X475" s="1213"/>
      <c r="AE475" s="1213"/>
      <c r="AF475" s="1213"/>
      <c r="AV475" s="1213"/>
      <c r="AW475" s="1213"/>
      <c r="AX475" s="1213"/>
      <c r="AY475" s="1213"/>
      <c r="AZ475" s="1213"/>
      <c r="BA475" s="1213"/>
      <c r="BC475" s="1213"/>
      <c r="BE475" s="1213"/>
      <c r="BF475" s="1213"/>
      <c r="BG475" s="1213"/>
    </row>
    <row r="476" spans="18:59" x14ac:dyDescent="0.35">
      <c r="R476" s="1213"/>
      <c r="S476" s="1213"/>
      <c r="W476" s="1213"/>
      <c r="X476" s="1213"/>
      <c r="AE476" s="1213"/>
      <c r="AF476" s="1213"/>
      <c r="AV476" s="1213"/>
      <c r="AW476" s="1213"/>
      <c r="AX476" s="1213"/>
      <c r="AY476" s="1213"/>
      <c r="AZ476" s="1213"/>
      <c r="BA476" s="1213"/>
      <c r="BC476" s="1213"/>
      <c r="BE476" s="1213"/>
      <c r="BF476" s="1213"/>
      <c r="BG476" s="1213"/>
    </row>
    <row r="477" spans="18:59" x14ac:dyDescent="0.35">
      <c r="R477" s="1213"/>
      <c r="S477" s="1213"/>
      <c r="W477" s="1213"/>
      <c r="X477" s="1213"/>
      <c r="AE477" s="1213"/>
      <c r="AF477" s="1213"/>
      <c r="AV477" s="1213"/>
      <c r="AW477" s="1213"/>
      <c r="AX477" s="1213"/>
      <c r="AY477" s="1213"/>
      <c r="AZ477" s="1213"/>
      <c r="BA477" s="1213"/>
      <c r="BC477" s="1213"/>
      <c r="BE477" s="1213"/>
      <c r="BF477" s="1213"/>
      <c r="BG477" s="1213"/>
    </row>
    <row r="478" spans="18:59" x14ac:dyDescent="0.35">
      <c r="R478" s="1213"/>
      <c r="S478" s="1213"/>
      <c r="W478" s="1213"/>
      <c r="X478" s="1213"/>
      <c r="AE478" s="1213"/>
      <c r="AF478" s="1213"/>
      <c r="AV478" s="1213"/>
      <c r="AW478" s="1213"/>
      <c r="AX478" s="1213"/>
      <c r="AY478" s="1213"/>
      <c r="AZ478" s="1213"/>
      <c r="BA478" s="1213"/>
      <c r="BC478" s="1213"/>
      <c r="BE478" s="1213"/>
      <c r="BF478" s="1213"/>
      <c r="BG478" s="1213"/>
    </row>
    <row r="479" spans="18:59" x14ac:dyDescent="0.35">
      <c r="R479" s="1213"/>
      <c r="S479" s="1213"/>
      <c r="W479" s="1213"/>
      <c r="X479" s="1213"/>
      <c r="AE479" s="1213"/>
      <c r="AF479" s="1213"/>
      <c r="AV479" s="1213"/>
      <c r="AW479" s="1213"/>
      <c r="AX479" s="1213"/>
      <c r="AY479" s="1213"/>
      <c r="AZ479" s="1213"/>
      <c r="BA479" s="1213"/>
      <c r="BC479" s="1213"/>
      <c r="BE479" s="1213"/>
      <c r="BF479" s="1213"/>
      <c r="BG479" s="1213"/>
    </row>
    <row r="480" spans="18:59" x14ac:dyDescent="0.35">
      <c r="R480" s="1213"/>
      <c r="S480" s="1213"/>
      <c r="W480" s="1213"/>
      <c r="X480" s="1213"/>
      <c r="AE480" s="1213"/>
      <c r="AF480" s="1213"/>
      <c r="AV480" s="1213"/>
      <c r="AW480" s="1213"/>
      <c r="AX480" s="1213"/>
      <c r="AY480" s="1213"/>
      <c r="AZ480" s="1213"/>
      <c r="BA480" s="1213"/>
      <c r="BC480" s="1213"/>
      <c r="BE480" s="1213"/>
      <c r="BF480" s="1213"/>
      <c r="BG480" s="1213"/>
    </row>
    <row r="481" spans="18:59" x14ac:dyDescent="0.35">
      <c r="R481" s="1213"/>
      <c r="S481" s="1213"/>
      <c r="W481" s="1213"/>
      <c r="X481" s="1213"/>
      <c r="AE481" s="1213"/>
      <c r="AF481" s="1213"/>
      <c r="AV481" s="1213"/>
      <c r="AW481" s="1213"/>
      <c r="AX481" s="1213"/>
      <c r="AY481" s="1213"/>
      <c r="AZ481" s="1213"/>
      <c r="BA481" s="1213"/>
      <c r="BC481" s="1213"/>
      <c r="BE481" s="1213"/>
      <c r="BF481" s="1213"/>
      <c r="BG481" s="1213"/>
    </row>
    <row r="482" spans="18:59" x14ac:dyDescent="0.35">
      <c r="R482" s="1213"/>
      <c r="S482" s="1213"/>
      <c r="W482" s="1213"/>
      <c r="X482" s="1213"/>
      <c r="AE482" s="1213"/>
      <c r="AF482" s="1213"/>
      <c r="AV482" s="1213"/>
      <c r="AW482" s="1213"/>
      <c r="AX482" s="1213"/>
      <c r="AY482" s="1213"/>
      <c r="AZ482" s="1213"/>
      <c r="BA482" s="1213"/>
      <c r="BC482" s="1213"/>
      <c r="BE482" s="1213"/>
      <c r="BF482" s="1213"/>
      <c r="BG482" s="1213"/>
    </row>
    <row r="483" spans="18:59" x14ac:dyDescent="0.35">
      <c r="R483" s="1213"/>
      <c r="S483" s="1213"/>
      <c r="W483" s="1213"/>
      <c r="X483" s="1213"/>
      <c r="AE483" s="1213"/>
      <c r="AF483" s="1213"/>
      <c r="AV483" s="1213"/>
      <c r="AW483" s="1213"/>
      <c r="AX483" s="1213"/>
      <c r="AY483" s="1213"/>
      <c r="AZ483" s="1213"/>
      <c r="BA483" s="1213"/>
      <c r="BC483" s="1213"/>
      <c r="BE483" s="1213"/>
      <c r="BF483" s="1213"/>
      <c r="BG483" s="1213"/>
    </row>
    <row r="484" spans="18:59" x14ac:dyDescent="0.35">
      <c r="R484" s="1213"/>
      <c r="S484" s="1213"/>
      <c r="W484" s="1213"/>
      <c r="X484" s="1213"/>
      <c r="AE484" s="1213"/>
      <c r="AF484" s="1213"/>
      <c r="AV484" s="1213"/>
      <c r="AW484" s="1213"/>
      <c r="AX484" s="1213"/>
      <c r="AY484" s="1213"/>
      <c r="AZ484" s="1213"/>
      <c r="BA484" s="1213"/>
      <c r="BC484" s="1213"/>
      <c r="BE484" s="1213"/>
      <c r="BF484" s="1213"/>
      <c r="BG484" s="1213"/>
    </row>
    <row r="485" spans="18:59" x14ac:dyDescent="0.35">
      <c r="R485" s="1213"/>
      <c r="S485" s="1213"/>
      <c r="W485" s="1213"/>
      <c r="X485" s="1213"/>
      <c r="AE485" s="1213"/>
      <c r="AF485" s="1213"/>
      <c r="AV485" s="1213"/>
      <c r="AW485" s="1213"/>
      <c r="AX485" s="1213"/>
      <c r="AY485" s="1213"/>
      <c r="AZ485" s="1213"/>
      <c r="BA485" s="1213"/>
      <c r="BC485" s="1213"/>
      <c r="BE485" s="1213"/>
      <c r="BF485" s="1213"/>
      <c r="BG485" s="1213"/>
    </row>
    <row r="486" spans="18:59" x14ac:dyDescent="0.35">
      <c r="R486" s="1213"/>
      <c r="S486" s="1213"/>
      <c r="W486" s="1213"/>
      <c r="X486" s="1213"/>
      <c r="AE486" s="1213"/>
      <c r="AF486" s="1213"/>
      <c r="AV486" s="1213"/>
      <c r="AW486" s="1213"/>
      <c r="AX486" s="1213"/>
      <c r="AY486" s="1213"/>
      <c r="AZ486" s="1213"/>
      <c r="BA486" s="1213"/>
      <c r="BC486" s="1213"/>
      <c r="BE486" s="1213"/>
      <c r="BF486" s="1213"/>
      <c r="BG486" s="1213"/>
    </row>
    <row r="487" spans="18:59" x14ac:dyDescent="0.35">
      <c r="R487" s="1213"/>
      <c r="S487" s="1213"/>
      <c r="W487" s="1213"/>
      <c r="X487" s="1213"/>
      <c r="AE487" s="1213"/>
      <c r="AF487" s="1213"/>
      <c r="AV487" s="1213"/>
      <c r="AW487" s="1213"/>
      <c r="AX487" s="1213"/>
      <c r="AY487" s="1213"/>
      <c r="AZ487" s="1213"/>
      <c r="BA487" s="1213"/>
      <c r="BC487" s="1213"/>
      <c r="BE487" s="1213"/>
      <c r="BF487" s="1213"/>
      <c r="BG487" s="1213"/>
    </row>
    <row r="488" spans="18:59" x14ac:dyDescent="0.35">
      <c r="R488" s="1213"/>
      <c r="S488" s="1213"/>
      <c r="W488" s="1213"/>
      <c r="X488" s="1213"/>
      <c r="AE488" s="1213"/>
      <c r="AF488" s="1213"/>
      <c r="AV488" s="1213"/>
      <c r="AW488" s="1213"/>
      <c r="AX488" s="1213"/>
      <c r="AY488" s="1213"/>
      <c r="AZ488" s="1213"/>
      <c r="BA488" s="1213"/>
      <c r="BC488" s="1213"/>
      <c r="BE488" s="1213"/>
      <c r="BF488" s="1213"/>
      <c r="BG488" s="1213"/>
    </row>
    <row r="489" spans="18:59" x14ac:dyDescent="0.35">
      <c r="R489" s="1213"/>
      <c r="S489" s="1213"/>
      <c r="W489" s="1213"/>
      <c r="X489" s="1213"/>
      <c r="AE489" s="1213"/>
      <c r="AF489" s="1213"/>
      <c r="AV489" s="1213"/>
      <c r="AW489" s="1213"/>
      <c r="AX489" s="1213"/>
      <c r="AY489" s="1213"/>
      <c r="AZ489" s="1213"/>
      <c r="BA489" s="1213"/>
      <c r="BC489" s="1213"/>
      <c r="BE489" s="1213"/>
      <c r="BF489" s="1213"/>
      <c r="BG489" s="1213"/>
    </row>
    <row r="490" spans="18:59" x14ac:dyDescent="0.35">
      <c r="R490" s="1213"/>
      <c r="S490" s="1213"/>
      <c r="W490" s="1213"/>
      <c r="X490" s="1213"/>
      <c r="AE490" s="1213"/>
      <c r="AF490" s="1213"/>
      <c r="AV490" s="1213"/>
      <c r="AW490" s="1213"/>
      <c r="AX490" s="1213"/>
      <c r="AY490" s="1213"/>
      <c r="AZ490" s="1213"/>
      <c r="BA490" s="1213"/>
      <c r="BC490" s="1213"/>
      <c r="BE490" s="1213"/>
      <c r="BF490" s="1213"/>
      <c r="BG490" s="1213"/>
    </row>
    <row r="491" spans="18:59" x14ac:dyDescent="0.35">
      <c r="R491" s="1213"/>
      <c r="S491" s="1213"/>
      <c r="W491" s="1213"/>
      <c r="X491" s="1213"/>
      <c r="AE491" s="1213"/>
      <c r="AF491" s="1213"/>
      <c r="AV491" s="1213"/>
      <c r="AW491" s="1213"/>
      <c r="AX491" s="1213"/>
      <c r="AY491" s="1213"/>
      <c r="AZ491" s="1213"/>
      <c r="BA491" s="1213"/>
      <c r="BC491" s="1213"/>
      <c r="BE491" s="1213"/>
      <c r="BF491" s="1213"/>
      <c r="BG491" s="1213"/>
    </row>
    <row r="492" spans="18:59" x14ac:dyDescent="0.35">
      <c r="R492" s="1213"/>
      <c r="S492" s="1213"/>
      <c r="W492" s="1213"/>
      <c r="X492" s="1213"/>
      <c r="AE492" s="1213"/>
      <c r="AF492" s="1213"/>
      <c r="AV492" s="1213"/>
      <c r="AW492" s="1213"/>
      <c r="AX492" s="1213"/>
      <c r="AY492" s="1213"/>
      <c r="AZ492" s="1213"/>
      <c r="BA492" s="1213"/>
      <c r="BC492" s="1213"/>
      <c r="BE492" s="1213"/>
      <c r="BF492" s="1213"/>
      <c r="BG492" s="1213"/>
    </row>
    <row r="493" spans="18:59" x14ac:dyDescent="0.35">
      <c r="R493" s="1213"/>
      <c r="S493" s="1213"/>
      <c r="W493" s="1213"/>
      <c r="X493" s="1213"/>
      <c r="AE493" s="1213"/>
      <c r="AF493" s="1213"/>
      <c r="AV493" s="1213"/>
      <c r="AW493" s="1213"/>
      <c r="AX493" s="1213"/>
      <c r="AY493" s="1213"/>
      <c r="AZ493" s="1213"/>
      <c r="BA493" s="1213"/>
      <c r="BC493" s="1213"/>
      <c r="BE493" s="1213"/>
      <c r="BF493" s="1213"/>
      <c r="BG493" s="1213"/>
    </row>
    <row r="494" spans="18:59" x14ac:dyDescent="0.35">
      <c r="R494" s="1213"/>
      <c r="S494" s="1213"/>
      <c r="W494" s="1213"/>
      <c r="X494" s="1213"/>
      <c r="AE494" s="1213"/>
      <c r="AF494" s="1213"/>
      <c r="AV494" s="1213"/>
      <c r="AW494" s="1213"/>
      <c r="AX494" s="1213"/>
      <c r="AY494" s="1213"/>
      <c r="AZ494" s="1213"/>
      <c r="BA494" s="1213"/>
      <c r="BC494" s="1213"/>
      <c r="BE494" s="1213"/>
      <c r="BF494" s="1213"/>
      <c r="BG494" s="1213"/>
    </row>
    <row r="495" spans="18:59" x14ac:dyDescent="0.35">
      <c r="R495" s="1213"/>
      <c r="S495" s="1213"/>
      <c r="W495" s="1213"/>
      <c r="X495" s="1213"/>
      <c r="AE495" s="1213"/>
      <c r="AF495" s="1213"/>
      <c r="AV495" s="1213"/>
      <c r="AW495" s="1213"/>
      <c r="AX495" s="1213"/>
      <c r="AY495" s="1213"/>
      <c r="AZ495" s="1213"/>
      <c r="BA495" s="1213"/>
      <c r="BC495" s="1213"/>
      <c r="BE495" s="1213"/>
      <c r="BF495" s="1213"/>
      <c r="BG495" s="1213"/>
    </row>
    <row r="496" spans="18:59" x14ac:dyDescent="0.35">
      <c r="R496" s="1213"/>
      <c r="S496" s="1213"/>
      <c r="W496" s="1213"/>
      <c r="X496" s="1213"/>
      <c r="AE496" s="1213"/>
      <c r="AF496" s="1213"/>
      <c r="AV496" s="1213"/>
      <c r="AW496" s="1213"/>
      <c r="AX496" s="1213"/>
      <c r="AY496" s="1213"/>
      <c r="AZ496" s="1213"/>
      <c r="BA496" s="1213"/>
      <c r="BC496" s="1213"/>
      <c r="BE496" s="1213"/>
      <c r="BF496" s="1213"/>
      <c r="BG496" s="1213"/>
    </row>
    <row r="497" spans="18:59" x14ac:dyDescent="0.35">
      <c r="R497" s="1213"/>
      <c r="S497" s="1213"/>
      <c r="W497" s="1213"/>
      <c r="X497" s="1213"/>
      <c r="AE497" s="1213"/>
      <c r="AF497" s="1213"/>
      <c r="AV497" s="1213"/>
      <c r="AW497" s="1213"/>
      <c r="AX497" s="1213"/>
      <c r="AY497" s="1213"/>
      <c r="AZ497" s="1213"/>
      <c r="BA497" s="1213"/>
      <c r="BC497" s="1213"/>
      <c r="BE497" s="1213"/>
      <c r="BF497" s="1213"/>
      <c r="BG497" s="1213"/>
    </row>
    <row r="498" spans="18:59" x14ac:dyDescent="0.35">
      <c r="R498" s="1213"/>
      <c r="S498" s="1213"/>
      <c r="W498" s="1213"/>
      <c r="X498" s="1213"/>
      <c r="AE498" s="1213"/>
      <c r="AF498" s="1213"/>
      <c r="AV498" s="1213"/>
      <c r="AW498" s="1213"/>
      <c r="AX498" s="1213"/>
      <c r="AY498" s="1213"/>
      <c r="AZ498" s="1213"/>
      <c r="BA498" s="1213"/>
      <c r="BC498" s="1213"/>
      <c r="BE498" s="1213"/>
      <c r="BF498" s="1213"/>
      <c r="BG498" s="1213"/>
    </row>
    <row r="499" spans="18:59" x14ac:dyDescent="0.35">
      <c r="R499" s="1213"/>
      <c r="S499" s="1213"/>
      <c r="W499" s="1213"/>
      <c r="X499" s="1213"/>
      <c r="AE499" s="1213"/>
      <c r="AF499" s="1213"/>
      <c r="AV499" s="1213"/>
      <c r="AW499" s="1213"/>
      <c r="AX499" s="1213"/>
      <c r="AY499" s="1213"/>
      <c r="AZ499" s="1213"/>
      <c r="BA499" s="1213"/>
      <c r="BC499" s="1213"/>
      <c r="BE499" s="1213"/>
      <c r="BF499" s="1213"/>
      <c r="BG499" s="1213"/>
    </row>
    <row r="500" spans="18:59" x14ac:dyDescent="0.35">
      <c r="R500" s="1213"/>
      <c r="S500" s="1213"/>
      <c r="W500" s="1213"/>
      <c r="X500" s="1213"/>
      <c r="AE500" s="1213"/>
      <c r="AF500" s="1213"/>
      <c r="AV500" s="1213"/>
      <c r="AW500" s="1213"/>
      <c r="AX500" s="1213"/>
      <c r="AY500" s="1213"/>
      <c r="AZ500" s="1213"/>
      <c r="BA500" s="1213"/>
      <c r="BC500" s="1213"/>
      <c r="BE500" s="1213"/>
      <c r="BF500" s="1213"/>
      <c r="BG500" s="1213"/>
    </row>
    <row r="501" spans="18:59" x14ac:dyDescent="0.35">
      <c r="R501" s="1213"/>
      <c r="S501" s="1213"/>
      <c r="W501" s="1213"/>
      <c r="X501" s="1213"/>
      <c r="AE501" s="1213"/>
      <c r="AF501" s="1213"/>
      <c r="AV501" s="1213"/>
      <c r="AW501" s="1213"/>
      <c r="AX501" s="1213"/>
      <c r="AY501" s="1213"/>
      <c r="AZ501" s="1213"/>
      <c r="BA501" s="1213"/>
      <c r="BC501" s="1213"/>
      <c r="BE501" s="1213"/>
      <c r="BF501" s="1213"/>
      <c r="BG501" s="1213"/>
    </row>
    <row r="502" spans="18:59" x14ac:dyDescent="0.35">
      <c r="R502" s="1213"/>
      <c r="S502" s="1213"/>
      <c r="W502" s="1213"/>
      <c r="X502" s="1213"/>
      <c r="AE502" s="1213"/>
      <c r="AF502" s="1213"/>
      <c r="AV502" s="1213"/>
      <c r="AW502" s="1213"/>
      <c r="AX502" s="1213"/>
      <c r="AY502" s="1213"/>
      <c r="AZ502" s="1213"/>
      <c r="BA502" s="1213"/>
      <c r="BC502" s="1213"/>
      <c r="BE502" s="1213"/>
      <c r="BF502" s="1213"/>
      <c r="BG502" s="121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V2" sqref="V2"/>
    </sheetView>
  </sheetViews>
  <sheetFormatPr defaultColWidth="10.90625" defaultRowHeight="14.5" x14ac:dyDescent="0.35"/>
  <cols>
    <col min="1" max="1" width="23.1796875" customWidth="1"/>
  </cols>
  <sheetData>
    <row r="1" spans="1:22" x14ac:dyDescent="0.35">
      <c r="A1" s="1217" t="s">
        <v>726</v>
      </c>
      <c r="B1" s="1217"/>
      <c r="C1" s="1217"/>
      <c r="D1" s="1217"/>
    </row>
    <row r="2" spans="1:22" x14ac:dyDescent="0.35">
      <c r="A2" t="s">
        <v>727</v>
      </c>
      <c r="B2" s="636">
        <v>2021</v>
      </c>
      <c r="C2" s="636">
        <v>2021</v>
      </c>
      <c r="D2" s="636">
        <v>2021</v>
      </c>
      <c r="E2" s="636">
        <v>2022</v>
      </c>
      <c r="F2" s="636">
        <v>2022</v>
      </c>
      <c r="G2" s="636">
        <v>2022</v>
      </c>
      <c r="H2" s="636">
        <v>2022</v>
      </c>
      <c r="I2" s="636">
        <v>2023</v>
      </c>
      <c r="J2" s="636">
        <v>2023</v>
      </c>
      <c r="K2" s="636">
        <v>2023</v>
      </c>
      <c r="L2" s="636">
        <v>2023</v>
      </c>
      <c r="M2" s="636">
        <v>2024</v>
      </c>
      <c r="N2" s="636">
        <v>2024</v>
      </c>
      <c r="O2" s="636">
        <v>2024</v>
      </c>
      <c r="P2" s="636">
        <v>2024</v>
      </c>
      <c r="Q2" s="636">
        <v>2025</v>
      </c>
      <c r="R2" s="636">
        <v>2025</v>
      </c>
      <c r="S2" s="636">
        <v>2025</v>
      </c>
      <c r="T2" s="636">
        <v>2025</v>
      </c>
      <c r="U2" s="636">
        <v>2026</v>
      </c>
    </row>
    <row r="3" spans="1:22" x14ac:dyDescent="0.35">
      <c r="A3" s="928" t="s">
        <v>728</v>
      </c>
      <c r="B3" s="1218" t="s">
        <v>729</v>
      </c>
      <c r="C3" s="1218" t="s">
        <v>730</v>
      </c>
      <c r="D3" s="1218" t="s">
        <v>731</v>
      </c>
      <c r="E3" s="1218" t="s">
        <v>732</v>
      </c>
      <c r="F3" s="1218" t="s">
        <v>733</v>
      </c>
      <c r="G3" s="1218" t="s">
        <v>734</v>
      </c>
      <c r="H3" s="1218" t="s">
        <v>735</v>
      </c>
      <c r="I3" s="1218" t="s">
        <v>736</v>
      </c>
      <c r="J3" s="1218" t="s">
        <v>737</v>
      </c>
      <c r="K3" s="1218" t="s">
        <v>738</v>
      </c>
      <c r="L3" s="1218" t="s">
        <v>739</v>
      </c>
      <c r="M3" s="1218" t="s">
        <v>740</v>
      </c>
      <c r="N3" s="1218" t="s">
        <v>741</v>
      </c>
      <c r="O3" s="1218" t="s">
        <v>742</v>
      </c>
      <c r="P3" s="1218" t="s">
        <v>743</v>
      </c>
      <c r="Q3" s="1218" t="s">
        <v>744</v>
      </c>
      <c r="R3" s="1218" t="s">
        <v>745</v>
      </c>
      <c r="S3" s="1218" t="s">
        <v>746</v>
      </c>
      <c r="T3" s="1218" t="s">
        <v>747</v>
      </c>
      <c r="U3" s="1218" t="s">
        <v>748</v>
      </c>
    </row>
    <row r="4" spans="1:22" x14ac:dyDescent="0.35">
      <c r="A4" s="928" t="s">
        <v>749</v>
      </c>
      <c r="B4" s="1218"/>
      <c r="C4" s="1218"/>
      <c r="D4" s="1218">
        <v>0</v>
      </c>
      <c r="E4" s="1218">
        <v>0</v>
      </c>
      <c r="F4" s="1218">
        <v>0.5</v>
      </c>
      <c r="G4" s="1218">
        <v>0.5</v>
      </c>
      <c r="H4" s="1218">
        <v>0</v>
      </c>
      <c r="I4" s="1218">
        <v>0</v>
      </c>
      <c r="J4" s="1218">
        <v>0</v>
      </c>
      <c r="K4" s="1218">
        <v>0</v>
      </c>
      <c r="L4" s="1218">
        <v>0</v>
      </c>
      <c r="M4" s="1218">
        <v>0</v>
      </c>
      <c r="N4" s="1218">
        <v>0</v>
      </c>
      <c r="O4" s="1218">
        <v>0</v>
      </c>
      <c r="P4" s="1218">
        <v>0</v>
      </c>
      <c r="Q4" s="1218">
        <v>0</v>
      </c>
      <c r="R4" s="1218">
        <v>0</v>
      </c>
      <c r="S4" s="1218">
        <v>0</v>
      </c>
      <c r="T4" s="1218">
        <v>0</v>
      </c>
      <c r="U4" s="1218">
        <v>0</v>
      </c>
    </row>
    <row r="5" spans="1:22" x14ac:dyDescent="0.35">
      <c r="A5" s="928" t="s">
        <v>750</v>
      </c>
      <c r="B5" s="1218">
        <v>0.04</v>
      </c>
      <c r="C5" s="1218">
        <v>0.48</v>
      </c>
      <c r="D5" s="1218">
        <v>0.48</v>
      </c>
      <c r="E5" s="1218">
        <v>0</v>
      </c>
      <c r="F5" s="1218">
        <v>0</v>
      </c>
      <c r="G5" s="1218">
        <v>0</v>
      </c>
      <c r="H5" s="1218">
        <v>0</v>
      </c>
      <c r="I5" s="1218">
        <v>0</v>
      </c>
      <c r="J5" s="1218">
        <v>0</v>
      </c>
      <c r="K5" s="1218">
        <v>0</v>
      </c>
      <c r="L5" s="1218">
        <v>0</v>
      </c>
      <c r="M5" s="1218">
        <v>0</v>
      </c>
      <c r="N5" s="1218">
        <v>0</v>
      </c>
      <c r="O5" s="1218">
        <v>0</v>
      </c>
      <c r="P5" s="1218">
        <v>0</v>
      </c>
      <c r="Q5" s="1218">
        <v>0</v>
      </c>
      <c r="R5" s="1218">
        <v>0</v>
      </c>
      <c r="S5" s="1218">
        <v>0</v>
      </c>
      <c r="T5" s="1218">
        <v>0</v>
      </c>
      <c r="U5" s="1218">
        <v>0</v>
      </c>
    </row>
    <row r="6" spans="1:22" x14ac:dyDescent="0.35">
      <c r="A6" s="928" t="s">
        <v>751</v>
      </c>
      <c r="B6" s="1218">
        <f>B8</f>
        <v>0</v>
      </c>
      <c r="C6" s="1218">
        <f>C8</f>
        <v>0.43</v>
      </c>
      <c r="D6" s="1218">
        <f t="shared" ref="D6:U6" si="0">D8</f>
        <v>0.56999999999999995</v>
      </c>
      <c r="E6" s="1218">
        <f t="shared" si="0"/>
        <v>0.25</v>
      </c>
      <c r="F6" s="1218">
        <f t="shared" si="0"/>
        <v>0.25</v>
      </c>
      <c r="G6" s="1218">
        <f t="shared" si="0"/>
        <v>0.25</v>
      </c>
      <c r="H6" s="1218">
        <f t="shared" si="0"/>
        <v>0.25</v>
      </c>
      <c r="I6" s="1218">
        <f t="shared" si="0"/>
        <v>0.25</v>
      </c>
      <c r="J6" s="1218">
        <f t="shared" si="0"/>
        <v>0.25</v>
      </c>
      <c r="K6" s="1218">
        <f t="shared" si="0"/>
        <v>0.25</v>
      </c>
      <c r="L6" s="1218">
        <f t="shared" si="0"/>
        <v>0.25</v>
      </c>
      <c r="M6" s="1218">
        <f t="shared" si="0"/>
        <v>0.25</v>
      </c>
      <c r="N6" s="1218">
        <f t="shared" si="0"/>
        <v>0.25</v>
      </c>
      <c r="O6" s="1218">
        <f t="shared" si="0"/>
        <v>0.25</v>
      </c>
      <c r="P6" s="1218">
        <f t="shared" si="0"/>
        <v>0.25</v>
      </c>
      <c r="Q6" s="1218">
        <f t="shared" si="0"/>
        <v>0.25</v>
      </c>
      <c r="R6" s="1218">
        <f t="shared" si="0"/>
        <v>0.25</v>
      </c>
      <c r="S6" s="1218">
        <f t="shared" si="0"/>
        <v>0.25</v>
      </c>
      <c r="T6" s="1218">
        <f t="shared" si="0"/>
        <v>0.25</v>
      </c>
      <c r="U6" s="1218">
        <f t="shared" si="0"/>
        <v>0.25</v>
      </c>
    </row>
    <row r="7" spans="1:22" x14ac:dyDescent="0.35">
      <c r="A7" s="928" t="s">
        <v>752</v>
      </c>
      <c r="B7" s="1218">
        <v>0</v>
      </c>
      <c r="C7" s="1218">
        <v>0</v>
      </c>
      <c r="D7" s="1218">
        <v>1</v>
      </c>
      <c r="E7" s="1218">
        <v>0.25</v>
      </c>
      <c r="F7" s="1218">
        <v>0.25</v>
      </c>
      <c r="G7" s="1218">
        <v>0.25</v>
      </c>
      <c r="H7" s="1218">
        <v>0.25</v>
      </c>
      <c r="I7" s="1218">
        <v>0.25</v>
      </c>
      <c r="J7" s="1218">
        <v>0.25</v>
      </c>
      <c r="K7" s="1218">
        <v>0.25</v>
      </c>
      <c r="L7" s="1218">
        <v>0.25</v>
      </c>
      <c r="M7" s="1218">
        <v>0.25</v>
      </c>
      <c r="N7" s="1218">
        <v>0.25</v>
      </c>
      <c r="O7" s="1218">
        <v>0.25</v>
      </c>
      <c r="P7" s="1218">
        <v>0.25</v>
      </c>
      <c r="Q7" s="1218">
        <v>0.25</v>
      </c>
      <c r="R7" s="1218">
        <v>0.25</v>
      </c>
      <c r="S7" s="1218">
        <v>0.25</v>
      </c>
      <c r="T7" s="1218">
        <v>0.25</v>
      </c>
      <c r="U7" s="1218">
        <v>0.25</v>
      </c>
    </row>
    <row r="8" spans="1:22" x14ac:dyDescent="0.35">
      <c r="A8" s="928" t="s">
        <v>753</v>
      </c>
      <c r="B8" s="1218">
        <v>0</v>
      </c>
      <c r="C8" s="1218">
        <v>0.43</v>
      </c>
      <c r="D8" s="1218">
        <v>0.56999999999999995</v>
      </c>
      <c r="E8" s="1218">
        <v>0.25</v>
      </c>
      <c r="F8" s="1218">
        <v>0.25</v>
      </c>
      <c r="G8" s="1218">
        <v>0.25</v>
      </c>
      <c r="H8" s="1218">
        <v>0.25</v>
      </c>
      <c r="I8" s="1218">
        <v>0.25</v>
      </c>
      <c r="J8" s="1218">
        <v>0.25</v>
      </c>
      <c r="K8" s="1218">
        <v>0.25</v>
      </c>
      <c r="L8" s="1218">
        <v>0.25</v>
      </c>
      <c r="M8" s="1218">
        <v>0.25</v>
      </c>
      <c r="N8" s="1218">
        <v>0.25</v>
      </c>
      <c r="O8" s="1218">
        <v>0.25</v>
      </c>
      <c r="P8" s="1218">
        <v>0.25</v>
      </c>
      <c r="Q8" s="1218">
        <v>0.25</v>
      </c>
      <c r="R8" s="1218">
        <v>0.25</v>
      </c>
      <c r="S8" s="1218">
        <v>0.25</v>
      </c>
      <c r="T8" s="1218">
        <v>0.25</v>
      </c>
      <c r="U8" s="1218">
        <v>0.25</v>
      </c>
    </row>
    <row r="9" spans="1:22" ht="27" customHeight="1" x14ac:dyDescent="0.35">
      <c r="A9" s="928" t="s">
        <v>754</v>
      </c>
      <c r="B9" s="1218">
        <v>0</v>
      </c>
      <c r="C9" s="1218">
        <f>0.18</f>
        <v>0.18</v>
      </c>
      <c r="D9" s="1218">
        <f>1-C9</f>
        <v>0.82000000000000006</v>
      </c>
      <c r="E9" s="1218">
        <v>0.25</v>
      </c>
      <c r="F9" s="1218">
        <v>0.25</v>
      </c>
      <c r="G9" s="1218">
        <v>0.25</v>
      </c>
      <c r="H9" s="1218">
        <v>0.25</v>
      </c>
      <c r="I9" s="1218">
        <v>0.25</v>
      </c>
      <c r="J9" s="1218">
        <v>0.25</v>
      </c>
      <c r="K9" s="1218">
        <v>0.25</v>
      </c>
      <c r="L9" s="1218">
        <v>0.25</v>
      </c>
      <c r="M9" s="1218">
        <v>0.25</v>
      </c>
      <c r="N9" s="1218">
        <v>0.25</v>
      </c>
      <c r="O9" s="1218">
        <v>0.25</v>
      </c>
      <c r="P9" s="1218">
        <v>0.25</v>
      </c>
      <c r="Q9" s="1218">
        <v>0.25</v>
      </c>
      <c r="R9" s="1218">
        <v>0.25</v>
      </c>
      <c r="S9" s="1218">
        <v>0.25</v>
      </c>
      <c r="T9" s="1218">
        <v>0.25</v>
      </c>
      <c r="U9" s="1218">
        <v>0.25</v>
      </c>
    </row>
    <row r="10" spans="1:22" x14ac:dyDescent="0.35">
      <c r="A10" s="928" t="s">
        <v>755</v>
      </c>
      <c r="B10" s="1218">
        <v>0</v>
      </c>
      <c r="C10" s="1218">
        <v>0.5</v>
      </c>
      <c r="D10" s="1218">
        <v>0.5</v>
      </c>
      <c r="E10" s="1218">
        <v>0.25</v>
      </c>
      <c r="F10" s="1218">
        <v>0.25</v>
      </c>
      <c r="G10" s="1218">
        <v>0.25</v>
      </c>
      <c r="H10" s="1218">
        <v>0.25</v>
      </c>
      <c r="I10" s="1218">
        <v>0.25</v>
      </c>
      <c r="J10" s="1218">
        <v>0.25</v>
      </c>
      <c r="K10" s="1218">
        <v>0.25</v>
      </c>
      <c r="L10" s="1218">
        <v>0.25</v>
      </c>
      <c r="M10" s="1218">
        <v>0.25</v>
      </c>
      <c r="N10" s="1218">
        <v>0.25</v>
      </c>
      <c r="O10" s="1218">
        <v>0.25</v>
      </c>
      <c r="P10" s="1218">
        <v>0.25</v>
      </c>
      <c r="Q10" s="1218">
        <v>0.25</v>
      </c>
      <c r="R10" s="1218">
        <v>0.25</v>
      </c>
      <c r="S10" s="1218">
        <v>0.25</v>
      </c>
      <c r="T10" s="1218">
        <v>0.25</v>
      </c>
      <c r="U10" s="1218">
        <v>0.25</v>
      </c>
    </row>
    <row r="11" spans="1:22" x14ac:dyDescent="0.35">
      <c r="A11" s="928" t="s">
        <v>756</v>
      </c>
      <c r="B11" s="1218">
        <v>0</v>
      </c>
      <c r="C11" s="1218">
        <v>0.5</v>
      </c>
      <c r="D11" s="1218">
        <v>0.5</v>
      </c>
      <c r="E11" s="1218">
        <v>0.25</v>
      </c>
      <c r="F11" s="1218">
        <v>0.25</v>
      </c>
      <c r="G11" s="1218">
        <v>0.25</v>
      </c>
      <c r="H11" s="1218">
        <v>0.25</v>
      </c>
      <c r="I11" s="1218">
        <v>0.25</v>
      </c>
      <c r="J11" s="1218">
        <v>0.25</v>
      </c>
      <c r="K11" s="1218">
        <v>0.25</v>
      </c>
      <c r="L11" s="1218">
        <v>0.25</v>
      </c>
      <c r="M11" s="1218">
        <v>0.25</v>
      </c>
      <c r="N11" s="1218">
        <v>0.25</v>
      </c>
      <c r="O11" s="1218">
        <v>0.25</v>
      </c>
      <c r="P11" s="1218">
        <v>0.25</v>
      </c>
      <c r="Q11" s="1218">
        <v>0.25</v>
      </c>
      <c r="R11" s="1218">
        <v>0.25</v>
      </c>
      <c r="S11" s="1218">
        <v>0.25</v>
      </c>
      <c r="T11" s="1218">
        <v>0.25</v>
      </c>
      <c r="U11" s="1218">
        <v>0.25</v>
      </c>
    </row>
    <row r="12" spans="1:22" ht="14.25" customHeight="1" x14ac:dyDescent="0.35">
      <c r="A12" s="928" t="s">
        <v>757</v>
      </c>
      <c r="B12" s="1218">
        <v>1</v>
      </c>
      <c r="C12" s="1218"/>
      <c r="D12" s="1218"/>
      <c r="E12" s="1218"/>
      <c r="F12" s="1218"/>
      <c r="G12" s="1218"/>
      <c r="H12" s="1218"/>
      <c r="I12" s="1218"/>
      <c r="J12" s="1218"/>
      <c r="K12" s="1218"/>
      <c r="L12" s="1218"/>
      <c r="M12" s="1218"/>
      <c r="N12" s="1218"/>
      <c r="O12" s="1218"/>
      <c r="P12" s="1218"/>
      <c r="Q12" s="1218"/>
      <c r="R12" s="1218"/>
      <c r="S12" s="1218"/>
      <c r="T12" s="1218"/>
      <c r="U12" s="1218"/>
    </row>
    <row r="13" spans="1:22" x14ac:dyDescent="0.35">
      <c r="A13" s="928" t="s">
        <v>758</v>
      </c>
      <c r="B13" s="1218">
        <v>0</v>
      </c>
      <c r="C13" s="1218">
        <v>0.4</v>
      </c>
      <c r="D13" s="1218">
        <v>0.6</v>
      </c>
      <c r="E13" s="1218">
        <v>0.4</v>
      </c>
      <c r="F13" s="1218">
        <v>0.3</v>
      </c>
      <c r="G13" s="1218">
        <v>0.2</v>
      </c>
      <c r="H13" s="1218">
        <v>0.1</v>
      </c>
      <c r="I13" s="1218">
        <v>0.25</v>
      </c>
      <c r="J13" s="1218">
        <v>0.25</v>
      </c>
      <c r="K13" s="1218">
        <v>0.25</v>
      </c>
      <c r="L13" s="1218">
        <v>0.25</v>
      </c>
      <c r="M13" s="1218">
        <v>0.25</v>
      </c>
      <c r="N13" s="1218">
        <v>0.25</v>
      </c>
      <c r="O13" s="1218">
        <v>0.25</v>
      </c>
      <c r="P13" s="1218">
        <v>0.25</v>
      </c>
      <c r="Q13" s="1218">
        <v>0.25</v>
      </c>
      <c r="R13" s="1218">
        <v>0.25</v>
      </c>
      <c r="S13" s="1218">
        <v>0.25</v>
      </c>
      <c r="T13" s="1218">
        <v>0.25</v>
      </c>
      <c r="U13" s="1218">
        <v>0.25</v>
      </c>
    </row>
    <row r="14" spans="1:22" x14ac:dyDescent="0.35">
      <c r="A14" s="928"/>
      <c r="B14" s="1218"/>
      <c r="C14" s="1218"/>
      <c r="D14" s="1218"/>
      <c r="E14" s="1218"/>
      <c r="F14" s="1218"/>
      <c r="G14" s="1218"/>
      <c r="H14" s="1218"/>
      <c r="I14" s="1218"/>
      <c r="J14" s="1218"/>
      <c r="K14" s="1218"/>
      <c r="L14" s="1218"/>
      <c r="M14" s="1218"/>
      <c r="N14" s="1218"/>
      <c r="O14" s="1218"/>
      <c r="P14" s="1218"/>
      <c r="Q14" s="1218"/>
      <c r="R14" s="1218"/>
      <c r="S14" s="1218"/>
      <c r="T14" s="1218"/>
      <c r="U14" s="1218"/>
    </row>
    <row r="15" spans="1:22" ht="27" customHeight="1" x14ac:dyDescent="0.35">
      <c r="A15" s="1216" t="s">
        <v>759</v>
      </c>
      <c r="B15" s="1218">
        <v>1</v>
      </c>
      <c r="C15" s="1218">
        <v>2</v>
      </c>
      <c r="D15" s="1218">
        <v>3</v>
      </c>
      <c r="E15" s="1218">
        <v>4</v>
      </c>
      <c r="F15" s="1218">
        <v>5</v>
      </c>
      <c r="G15" s="1218">
        <v>6</v>
      </c>
      <c r="H15" s="1218">
        <v>7</v>
      </c>
      <c r="I15" s="1218">
        <v>8</v>
      </c>
      <c r="J15" s="1218">
        <v>9</v>
      </c>
      <c r="K15" s="1218">
        <v>10</v>
      </c>
      <c r="L15" s="1218">
        <v>11</v>
      </c>
      <c r="M15" s="1218">
        <v>12</v>
      </c>
      <c r="N15" s="1218">
        <v>13</v>
      </c>
      <c r="O15" s="1218">
        <v>14</v>
      </c>
      <c r="P15" s="1218">
        <v>15</v>
      </c>
      <c r="Q15" s="1218">
        <v>16</v>
      </c>
      <c r="R15" s="1218">
        <v>17</v>
      </c>
      <c r="S15" s="1218">
        <v>18</v>
      </c>
      <c r="T15" s="1218">
        <v>19</v>
      </c>
      <c r="U15" s="1218">
        <v>20</v>
      </c>
    </row>
    <row r="16" spans="1:22" x14ac:dyDescent="0.35">
      <c r="A16" s="928" t="s">
        <v>760</v>
      </c>
      <c r="B16" s="1218">
        <v>7.0000000000000007E-2</v>
      </c>
      <c r="C16" s="1218">
        <v>7.0000000000000007E-2</v>
      </c>
      <c r="D16" s="1218">
        <v>4.9000000000000002E-2</v>
      </c>
      <c r="E16" s="1218">
        <v>4.9000000000000002E-2</v>
      </c>
      <c r="F16" s="1218">
        <v>4.9000000000000002E-2</v>
      </c>
      <c r="G16" s="1218">
        <v>4.9000000000000002E-2</v>
      </c>
      <c r="H16" s="1218">
        <v>4.9000000000000002E-2</v>
      </c>
      <c r="I16" s="1218">
        <v>4.9000000000000002E-2</v>
      </c>
      <c r="J16" s="1218">
        <v>4.9000000000000002E-2</v>
      </c>
      <c r="K16" s="1218">
        <v>4.9000000000000002E-2</v>
      </c>
      <c r="L16" s="1218">
        <v>4.9000000000000002E-2</v>
      </c>
      <c r="M16" s="1218">
        <v>4.9000000000000002E-2</v>
      </c>
      <c r="N16" s="1218">
        <f t="shared" ref="N16:T16" si="1">0.0475</f>
        <v>4.7500000000000001E-2</v>
      </c>
      <c r="O16" s="1218">
        <f t="shared" si="1"/>
        <v>4.7500000000000001E-2</v>
      </c>
      <c r="P16" s="1218">
        <f t="shared" si="1"/>
        <v>4.7500000000000001E-2</v>
      </c>
      <c r="Q16" s="1218">
        <f t="shared" si="1"/>
        <v>4.7500000000000001E-2</v>
      </c>
      <c r="R16" s="1218">
        <f t="shared" si="1"/>
        <v>4.7500000000000001E-2</v>
      </c>
      <c r="S16" s="1218">
        <f t="shared" si="1"/>
        <v>4.7500000000000001E-2</v>
      </c>
      <c r="T16" s="1218">
        <f t="shared" si="1"/>
        <v>4.7500000000000001E-2</v>
      </c>
      <c r="U16" s="1218">
        <f>0.0375</f>
        <v>3.7499999999999999E-2</v>
      </c>
      <c r="V16" s="1218">
        <f>SUM(B16:U16)</f>
        <v>0.99999999999999989</v>
      </c>
    </row>
    <row r="17" spans="1:23" ht="27" customHeight="1" x14ac:dyDescent="0.35">
      <c r="A17" s="928" t="s">
        <v>761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8">
        <f>SUM(B17:U17)</f>
        <v>0.94000000000000006</v>
      </c>
      <c r="W17" t="s">
        <v>762</v>
      </c>
    </row>
    <row r="19" spans="1:23" x14ac:dyDescent="0.35">
      <c r="B19" s="854" t="e">
        <f>'Federal and State Purchases'!#REF!</f>
        <v>#REF!</v>
      </c>
      <c r="C19" s="854"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C1" zoomScale="98" zoomScaleNormal="80" workbookViewId="0">
      <selection activeCell="E6" sqref="E5:E6"/>
    </sheetView>
  </sheetViews>
  <sheetFormatPr defaultColWidth="10.90625" defaultRowHeight="14.5" x14ac:dyDescent="0.35"/>
  <cols>
    <col min="1" max="1" width="15.453125" customWidth="1"/>
    <col min="2" max="2" width="32.453125" customWidth="1"/>
  </cols>
  <sheetData>
    <row r="1" spans="1:23" x14ac:dyDescent="0.35">
      <c r="A1" s="759" t="s">
        <v>763</v>
      </c>
      <c r="B1" s="759" t="s">
        <v>673</v>
      </c>
      <c r="C1" s="1219">
        <v>2021</v>
      </c>
      <c r="D1" s="1219">
        <f>C1</f>
        <v>2021</v>
      </c>
      <c r="E1" s="1219">
        <f>D1</f>
        <v>2021</v>
      </c>
      <c r="F1" s="1219">
        <v>2022</v>
      </c>
      <c r="G1" s="1219">
        <v>2022</v>
      </c>
      <c r="H1" s="1219">
        <v>2022</v>
      </c>
      <c r="I1" s="1219">
        <v>2022</v>
      </c>
      <c r="J1" s="1219">
        <v>2023</v>
      </c>
      <c r="K1" s="1219">
        <v>2023</v>
      </c>
      <c r="L1" s="1219">
        <v>2023</v>
      </c>
      <c r="M1" s="1219">
        <v>2023</v>
      </c>
      <c r="N1" s="1219">
        <v>2024</v>
      </c>
      <c r="O1" s="1219">
        <v>2024</v>
      </c>
      <c r="P1" s="1219">
        <v>2024</v>
      </c>
      <c r="Q1" s="1219">
        <v>2024</v>
      </c>
      <c r="R1" s="1219">
        <v>2025</v>
      </c>
      <c r="S1" s="1219">
        <v>2025</v>
      </c>
      <c r="T1" s="1219">
        <v>2025</v>
      </c>
      <c r="U1" s="1219">
        <v>2025</v>
      </c>
      <c r="V1" s="1219">
        <v>2026</v>
      </c>
    </row>
    <row r="2" spans="1:23" x14ac:dyDescent="0.35">
      <c r="B2" s="759" t="s">
        <v>764</v>
      </c>
      <c r="C2" s="636" t="s">
        <v>250</v>
      </c>
      <c r="D2" s="636" t="s">
        <v>251</v>
      </c>
      <c r="E2" s="636" t="s">
        <v>180</v>
      </c>
      <c r="F2" s="636" t="s">
        <v>181</v>
      </c>
      <c r="G2" s="636" t="s">
        <v>182</v>
      </c>
      <c r="H2" s="636" t="s">
        <v>183</v>
      </c>
      <c r="I2" s="636" t="s">
        <v>184</v>
      </c>
      <c r="J2" s="636" t="s">
        <v>185</v>
      </c>
      <c r="K2" s="636" t="s">
        <v>186</v>
      </c>
      <c r="L2" s="636" t="s">
        <v>187</v>
      </c>
      <c r="M2" s="636" t="s">
        <v>188</v>
      </c>
      <c r="N2" s="636" t="s">
        <v>189</v>
      </c>
      <c r="O2" s="636" t="s">
        <v>190</v>
      </c>
      <c r="P2" s="636" t="s">
        <v>191</v>
      </c>
      <c r="Q2" s="636" t="s">
        <v>175</v>
      </c>
      <c r="R2" s="636" t="s">
        <v>176</v>
      </c>
      <c r="S2" s="636" t="s">
        <v>177</v>
      </c>
      <c r="T2" s="636" t="s">
        <v>765</v>
      </c>
      <c r="U2" s="636" t="s">
        <v>766</v>
      </c>
      <c r="V2" s="636" t="s">
        <v>767</v>
      </c>
    </row>
    <row r="3" spans="1:23" x14ac:dyDescent="0.35">
      <c r="A3" s="759">
        <v>3</v>
      </c>
      <c r="B3" s="759" t="s">
        <v>528</v>
      </c>
      <c r="C3" s="1220">
        <f>4*'ARP Timing'!B6*VLOOKUP(C$1,'ARP Score'!$A$5:$M14,$A3)</f>
        <v>0</v>
      </c>
      <c r="D3" s="1220">
        <f>4*'ARP Timing'!C6*VLOOKUP(D$1,'ARP Score'!$A$5:$M14,$A3)</f>
        <v>336.60399999999998</v>
      </c>
      <c r="E3" s="1220">
        <f>4*'ARP Timing'!D6*VLOOKUP(E$1,'ARP Score'!$A$5:$M14,$A3)</f>
        <v>446.19599999999991</v>
      </c>
      <c r="F3" s="1220">
        <f>4*'ARP Timing'!E6*VLOOKUP(F$1,'ARP Score'!$A$5:$M14,$A3)</f>
        <v>10.1</v>
      </c>
      <c r="G3" s="1220">
        <f>4*'ARP Timing'!F6*VLOOKUP(G$1,'ARP Score'!$A$5:$M14,$A3)</f>
        <v>10.1</v>
      </c>
      <c r="H3" s="1220">
        <f>4*'ARP Timing'!G6*VLOOKUP(H$1,'ARP Score'!$A$5:$M14,$A3)</f>
        <v>10.1</v>
      </c>
      <c r="I3" s="1220">
        <f>4*'ARP Timing'!H6*VLOOKUP(I$1,'ARP Score'!$A$5:$M14,$A3)</f>
        <v>10.1</v>
      </c>
      <c r="J3" s="1220">
        <f>4*'ARP Timing'!I6*VLOOKUP(J$1,'ARP Score'!$A$5:$M14,$A3)</f>
        <v>0</v>
      </c>
      <c r="K3" s="1220">
        <f>4*'ARP Timing'!J6*VLOOKUP(K$1,'ARP Score'!$A$5:$M14,$A3)</f>
        <v>0</v>
      </c>
      <c r="L3" s="1220">
        <f>4*'ARP Timing'!K6*VLOOKUP(L$1,'ARP Score'!$A$5:$M14,$A3)</f>
        <v>0</v>
      </c>
      <c r="M3" s="1220">
        <f>4*'ARP Timing'!L6*VLOOKUP(M$1,'ARP Score'!$A$5:$M14,$A3)</f>
        <v>0</v>
      </c>
      <c r="N3" s="1220">
        <f>4*'ARP Timing'!M6*VLOOKUP(N$1,'ARP Score'!$A$5:$M14,$A3)</f>
        <v>0</v>
      </c>
      <c r="O3" s="1220">
        <f>4*'ARP Timing'!N6*VLOOKUP(O$1,'ARP Score'!$A$5:$M14,$A3)</f>
        <v>0</v>
      </c>
      <c r="P3" s="1220">
        <f>4*'ARP Timing'!O6*VLOOKUP(P$1,'ARP Score'!$A$5:$M14,$A3)</f>
        <v>0</v>
      </c>
      <c r="Q3" s="1220">
        <f>4*'ARP Timing'!P6*VLOOKUP(Q$1,'ARP Score'!$A$5:$M14,$A3)</f>
        <v>0</v>
      </c>
      <c r="R3" s="1220">
        <f>4*'ARP Timing'!Q6*VLOOKUP(R$1,'ARP Score'!$A$5:$M14,$A3)</f>
        <v>0</v>
      </c>
      <c r="S3" s="1220">
        <f>4*'ARP Timing'!R6*VLOOKUP(S$1,'ARP Score'!$A$5:$M14,$A3)</f>
        <v>0</v>
      </c>
      <c r="T3" s="1220">
        <f>4*'ARP Timing'!S6*VLOOKUP(T$1,'ARP Score'!$A$5:$M14,$A3)</f>
        <v>0</v>
      </c>
      <c r="U3" s="1220">
        <f>4*'ARP Timing'!T6*VLOOKUP(U$1,'ARP Score'!$A$5:$M14,$A3)</f>
        <v>0</v>
      </c>
      <c r="V3" s="1220">
        <f>4*'ARP Timing'!U6*VLOOKUP(V$1,'ARP Score'!$A$5:$M14,$A3)</f>
        <v>0</v>
      </c>
      <c r="W3" s="1220">
        <f>SUM(C3:U3)/4</f>
        <v>205.8</v>
      </c>
    </row>
    <row r="4" spans="1:23" x14ac:dyDescent="0.35">
      <c r="A4" s="759">
        <v>5</v>
      </c>
      <c r="B4" s="33" t="s">
        <v>675</v>
      </c>
      <c r="C4" s="1220">
        <f>4*'ARP Timing'!B7*VLOOKUP(C$1,'ARP Score'!$A$5:$M15,$A4)</f>
        <v>0</v>
      </c>
      <c r="D4" s="1220">
        <f>4*'ARP Timing'!C7*VLOOKUP(D$1,'ARP Score'!$A$5:$M15,$A4)</f>
        <v>0</v>
      </c>
      <c r="E4" s="1220">
        <f>4*'ARP Timing'!D7*VLOOKUP(E$1,'ARP Score'!$A$5:$M15,$A4)</f>
        <v>3.1040000000000418</v>
      </c>
      <c r="F4" s="1220">
        <f>4*'ARP Timing'!E7*VLOOKUP(F$1,'ARP Score'!$A$5:$M15,$A4)</f>
        <v>19.719000000000005</v>
      </c>
      <c r="G4" s="1220">
        <f>4*'ARP Timing'!F7*VLOOKUP(G$1,'ARP Score'!$A$5:$M15,$A4)</f>
        <v>19.719000000000005</v>
      </c>
      <c r="H4" s="1220">
        <f>4*'ARP Timing'!G7*VLOOKUP(H$1,'ARP Score'!$A$5:$M15,$A4)</f>
        <v>19.719000000000005</v>
      </c>
      <c r="I4" s="1220">
        <f>4*'ARP Timing'!H7*VLOOKUP(I$1,'ARP Score'!$A$5:$M15,$A4)</f>
        <v>19.719000000000005</v>
      </c>
      <c r="J4" s="1220">
        <f>4*'ARP Timing'!I7*VLOOKUP(J$1,'ARP Score'!$A$5:$M15,$A4)</f>
        <v>1.4159999999999999</v>
      </c>
      <c r="K4" s="1220">
        <f>4*'ARP Timing'!J7*VLOOKUP(K$1,'ARP Score'!$A$5:$M15,$A4)</f>
        <v>1.4159999999999999</v>
      </c>
      <c r="L4" s="1220">
        <f>4*'ARP Timing'!K7*VLOOKUP(L$1,'ARP Score'!$A$5:$M15,$A4)</f>
        <v>1.4159999999999999</v>
      </c>
      <c r="M4" s="1220">
        <f>4*'ARP Timing'!L7*VLOOKUP(M$1,'ARP Score'!$A$5:$M15,$A4)</f>
        <v>1.4159999999999999</v>
      </c>
      <c r="N4" s="1220">
        <f>4*'ARP Timing'!M7*VLOOKUP(N$1,'ARP Score'!$A$5:$M15,$A4)</f>
        <v>1.4790000000000001</v>
      </c>
      <c r="O4" s="1220">
        <f>4*'ARP Timing'!N7*VLOOKUP(O$1,'ARP Score'!$A$5:$M15,$A4)</f>
        <v>1.4790000000000001</v>
      </c>
      <c r="P4" s="1220">
        <f>4*'ARP Timing'!O7*VLOOKUP(P$1,'ARP Score'!$A$5:$M15,$A4)</f>
        <v>1.4790000000000001</v>
      </c>
      <c r="Q4" s="1220">
        <f>4*'ARP Timing'!P7*VLOOKUP(Q$1,'ARP Score'!$A$5:$M15,$A4)</f>
        <v>1.4790000000000001</v>
      </c>
      <c r="R4" s="1220">
        <f>4*'ARP Timing'!Q7*VLOOKUP(R$1,'ARP Score'!$A$5:$M15,$A4)</f>
        <v>1.63</v>
      </c>
      <c r="S4" s="1220">
        <f>4*'ARP Timing'!R7*VLOOKUP(S$1,'ARP Score'!$A$5:$M15,$A4)</f>
        <v>1.63</v>
      </c>
      <c r="T4" s="1220">
        <f>4*'ARP Timing'!S7*VLOOKUP(T$1,'ARP Score'!$A$5:$M15,$A4)</f>
        <v>1.63</v>
      </c>
      <c r="U4" s="1220">
        <f>4*'ARP Timing'!T7*VLOOKUP(U$1,'ARP Score'!$A$5:$M15,$A4)</f>
        <v>1.63</v>
      </c>
      <c r="V4" s="1220">
        <f>4*'ARP Timing'!U7*VLOOKUP(V$1,'ARP Score'!$A$5:$M15,$A4)</f>
        <v>1.671</v>
      </c>
      <c r="W4" s="1220">
        <f>SUM(C4:U4)/4</f>
        <v>25.020000000000007</v>
      </c>
    </row>
    <row r="5" spans="1:23" x14ac:dyDescent="0.35">
      <c r="A5" s="759">
        <v>6</v>
      </c>
      <c r="B5" s="33" t="s">
        <v>676</v>
      </c>
      <c r="C5" s="1220">
        <f>4*'ARP Timing'!B8*VLOOKUP(C$1,'ARP Score'!$A$5:$M16,$A5)</f>
        <v>0</v>
      </c>
      <c r="D5" s="1220">
        <f>4*'ARP Timing'!C8*VLOOKUP(D$1,'ARP Score'!$A$5:$M16,$A5)</f>
        <v>33.921840000000024</v>
      </c>
      <c r="E5" s="1220">
        <f>4*'ARP Timing'!D8*VLOOKUP(E$1,'ARP Score'!$A$5:$M16,$A5)</f>
        <v>44.966160000000031</v>
      </c>
      <c r="F5" s="1220">
        <f>4*'ARP Timing'!E8*VLOOKUP(F$1,'ARP Score'!$A$5:$M16,$A5)</f>
        <v>52.756999999999998</v>
      </c>
      <c r="G5" s="1220">
        <f>4*'ARP Timing'!F8*VLOOKUP(G$1,'ARP Score'!$A$5:$M16,$A5)</f>
        <v>52.756999999999998</v>
      </c>
      <c r="H5" s="1220">
        <f>4*'ARP Timing'!G8*VLOOKUP(H$1,'ARP Score'!$A$5:$M16,$A5)</f>
        <v>52.756999999999998</v>
      </c>
      <c r="I5" s="1220">
        <f>4*'ARP Timing'!H8*VLOOKUP(I$1,'ARP Score'!$A$5:$M16,$A5)</f>
        <v>52.756999999999998</v>
      </c>
      <c r="J5" s="1220">
        <f>4*'ARP Timing'!I8*VLOOKUP(J$1,'ARP Score'!$A$5:$M16,$A5)</f>
        <v>12</v>
      </c>
      <c r="K5" s="1220">
        <f>4*'ARP Timing'!J8*VLOOKUP(K$1,'ARP Score'!$A$5:$M16,$A5)</f>
        <v>12</v>
      </c>
      <c r="L5" s="1220">
        <f>4*'ARP Timing'!K8*VLOOKUP(L$1,'ARP Score'!$A$5:$M16,$A5)</f>
        <v>12</v>
      </c>
      <c r="M5" s="1220">
        <f>4*'ARP Timing'!L8*VLOOKUP(M$1,'ARP Score'!$A$5:$M16,$A5)</f>
        <v>12</v>
      </c>
      <c r="N5" s="1220">
        <f>4*'ARP Timing'!M8*VLOOKUP(N$1,'ARP Score'!$A$5:$M16,$A5)</f>
        <v>4.2219999999999995</v>
      </c>
      <c r="O5" s="1220">
        <f>4*'ARP Timing'!N8*VLOOKUP(O$1,'ARP Score'!$A$5:$M16,$A5)</f>
        <v>4.2219999999999995</v>
      </c>
      <c r="P5" s="1220">
        <f>4*'ARP Timing'!O8*VLOOKUP(P$1,'ARP Score'!$A$5:$M16,$A5)</f>
        <v>4.2219999999999995</v>
      </c>
      <c r="Q5" s="1220">
        <f>4*'ARP Timing'!P8*VLOOKUP(Q$1,'ARP Score'!$A$5:$M16,$A5)</f>
        <v>4.2219999999999995</v>
      </c>
      <c r="R5" s="1220">
        <f>4*'ARP Timing'!Q8*VLOOKUP(R$1,'ARP Score'!$A$5:$M16,$A5)</f>
        <v>2.3719999999999999</v>
      </c>
      <c r="S5" s="1220">
        <f>4*'ARP Timing'!R8*VLOOKUP(S$1,'ARP Score'!$A$5:$M16,$A5)</f>
        <v>2.3719999999999999</v>
      </c>
      <c r="T5" s="1220">
        <f>4*'ARP Timing'!S8*VLOOKUP(T$1,'ARP Score'!$A$5:$M16,$A5)</f>
        <v>2.3719999999999999</v>
      </c>
      <c r="U5" s="1220">
        <f>4*'ARP Timing'!T8*VLOOKUP(U$1,'ARP Score'!$A$5:$M16,$A5)</f>
        <v>2.3719999999999999</v>
      </c>
      <c r="V5" s="1220">
        <f>4*'ARP Timing'!U8*VLOOKUP(V$1,'ARP Score'!$A$5:$M16,$A5)</f>
        <v>0.49</v>
      </c>
      <c r="W5" s="1220">
        <f t="shared" ref="W5:W15" si="0">SUM(C5:U5)/4</f>
        <v>91.073000000000008</v>
      </c>
    </row>
    <row r="6" spans="1:23" x14ac:dyDescent="0.35">
      <c r="A6" s="759">
        <v>7</v>
      </c>
      <c r="B6" s="33" t="s">
        <v>768</v>
      </c>
      <c r="C6" s="1220">
        <f>4*'ARP Timing'!B9*VLOOKUP(C$1,'ARP Score'!$A$5:$M17,$A6)</f>
        <v>0</v>
      </c>
      <c r="D6" s="1220">
        <f>4*'ARP Timing'!C9*VLOOKUP(D$1,'ARP Score'!$A$5:$M17,$A6)</f>
        <v>58.782959999999989</v>
      </c>
      <c r="E6" s="1220">
        <f>4*'ARP Timing'!D9*VLOOKUP(E$1,'ARP Score'!$A$5:$M17,$A6)</f>
        <v>267.78904</v>
      </c>
      <c r="F6" s="1220">
        <f>4*'ARP Timing'!E9*VLOOKUP(F$1,'ARP Score'!$A$5:$M17,$A6)</f>
        <v>110.24799999999999</v>
      </c>
      <c r="G6" s="1220">
        <f>4*'ARP Timing'!F9*VLOOKUP(G$1,'ARP Score'!$A$5:$M17,$A6)</f>
        <v>110.24799999999999</v>
      </c>
      <c r="H6" s="1220">
        <f>4*'ARP Timing'!G9*VLOOKUP(H$1,'ARP Score'!$A$5:$M17,$A6)</f>
        <v>110.24799999999999</v>
      </c>
      <c r="I6" s="1220">
        <f>4*'ARP Timing'!H9*VLOOKUP(I$1,'ARP Score'!$A$5:$M17,$A6)</f>
        <v>110.24799999999999</v>
      </c>
      <c r="J6" s="1220">
        <f>4*'ARP Timing'!I9*VLOOKUP(J$1,'ARP Score'!$A$5:$M17,$A6)</f>
        <v>12.726000000000001</v>
      </c>
      <c r="K6" s="1220">
        <f>4*'ARP Timing'!J9*VLOOKUP(K$1,'ARP Score'!$A$5:$M17,$A6)</f>
        <v>12.726000000000001</v>
      </c>
      <c r="L6" s="1220">
        <f>4*'ARP Timing'!K9*VLOOKUP(L$1,'ARP Score'!$A$5:$M17,$A6)</f>
        <v>12.726000000000001</v>
      </c>
      <c r="M6" s="1220">
        <f>4*'ARP Timing'!L9*VLOOKUP(M$1,'ARP Score'!$A$5:$M17,$A6)</f>
        <v>12.726000000000001</v>
      </c>
      <c r="N6" s="1220">
        <f>4*'ARP Timing'!M9*VLOOKUP(N$1,'ARP Score'!$A$5:$M17,$A6)</f>
        <v>1.365</v>
      </c>
      <c r="O6" s="1220">
        <f>4*'ARP Timing'!N9*VLOOKUP(O$1,'ARP Score'!$A$5:$M17,$A6)</f>
        <v>1.365</v>
      </c>
      <c r="P6" s="1220">
        <f>4*'ARP Timing'!O9*VLOOKUP(P$1,'ARP Score'!$A$5:$M17,$A6)</f>
        <v>1.365</v>
      </c>
      <c r="Q6" s="1220">
        <f>4*'ARP Timing'!P9*VLOOKUP(Q$1,'ARP Score'!$A$5:$M17,$A6)</f>
        <v>1.365</v>
      </c>
      <c r="R6" s="1220">
        <f>4*'ARP Timing'!Q9*VLOOKUP(R$1,'ARP Score'!$A$5:$M17,$A6)</f>
        <v>-0.90100000000000025</v>
      </c>
      <c r="S6" s="1220">
        <f>4*'ARP Timing'!R9*VLOOKUP(S$1,'ARP Score'!$A$5:$M17,$A6)</f>
        <v>-0.90100000000000025</v>
      </c>
      <c r="T6" s="1220">
        <f>4*'ARP Timing'!S9*VLOOKUP(T$1,'ARP Score'!$A$5:$M17,$A6)</f>
        <v>-0.90100000000000025</v>
      </c>
      <c r="U6" s="1220">
        <f>4*'ARP Timing'!T9*VLOOKUP(U$1,'ARP Score'!$A$5:$M17,$A6)</f>
        <v>-0.90100000000000025</v>
      </c>
      <c r="V6" s="1220">
        <f>4*'ARP Timing'!U9*VLOOKUP(V$1,'ARP Score'!$A$5:$M17,$A6)</f>
        <v>-2.1500000000000004</v>
      </c>
      <c r="W6" s="1220">
        <f t="shared" si="0"/>
        <v>205.08100000000007</v>
      </c>
    </row>
    <row r="7" spans="1:23" x14ac:dyDescent="0.35">
      <c r="A7" s="759">
        <v>8</v>
      </c>
      <c r="B7" s="33" t="s">
        <v>131</v>
      </c>
      <c r="C7" s="1220">
        <f>4*'ARP Timing'!B10*VLOOKUP(C$1,'ARP Score'!$A$5:$M18,$A7)</f>
        <v>0</v>
      </c>
      <c r="D7" s="1220">
        <f>4*'ARP Timing'!C10*VLOOKUP(D$1,'ARP Score'!$A$5:$M18,$A7)</f>
        <v>15.596</v>
      </c>
      <c r="E7" s="1220">
        <f>4*'ARP Timing'!D10*VLOOKUP(E$1,'ARP Score'!$A$5:$M18,$A7)</f>
        <v>15.596</v>
      </c>
      <c r="F7" s="1220">
        <f>4*'ARP Timing'!E10*VLOOKUP(F$1,'ARP Score'!$A$5:$M18,$A7)</f>
        <v>7.9489999999999998</v>
      </c>
      <c r="G7" s="1220">
        <f>4*'ARP Timing'!F10*VLOOKUP(G$1,'ARP Score'!$A$5:$M18,$A7)</f>
        <v>7.9489999999999998</v>
      </c>
      <c r="H7" s="1220">
        <f>4*'ARP Timing'!G10*VLOOKUP(H$1,'ARP Score'!$A$5:$M18,$A7)</f>
        <v>7.9489999999999998</v>
      </c>
      <c r="I7" s="1220">
        <f>4*'ARP Timing'!H10*VLOOKUP(I$1,'ARP Score'!$A$5:$M18,$A7)</f>
        <v>7.9489999999999998</v>
      </c>
      <c r="J7" s="1220">
        <f>4*'ARP Timing'!I10*VLOOKUP(J$1,'ARP Score'!$A$5:$M18,$A7)</f>
        <v>4.7519999999999998</v>
      </c>
      <c r="K7" s="1220">
        <f>4*'ARP Timing'!J10*VLOOKUP(K$1,'ARP Score'!$A$5:$M18,$A7)</f>
        <v>4.7519999999999998</v>
      </c>
      <c r="L7" s="1220">
        <f>4*'ARP Timing'!K10*VLOOKUP(L$1,'ARP Score'!$A$5:$M18,$A7)</f>
        <v>4.7519999999999998</v>
      </c>
      <c r="M7" s="1220">
        <f>4*'ARP Timing'!L10*VLOOKUP(M$1,'ARP Score'!$A$5:$M18,$A7)</f>
        <v>4.7519999999999998</v>
      </c>
      <c r="N7" s="1220">
        <f>4*'ARP Timing'!M10*VLOOKUP(N$1,'ARP Score'!$A$5:$M18,$A7)</f>
        <v>4.637999999999999</v>
      </c>
      <c r="O7" s="1220">
        <f>4*'ARP Timing'!N10*VLOOKUP(O$1,'ARP Score'!$A$5:$M18,$A7)</f>
        <v>4.637999999999999</v>
      </c>
      <c r="P7" s="1220">
        <f>4*'ARP Timing'!O10*VLOOKUP(P$1,'ARP Score'!$A$5:$M18,$A7)</f>
        <v>4.637999999999999</v>
      </c>
      <c r="Q7" s="1220">
        <f>4*'ARP Timing'!P10*VLOOKUP(Q$1,'ARP Score'!$A$5:$M18,$A7)</f>
        <v>4.637999999999999</v>
      </c>
      <c r="R7" s="1220">
        <f>4*'ARP Timing'!Q10*VLOOKUP(R$1,'ARP Score'!$A$5:$M18,$A7)</f>
        <v>1.8800000000000001</v>
      </c>
      <c r="S7" s="1220">
        <f>4*'ARP Timing'!R10*VLOOKUP(S$1,'ARP Score'!$A$5:$M18,$A7)</f>
        <v>1.8800000000000001</v>
      </c>
      <c r="T7" s="1220">
        <f>4*'ARP Timing'!S10*VLOOKUP(T$1,'ARP Score'!$A$5:$M18,$A7)</f>
        <v>1.8800000000000001</v>
      </c>
      <c r="U7" s="1220">
        <f>4*'ARP Timing'!T10*VLOOKUP(U$1,'ARP Score'!$A$5:$M18,$A7)</f>
        <v>1.8800000000000001</v>
      </c>
      <c r="V7" s="1220">
        <f>4*'ARP Timing'!U10*VLOOKUP(V$1,'ARP Score'!$A$5:$M18,$A7)</f>
        <v>1.446</v>
      </c>
      <c r="W7" s="1220">
        <f t="shared" si="0"/>
        <v>27.016999999999996</v>
      </c>
    </row>
    <row r="8" spans="1:23" x14ac:dyDescent="0.35">
      <c r="A8" s="759">
        <v>9</v>
      </c>
      <c r="B8" s="1221" t="s">
        <v>348</v>
      </c>
      <c r="C8" s="1220">
        <f>4*'ARP Timing'!B$11*VLOOKUP(C$1,'ARP Score'!$A$5:$M19,$A8)</f>
        <v>0</v>
      </c>
      <c r="D8" s="1220">
        <f>0.6*SUM('ARP Score'!B5:B7)*4</f>
        <v>989.16719999999987</v>
      </c>
      <c r="E8" s="1219">
        <v>0</v>
      </c>
      <c r="F8" s="1220">
        <v>0</v>
      </c>
      <c r="G8" s="1220">
        <v>0</v>
      </c>
      <c r="H8" s="1220">
        <f>D8*0.4/0.6</f>
        <v>659.44479999999999</v>
      </c>
      <c r="I8" s="1220">
        <v>0</v>
      </c>
      <c r="J8" s="759">
        <v>0</v>
      </c>
      <c r="K8" s="1220">
        <v>0</v>
      </c>
      <c r="L8" s="1220">
        <v>0</v>
      </c>
      <c r="M8" s="1220">
        <v>0</v>
      </c>
      <c r="N8" s="1220">
        <v>0</v>
      </c>
      <c r="O8" s="1220">
        <v>0</v>
      </c>
      <c r="P8" s="1220">
        <v>0</v>
      </c>
      <c r="Q8" s="1220">
        <v>0</v>
      </c>
      <c r="R8" s="1220">
        <v>0</v>
      </c>
      <c r="S8" s="1220">
        <v>0</v>
      </c>
      <c r="T8" s="1220">
        <v>0</v>
      </c>
      <c r="U8" s="1220">
        <v>0</v>
      </c>
      <c r="V8" s="1220">
        <v>0</v>
      </c>
      <c r="W8" s="1220">
        <f t="shared" si="0"/>
        <v>412.15299999999996</v>
      </c>
    </row>
    <row r="9" spans="1:23" x14ac:dyDescent="0.35">
      <c r="A9" s="759">
        <v>10</v>
      </c>
      <c r="B9" s="1221" t="s">
        <v>150</v>
      </c>
      <c r="C9" s="1220">
        <f>4*'ARP Timing'!B$11*VLOOKUP(C$1,'ARP Score'!$A$5:$M20,$A9)</f>
        <v>0</v>
      </c>
      <c r="D9" s="1220">
        <f>4*'ARP Timing'!C$11*VLOOKUP(D$1,'ARP Score'!$A$5:$M20,$A9)</f>
        <v>24.693999999999999</v>
      </c>
      <c r="E9" s="1220">
        <f>4*'ARP Timing'!D$11*VLOOKUP(E$1,'ARP Score'!$A$5:$M20,$A9)</f>
        <v>24.693999999999999</v>
      </c>
      <c r="F9" s="1220">
        <f>4*'ARP Timing'!E$11*VLOOKUP(F$1,'ARP Score'!$A$5:$M20,$A9)</f>
        <v>46.79</v>
      </c>
      <c r="G9" s="1220">
        <f>4*'ARP Timing'!F$11*VLOOKUP(G$1,'ARP Score'!$A$5:$M20,$A9)</f>
        <v>46.79</v>
      </c>
      <c r="H9" s="1220">
        <f>4*'ARP Timing'!G$11*VLOOKUP(H$1,'ARP Score'!$A$5:$M20,$A9)</f>
        <v>46.79</v>
      </c>
      <c r="I9" s="1220">
        <f>4*'ARP Timing'!H$11*VLOOKUP(I$1,'ARP Score'!$A$5:$M20,$A9)</f>
        <v>46.79</v>
      </c>
      <c r="J9" s="1220">
        <f>4*'ARP Timing'!I$11*VLOOKUP(J$1,'ARP Score'!$A$5:$M20,$A9)</f>
        <v>38.595999999999997</v>
      </c>
      <c r="K9" s="1220">
        <f>4*'ARP Timing'!J$11*VLOOKUP(K$1,'ARP Score'!$A$5:$M20,$A9)</f>
        <v>38.595999999999997</v>
      </c>
      <c r="L9" s="1220">
        <f>4*'ARP Timing'!K$11*VLOOKUP(L$1,'ARP Score'!$A$5:$M20,$A9)</f>
        <v>38.595999999999997</v>
      </c>
      <c r="M9" s="1220">
        <f>4*'ARP Timing'!L$11*VLOOKUP(M$1,'ARP Score'!$A$5:$M20,$A9)</f>
        <v>38.595999999999997</v>
      </c>
      <c r="N9" s="1220">
        <f>4*'ARP Timing'!M$11*VLOOKUP(N$1,'ARP Score'!$A$5:$M20,$A9)</f>
        <v>31.911000000000001</v>
      </c>
      <c r="O9" s="1220">
        <f>4*'ARP Timing'!N$11*VLOOKUP(O$1,'ARP Score'!$A$5:$M20,$A9)</f>
        <v>31.911000000000001</v>
      </c>
      <c r="P9" s="1220">
        <f>4*'ARP Timing'!O$11*VLOOKUP(P$1,'ARP Score'!$A$5:$M20,$A9)</f>
        <v>31.911000000000001</v>
      </c>
      <c r="Q9" s="1220">
        <f>4*'ARP Timing'!P$11*VLOOKUP(Q$1,'ARP Score'!$A$5:$M20,$A9)</f>
        <v>31.911000000000001</v>
      </c>
      <c r="R9" s="1220">
        <f>4*'ARP Timing'!Q$11*VLOOKUP(R$1,'ARP Score'!$A$5:$M20,$A9)</f>
        <v>23.099</v>
      </c>
      <c r="S9" s="1220">
        <f>4*'ARP Timing'!R$11*VLOOKUP(S$1,'ARP Score'!$A$5:$M20,$A9)</f>
        <v>23.099</v>
      </c>
      <c r="T9" s="1220">
        <f>4*'ARP Timing'!S$11*VLOOKUP(T$1,'ARP Score'!$A$5:$M20,$A9)</f>
        <v>23.099</v>
      </c>
      <c r="U9" s="1220">
        <f>4*'ARP Timing'!T$11*VLOOKUP(U$1,'ARP Score'!$A$5:$M20,$A9)</f>
        <v>23.099</v>
      </c>
      <c r="V9" s="1220">
        <f>4*'ARP Timing'!U$11*VLOOKUP(V$1,'ARP Score'!$A$5:$M20,$A9)</f>
        <v>10.766999999999999</v>
      </c>
      <c r="W9" s="1220">
        <f t="shared" si="0"/>
        <v>152.74300000000005</v>
      </c>
    </row>
    <row r="10" spans="1:23" x14ac:dyDescent="0.35">
      <c r="A10" s="1225">
        <v>11</v>
      </c>
      <c r="B10" s="1221" t="s">
        <v>364</v>
      </c>
      <c r="C10" s="1220">
        <f>4*'ARP Timing'!B$11*VLOOKUP(C$1,'ARP Score'!$A$5:$M22,$A10)</f>
        <v>0</v>
      </c>
      <c r="D10" s="1220">
        <f>4*'ARP Timing'!C$11*VLOOKUP(D$1,'ARP Score'!$A$5:$M22,$A10)</f>
        <v>59.256</v>
      </c>
      <c r="E10" s="1220">
        <f>4*'ARP Timing'!D$11*VLOOKUP(E$1,'ARP Score'!$A$5:$M22,$A10)</f>
        <v>59.256</v>
      </c>
      <c r="F10" s="1220">
        <f>4*'ARP Timing'!E$11*VLOOKUP(F$1,'ARP Score'!$A$5:$M22,$A10)</f>
        <v>35.671000000000006</v>
      </c>
      <c r="G10" s="1220">
        <f>4*'ARP Timing'!F$11*VLOOKUP(G$1,'ARP Score'!$A$5:$M22,$A10)</f>
        <v>35.671000000000006</v>
      </c>
      <c r="H10" s="1220">
        <f>4*'ARP Timing'!G$11*VLOOKUP(H$1,'ARP Score'!$A$5:$M22,$A10)</f>
        <v>35.671000000000006</v>
      </c>
      <c r="I10" s="1220">
        <f>4*'ARP Timing'!H$11*VLOOKUP(I$1,'ARP Score'!$A$5:$M22,$A10)</f>
        <v>35.671000000000006</v>
      </c>
      <c r="J10" s="1220">
        <f>4*'ARP Timing'!I$11*VLOOKUP(J$1,'ARP Score'!$A$5:$M22,$A10)</f>
        <v>24.216000000000001</v>
      </c>
      <c r="K10" s="1220">
        <f>4*'ARP Timing'!J$11*VLOOKUP(K$1,'ARP Score'!$A$5:$M22,$A10)</f>
        <v>24.216000000000001</v>
      </c>
      <c r="L10" s="1220">
        <f>4*'ARP Timing'!K$11*VLOOKUP(L$1,'ARP Score'!$A$5:$M22,$A10)</f>
        <v>24.216000000000001</v>
      </c>
      <c r="M10" s="1220">
        <f>4*'ARP Timing'!L$11*VLOOKUP(M$1,'ARP Score'!$A$5:$M22,$A10)</f>
        <v>24.216000000000001</v>
      </c>
      <c r="N10" s="1220">
        <f>4*'ARP Timing'!M$11*VLOOKUP(N$1,'ARP Score'!$A$5:$M22,$A10)</f>
        <v>9.6430000000000007</v>
      </c>
      <c r="O10" s="1220">
        <f>4*'ARP Timing'!N$11*VLOOKUP(O$1,'ARP Score'!$A$5:$M22,$A10)</f>
        <v>9.6430000000000007</v>
      </c>
      <c r="P10" s="1220">
        <f>4*'ARP Timing'!O$11*VLOOKUP(P$1,'ARP Score'!$A$5:$M22,$A10)</f>
        <v>9.6430000000000007</v>
      </c>
      <c r="Q10" s="1220">
        <f>4*'ARP Timing'!P$11*VLOOKUP(Q$1,'ARP Score'!$A$5:$M22,$A10)</f>
        <v>9.6430000000000007</v>
      </c>
      <c r="R10" s="1220">
        <f>4*'ARP Timing'!Q$11*VLOOKUP(R$1,'ARP Score'!$A$5:$M22,$A10)</f>
        <v>4.5789999999999997</v>
      </c>
      <c r="S10" s="1220">
        <f>4*'ARP Timing'!R$11*VLOOKUP(S$1,'ARP Score'!$A$5:$M22,$A10)</f>
        <v>4.5789999999999997</v>
      </c>
      <c r="T10" s="1220">
        <f>4*'ARP Timing'!S$11*VLOOKUP(T$1,'ARP Score'!$A$5:$M22,$A10)</f>
        <v>4.5789999999999997</v>
      </c>
      <c r="U10" s="1220">
        <f>4*'ARP Timing'!T$11*VLOOKUP(U$1,'ARP Score'!$A$5:$M22,$A10)</f>
        <v>4.5789999999999997</v>
      </c>
      <c r="V10" s="1220">
        <f>4*'ARP Timing'!U$11*VLOOKUP(V$1,'ARP Score'!$A$5:$M22,$A10)</f>
        <v>2.9130000000000003</v>
      </c>
      <c r="W10" s="1220">
        <f t="shared" si="0"/>
        <v>103.73700000000002</v>
      </c>
    </row>
    <row r="11" spans="1:23" x14ac:dyDescent="0.35">
      <c r="A11" s="759">
        <v>12</v>
      </c>
      <c r="B11" s="14" t="s">
        <v>159</v>
      </c>
      <c r="C11" s="1220">
        <f>4*'ARP Timing'!B12*VLOOKUP(C$1,'ARP Score'!$A$5:$M20,$A11)</f>
        <v>103</v>
      </c>
      <c r="D11" s="1220">
        <f>4*'ARP Timing'!C12*VLOOKUP(D$1,'ARP Score'!$A$5:$M20,$A11)</f>
        <v>0</v>
      </c>
      <c r="E11" s="1220">
        <f>4*'ARP Timing'!D12*VLOOKUP(E$1,'ARP Score'!$A$5:$M20,$A11)</f>
        <v>0</v>
      </c>
      <c r="F11" s="1220">
        <f>4*'ARP Timing'!E12*VLOOKUP(F$1,'ARP Score'!$A$5:$M20,$A11)</f>
        <v>0</v>
      </c>
      <c r="G11" s="1220">
        <f>4*'ARP Timing'!F12*VLOOKUP(G$1,'ARP Score'!$A$5:$M20,$A11)</f>
        <v>0</v>
      </c>
      <c r="H11" s="1220">
        <f>4*'ARP Timing'!G12*VLOOKUP(H$1,'ARP Score'!$A$5:$M20,$A11)</f>
        <v>0</v>
      </c>
      <c r="I11" s="1220">
        <f>4*'ARP Timing'!H12*VLOOKUP(I$1,'ARP Score'!$A$5:$M20,$A11)</f>
        <v>0</v>
      </c>
      <c r="J11" s="1220">
        <f>4*'ARP Timing'!I12*VLOOKUP(J$1,'ARP Score'!$A$5:$M20,$A11)</f>
        <v>0</v>
      </c>
      <c r="K11" s="1220">
        <f>4*'ARP Timing'!J12*VLOOKUP(K$1,'ARP Score'!$A$5:$M20,$A11)</f>
        <v>0</v>
      </c>
      <c r="L11" s="1220">
        <f>4*'ARP Timing'!K12*VLOOKUP(L$1,'ARP Score'!$A$5:$M20,$A11)</f>
        <v>0</v>
      </c>
      <c r="M11" s="1220">
        <f>4*'ARP Timing'!L12*VLOOKUP(M$1,'ARP Score'!$A$5:$M20,$A11)</f>
        <v>0</v>
      </c>
      <c r="N11" s="1220">
        <f>4*'ARP Timing'!M12*VLOOKUP(N$1,'ARP Score'!$A$5:$M20,$A11)</f>
        <v>0</v>
      </c>
      <c r="O11" s="1220">
        <f>4*'ARP Timing'!N12*VLOOKUP(O$1,'ARP Score'!$A$5:$M20,$A11)</f>
        <v>0</v>
      </c>
      <c r="P11" s="1220">
        <f>4*'ARP Timing'!O12*VLOOKUP(P$1,'ARP Score'!$A$5:$M20,$A11)</f>
        <v>0</v>
      </c>
      <c r="Q11" s="1220">
        <f>4*'ARP Timing'!P12*VLOOKUP(Q$1,'ARP Score'!$A$5:$M20,$A11)</f>
        <v>0</v>
      </c>
      <c r="R11" s="1220">
        <f>4*'ARP Timing'!Q12*VLOOKUP(R$1,'ARP Score'!$A$5:$M20,$A11)</f>
        <v>0</v>
      </c>
      <c r="S11" s="1220">
        <f>4*'ARP Timing'!R12*VLOOKUP(S$1,'ARP Score'!$A$5:$M20,$A11)</f>
        <v>0</v>
      </c>
      <c r="T11" s="1220">
        <f>4*'ARP Timing'!S12*VLOOKUP(T$1,'ARP Score'!$A$5:$M20,$A11)</f>
        <v>0</v>
      </c>
      <c r="U11" s="1220">
        <f>4*'ARP Timing'!T12*VLOOKUP(U$1,'ARP Score'!$A$5:$M20,$A11)</f>
        <v>0</v>
      </c>
      <c r="V11" s="1220">
        <f>4*'ARP Timing'!U12*VLOOKUP(V$1,'ARP Score'!$A$5:$M20,$A11)</f>
        <v>0</v>
      </c>
      <c r="W11" s="1220">
        <f t="shared" si="0"/>
        <v>25.75</v>
      </c>
    </row>
    <row r="12" spans="1:23" x14ac:dyDescent="0.35">
      <c r="A12" s="759">
        <v>13</v>
      </c>
      <c r="B12" s="33" t="s">
        <v>109</v>
      </c>
      <c r="C12" s="1220">
        <f>4*'ARP Timing'!B13*VLOOKUP(C$1,'ARP Score'!$A$5:$M21,$A12)</f>
        <v>0</v>
      </c>
      <c r="D12" s="1220">
        <f>4*'ARP Timing'!C13*VLOOKUP(D$1,'ARP Score'!$A$5:$M21,$A12)</f>
        <v>51.102400000000003</v>
      </c>
      <c r="E12" s="1220">
        <f>4*'ARP Timing'!D13*VLOOKUP(E$1,'ARP Score'!$A$5:$M21,$A12)</f>
        <v>76.653599999999997</v>
      </c>
      <c r="F12" s="1220">
        <f>4*'ARP Timing'!E13*VLOOKUP(F$1,'ARP Score'!$A$5:$M21,$A12)</f>
        <v>90.260800000000003</v>
      </c>
      <c r="G12" s="1220">
        <f>4*'ARP Timing'!F13*VLOOKUP(G$1,'ARP Score'!$A$5:$M21,$A12)</f>
        <v>67.695599999999999</v>
      </c>
      <c r="H12" s="1220">
        <f>4*'ARP Timing'!G13*VLOOKUP(H$1,'ARP Score'!$A$5:$M21,$A12)</f>
        <v>45.130400000000002</v>
      </c>
      <c r="I12" s="1220">
        <f>4*'ARP Timing'!H13*VLOOKUP(I$1,'ARP Score'!$A$5:$M21,$A12)</f>
        <v>22.565200000000001</v>
      </c>
      <c r="J12" s="1220">
        <f>4*'ARP Timing'!I13*VLOOKUP(J$1,'ARP Score'!$A$5:$M21,$A12)</f>
        <v>15.652999999999999</v>
      </c>
      <c r="K12" s="1220">
        <f>4*'ARP Timing'!J13*VLOOKUP(K$1,'ARP Score'!$A$5:$M21,$A12)</f>
        <v>15.652999999999999</v>
      </c>
      <c r="L12" s="1220">
        <f>4*'ARP Timing'!K13*VLOOKUP(L$1,'ARP Score'!$A$5:$M21,$A12)</f>
        <v>15.652999999999999</v>
      </c>
      <c r="M12" s="1220">
        <f>4*'ARP Timing'!L13*VLOOKUP(M$1,'ARP Score'!$A$5:$M21,$A12)</f>
        <v>15.652999999999999</v>
      </c>
      <c r="N12" s="1220">
        <f>4*'ARP Timing'!M13*VLOOKUP(N$1,'ARP Score'!$A$5:$M21,$A12)</f>
        <v>3.9320000000000004</v>
      </c>
      <c r="O12" s="1220">
        <f>4*'ARP Timing'!N13*VLOOKUP(O$1,'ARP Score'!$A$5:$M21,$A12)</f>
        <v>3.9320000000000004</v>
      </c>
      <c r="P12" s="1220">
        <f>4*'ARP Timing'!O13*VLOOKUP(P$1,'ARP Score'!$A$5:$M21,$A12)</f>
        <v>3.9320000000000004</v>
      </c>
      <c r="Q12" s="1220">
        <f>4*'ARP Timing'!P13*VLOOKUP(Q$1,'ARP Score'!$A$5:$M21,$A12)</f>
        <v>3.9320000000000004</v>
      </c>
      <c r="R12" s="1220">
        <f>4*'ARP Timing'!Q13*VLOOKUP(R$1,'ARP Score'!$A$5:$M21,$A12)</f>
        <v>-0.74299999999999988</v>
      </c>
      <c r="S12" s="1220">
        <f>4*'ARP Timing'!R13*VLOOKUP(S$1,'ARP Score'!$A$5:$M21,$A12)</f>
        <v>-0.74299999999999988</v>
      </c>
      <c r="T12" s="1220">
        <f>4*'ARP Timing'!S13*VLOOKUP(T$1,'ARP Score'!$A$5:$M21,$A12)</f>
        <v>-0.74299999999999988</v>
      </c>
      <c r="U12" s="1220">
        <f>4*'ARP Timing'!T13*VLOOKUP(U$1,'ARP Score'!$A$5:$M21,$A12)</f>
        <v>-0.74299999999999988</v>
      </c>
      <c r="V12" s="1220">
        <f>4*'ARP Timing'!U13*VLOOKUP(V$1,'ARP Score'!$A$5:$M21,$A12)</f>
        <v>-21.606000000000002</v>
      </c>
      <c r="W12" s="1220">
        <f t="shared" si="0"/>
        <v>107.19400000000005</v>
      </c>
    </row>
    <row r="13" spans="1:23" x14ac:dyDescent="0.35">
      <c r="A13" s="759">
        <v>15</v>
      </c>
      <c r="B13" s="759" t="s">
        <v>769</v>
      </c>
      <c r="C13" s="1220">
        <f>0.3*'ARP Score'!$N5*4*'ARP Timing'!B6</f>
        <v>0</v>
      </c>
      <c r="D13" s="1220">
        <f>0.3*'ARP Score'!$N5*4*'ARP Timing'!C6</f>
        <v>1.7544</v>
      </c>
      <c r="E13" s="1220">
        <f>0.3*'ARP Score'!$N5*4*'ARP Timing'!D6</f>
        <v>2.3255999999999997</v>
      </c>
      <c r="F13" s="1220">
        <f>0.3*'ARP Score'!$N6*4*'ARP Timing'!E6</f>
        <v>1.5299999999999998</v>
      </c>
      <c r="G13" s="1220">
        <f>0.3*'ARP Score'!$N6*4*'ARP Timing'!F6</f>
        <v>1.5299999999999998</v>
      </c>
      <c r="H13" s="1220">
        <f>0.3*'ARP Score'!$N6*4*'ARP Timing'!G6</f>
        <v>1.5299999999999998</v>
      </c>
      <c r="I13" s="1220">
        <f>0.3*'ARP Score'!$N6*4*'ARP Timing'!H6</f>
        <v>1.5299999999999998</v>
      </c>
      <c r="J13" s="1220">
        <f>0.3*'ARP Score'!$N7*4*'ARP Timing'!I6</f>
        <v>0</v>
      </c>
      <c r="K13" s="1220">
        <f>0.3*'ARP Score'!$N7*4*'ARP Timing'!J6</f>
        <v>0</v>
      </c>
      <c r="L13" s="1220">
        <f>0.3*'ARP Score'!$N7*4*'ARP Timing'!K6</f>
        <v>0</v>
      </c>
      <c r="M13" s="1220">
        <f>0.3*'ARP Score'!$N7*4*'ARP Timing'!L6</f>
        <v>0</v>
      </c>
      <c r="N13" s="1220">
        <f>0.3*'ARP Score'!$N7*4*'ARP Timing'!M6</f>
        <v>0</v>
      </c>
      <c r="O13" s="1220">
        <f>0.3*'ARP Score'!$N7*4*'ARP Timing'!N6</f>
        <v>0</v>
      </c>
      <c r="P13" s="1220">
        <f>0.3*'ARP Score'!$N7*4*'ARP Timing'!O6</f>
        <v>0</v>
      </c>
      <c r="Q13" s="1220">
        <f>0.3*'ARP Score'!$N7*4*'ARP Timing'!P6</f>
        <v>0</v>
      </c>
      <c r="R13" s="1220">
        <f>0.3*'ARP Score'!$N7*4*'ARP Timing'!Q6</f>
        <v>0</v>
      </c>
      <c r="S13" s="1220">
        <f>0.3*'ARP Score'!$N7*4*'ARP Timing'!R6</f>
        <v>0</v>
      </c>
      <c r="T13" s="1220">
        <f>0.3*'ARP Score'!$N7*4*'ARP Timing'!S6</f>
        <v>0</v>
      </c>
      <c r="U13" s="1220">
        <f>0.3*'ARP Score'!$N7*4*'ARP Timing'!T6</f>
        <v>0</v>
      </c>
      <c r="V13" s="1220">
        <f>0.3*'ARP Score'!$N7*4*'ARP Timing'!U6</f>
        <v>0</v>
      </c>
      <c r="W13" s="1220">
        <f t="shared" si="0"/>
        <v>2.5499999999999994</v>
      </c>
    </row>
    <row r="14" spans="1:23" x14ac:dyDescent="0.35">
      <c r="A14" s="759">
        <v>14</v>
      </c>
      <c r="B14" s="759" t="s">
        <v>770</v>
      </c>
      <c r="C14" s="1220">
        <f>C13/0.3*0.2</f>
        <v>0</v>
      </c>
      <c r="D14" s="1220">
        <f t="shared" ref="D14:F14" si="1">D13/0.3*0.2</f>
        <v>1.1696</v>
      </c>
      <c r="E14" s="1220">
        <f t="shared" si="1"/>
        <v>1.5503999999999998</v>
      </c>
      <c r="F14" s="1220">
        <f t="shared" si="1"/>
        <v>1.02</v>
      </c>
      <c r="G14" s="1220">
        <f t="shared" ref="G14" si="2">G13/0.3*0.2</f>
        <v>1.02</v>
      </c>
      <c r="H14" s="1220">
        <f t="shared" ref="H14" si="3">H13/0.3*0.2</f>
        <v>1.02</v>
      </c>
      <c r="I14" s="1220">
        <f t="shared" ref="I14" si="4">I13/0.3*0.2</f>
        <v>1.02</v>
      </c>
      <c r="J14" s="1220">
        <f t="shared" ref="J14" si="5">J13/0.3*0.2</f>
        <v>0</v>
      </c>
      <c r="K14" s="1220">
        <f t="shared" ref="K14" si="6">K13/0.3*0.2</f>
        <v>0</v>
      </c>
      <c r="L14" s="1220">
        <f t="shared" ref="L14" si="7">L13/0.3*0.2</f>
        <v>0</v>
      </c>
      <c r="M14" s="1220">
        <f t="shared" ref="M14" si="8">M13/0.3*0.2</f>
        <v>0</v>
      </c>
      <c r="N14" s="1220">
        <f t="shared" ref="N14" si="9">N13/0.3*0.2</f>
        <v>0</v>
      </c>
      <c r="O14" s="1220">
        <f t="shared" ref="O14" si="10">O13/0.3*0.2</f>
        <v>0</v>
      </c>
      <c r="P14" s="1220">
        <f t="shared" ref="P14" si="11">P13/0.3*0.2</f>
        <v>0</v>
      </c>
      <c r="Q14" s="1220">
        <f t="shared" ref="Q14" si="12">Q13/0.3*0.2</f>
        <v>0</v>
      </c>
      <c r="R14" s="1220">
        <f t="shared" ref="R14" si="13">R13/0.3*0.2</f>
        <v>0</v>
      </c>
      <c r="S14" s="1220">
        <f t="shared" ref="S14" si="14">S13/0.3*0.2</f>
        <v>0</v>
      </c>
      <c r="T14" s="1220">
        <f t="shared" ref="T14" si="15">T13/0.3*0.2</f>
        <v>0</v>
      </c>
      <c r="U14" s="1220">
        <f t="shared" ref="U14" si="16">U13/0.3*0.2</f>
        <v>0</v>
      </c>
      <c r="V14" s="1220">
        <f t="shared" ref="V14" si="17">V13/0.3*0.2</f>
        <v>0</v>
      </c>
      <c r="W14" s="1220">
        <f t="shared" si="0"/>
        <v>1.6999999999999997</v>
      </c>
    </row>
    <row r="15" spans="1:23" x14ac:dyDescent="0.35">
      <c r="A15" s="759">
        <v>14</v>
      </c>
      <c r="B15" s="759" t="s">
        <v>471</v>
      </c>
      <c r="C15" s="1220">
        <f>C14/0.2*0.5</f>
        <v>0</v>
      </c>
      <c r="D15" s="1220">
        <f t="shared" ref="D15:F15" si="18">D14/0.2*0.5</f>
        <v>2.9239999999999999</v>
      </c>
      <c r="E15" s="1220">
        <f t="shared" si="18"/>
        <v>3.8759999999999994</v>
      </c>
      <c r="F15" s="1220">
        <f t="shared" si="18"/>
        <v>2.5499999999999998</v>
      </c>
      <c r="G15" s="1220">
        <f t="shared" ref="G15" si="19">G14/0.2*0.5</f>
        <v>2.5499999999999998</v>
      </c>
      <c r="H15" s="1220">
        <f t="shared" ref="H15" si="20">H14/0.2*0.5</f>
        <v>2.5499999999999998</v>
      </c>
      <c r="I15" s="1220">
        <f t="shared" ref="I15" si="21">I14/0.2*0.5</f>
        <v>2.5499999999999998</v>
      </c>
      <c r="J15" s="1220">
        <f t="shared" ref="J15" si="22">J14/0.2*0.5</f>
        <v>0</v>
      </c>
      <c r="K15" s="1220">
        <f t="shared" ref="K15" si="23">K14/0.2*0.5</f>
        <v>0</v>
      </c>
      <c r="L15" s="1220">
        <f t="shared" ref="L15" si="24">L14/0.2*0.5</f>
        <v>0</v>
      </c>
      <c r="M15" s="1220">
        <f t="shared" ref="M15" si="25">M14/0.2*0.5</f>
        <v>0</v>
      </c>
      <c r="N15" s="1220">
        <f t="shared" ref="N15" si="26">N14/0.2*0.5</f>
        <v>0</v>
      </c>
      <c r="O15" s="1220">
        <f t="shared" ref="O15" si="27">O14/0.2*0.5</f>
        <v>0</v>
      </c>
      <c r="P15" s="1220">
        <f t="shared" ref="P15" si="28">P14/0.2*0.5</f>
        <v>0</v>
      </c>
      <c r="Q15" s="1220">
        <f t="shared" ref="Q15" si="29">Q14/0.2*0.5</f>
        <v>0</v>
      </c>
      <c r="R15" s="1220">
        <f t="shared" ref="R15" si="30">R14/0.2*0.5</f>
        <v>0</v>
      </c>
      <c r="S15" s="1220">
        <f t="shared" ref="S15" si="31">S14/0.2*0.5</f>
        <v>0</v>
      </c>
      <c r="T15" s="1220">
        <f t="shared" ref="T15" si="32">T14/0.2*0.5</f>
        <v>0</v>
      </c>
      <c r="U15" s="1220">
        <f t="shared" ref="U15" si="33">U14/0.2*0.5</f>
        <v>0</v>
      </c>
      <c r="V15" s="1220">
        <f t="shared" ref="V15" si="34">V14/0.2*0.5</f>
        <v>0</v>
      </c>
      <c r="W15" s="1220">
        <f t="shared" si="0"/>
        <v>4.25</v>
      </c>
    </row>
    <row r="16" spans="1:23" x14ac:dyDescent="0.35">
      <c r="C16" s="1220"/>
      <c r="D16" s="1220"/>
      <c r="E16" s="1220"/>
      <c r="F16" s="1220"/>
      <c r="G16" s="1220"/>
      <c r="H16" s="1220"/>
      <c r="I16" s="1220"/>
      <c r="J16" s="1220"/>
      <c r="K16" s="1220"/>
      <c r="L16" s="1220"/>
      <c r="M16" s="1220"/>
      <c r="N16" s="1220"/>
      <c r="O16" s="1220"/>
      <c r="P16" s="1220"/>
      <c r="Q16" s="1220"/>
      <c r="R16" s="1220"/>
      <c r="S16" s="1220"/>
      <c r="T16" s="1220"/>
      <c r="U16" s="1220"/>
      <c r="V16" s="1220"/>
      <c r="W16" s="1220"/>
    </row>
    <row r="17" spans="1:23" x14ac:dyDescent="0.35">
      <c r="A17" s="759" t="s">
        <v>771</v>
      </c>
      <c r="C17" s="1220"/>
      <c r="D17" s="1220"/>
      <c r="E17" s="1220"/>
      <c r="F17" s="1220"/>
      <c r="G17" s="1220"/>
      <c r="H17" s="1220"/>
      <c r="I17" s="1220"/>
      <c r="J17" s="1220"/>
      <c r="K17" s="1220"/>
      <c r="L17" s="1220"/>
      <c r="M17" s="1220"/>
      <c r="N17" s="1220"/>
      <c r="O17" s="1220"/>
      <c r="P17" s="1220"/>
      <c r="Q17" s="1220"/>
      <c r="R17" s="1220"/>
      <c r="S17" s="1220"/>
      <c r="T17" s="1220"/>
      <c r="U17" s="1220"/>
      <c r="V17" s="1220"/>
      <c r="W17" s="1220"/>
    </row>
    <row r="18" spans="1:23" x14ac:dyDescent="0.35">
      <c r="B18" s="524" t="s">
        <v>143</v>
      </c>
      <c r="C18" s="1220">
        <f>'ARP Score'!$BG5/'ARP Score'!$G5*C6</f>
        <v>0</v>
      </c>
      <c r="D18" s="1220">
        <f>'ARP Score'!$BG5/'ARP Score'!$G5*D6</f>
        <v>2.2132800000000001</v>
      </c>
      <c r="E18" s="1220">
        <f>'ARP Score'!$BG5/'ARP Score'!$G5*E6</f>
        <v>10.082720000000002</v>
      </c>
      <c r="F18" s="1220">
        <f>'ARP Score'!$BG6/'ARP Score'!$G6*F6</f>
        <v>7.1439999999999992</v>
      </c>
      <c r="G18" s="1220">
        <f>'ARP Score'!$BG6/'ARP Score'!$G6*G6</f>
        <v>7.1439999999999992</v>
      </c>
      <c r="H18" s="1220">
        <f>'ARP Score'!$BG6/'ARP Score'!$G6*H6</f>
        <v>7.1439999999999992</v>
      </c>
      <c r="I18" s="1220">
        <f>'ARP Score'!$BG6/'ARP Score'!$G6*I6</f>
        <v>7.1439999999999992</v>
      </c>
      <c r="J18" s="1220">
        <f>'ARP Score'!$BG7/'ARP Score'!$G7*J6</f>
        <v>0</v>
      </c>
      <c r="K18" s="1220">
        <f>'ARP Score'!$BG7/'ARP Score'!$G7*K6</f>
        <v>0</v>
      </c>
      <c r="L18" s="1220">
        <f>'ARP Score'!$BG7/'ARP Score'!$G7*L6</f>
        <v>0</v>
      </c>
      <c r="M18" s="1220">
        <f>'ARP Score'!$BG7/'ARP Score'!$G7*M6</f>
        <v>0</v>
      </c>
      <c r="N18" s="1220"/>
      <c r="O18" s="1220"/>
      <c r="P18" s="1220"/>
      <c r="Q18" s="1220"/>
      <c r="R18" s="1220"/>
      <c r="S18" s="1220"/>
      <c r="T18" s="1220"/>
      <c r="U18" s="1220"/>
      <c r="V18" s="1220"/>
      <c r="W18" s="1220"/>
    </row>
    <row r="19" spans="1:23" x14ac:dyDescent="0.35">
      <c r="B19" s="524" t="s">
        <v>772</v>
      </c>
      <c r="C19" s="1220">
        <f>'ARP Score'!$BI5/'ARP Score'!$G5*C6</f>
        <v>0</v>
      </c>
      <c r="D19" s="1220">
        <f>'ARP Score'!$BI5/'ARP Score'!$G5*D6</f>
        <v>15.128640000000001</v>
      </c>
      <c r="E19" s="1220">
        <f>'ARP Score'!$BI5/'ARP Score'!$G5*E6</f>
        <v>68.919360000000012</v>
      </c>
      <c r="F19" s="1220">
        <f>'ARP Score'!$BI6/'ARP Score'!$G6*F6</f>
        <v>5.6120000000000001</v>
      </c>
      <c r="G19" s="1220">
        <f>'ARP Score'!$BI6/'ARP Score'!$G6*G6</f>
        <v>5.6120000000000001</v>
      </c>
      <c r="H19" s="1220">
        <f>'ARP Score'!$BI6/'ARP Score'!$G6*H6</f>
        <v>5.6120000000000001</v>
      </c>
      <c r="I19" s="1220">
        <f>'ARP Score'!$BI6/'ARP Score'!$G6*I6</f>
        <v>5.6120000000000001</v>
      </c>
      <c r="J19" s="1220">
        <f>'ARP Score'!$B7/'ARP Score'!$G7*J6</f>
        <v>0.48599999999999993</v>
      </c>
      <c r="K19" s="1220">
        <f>'ARP Score'!$B7/'ARP Score'!$G7*K6</f>
        <v>0.48599999999999993</v>
      </c>
      <c r="L19" s="1220">
        <f>'ARP Score'!$B7/'ARP Score'!$G7*L6</f>
        <v>0.48599999999999993</v>
      </c>
      <c r="M19" s="1220">
        <f>'ARP Score'!$B7/'ARP Score'!$G7*M6</f>
        <v>0.48599999999999993</v>
      </c>
      <c r="N19" s="1220">
        <f>'ARP Score'!$B8/'ARP Score'!$G8*N6</f>
        <v>0</v>
      </c>
      <c r="O19" s="1220"/>
      <c r="P19" s="1220"/>
      <c r="Q19" s="1220"/>
      <c r="R19" s="1220"/>
      <c r="S19" s="1220"/>
      <c r="T19" s="1220"/>
      <c r="U19" s="1220"/>
      <c r="V19" s="1220"/>
      <c r="W19" s="1220"/>
    </row>
    <row r="20" spans="1:23" x14ac:dyDescent="0.35">
      <c r="B20" s="524" t="s">
        <v>148</v>
      </c>
      <c r="C20" s="1220">
        <f>'ARP Score'!$BF5/'ARP Score'!$G5*C6</f>
        <v>0</v>
      </c>
      <c r="D20" s="1220">
        <f>'ARP Score'!$BF5/'ARP Score'!$G5*D6</f>
        <v>3.2479199999999997</v>
      </c>
      <c r="E20" s="1220">
        <f>'ARP Score'!$BF5/'ARP Score'!$G5*E6</f>
        <v>14.796080000000002</v>
      </c>
      <c r="F20" s="1220">
        <f>'ARP Score'!$BF6/'ARP Score'!$G6*F6</f>
        <v>1.7329999999999999</v>
      </c>
      <c r="G20" s="1220">
        <f>'ARP Score'!$BF6/'ARP Score'!$G6*G6</f>
        <v>1.7329999999999999</v>
      </c>
      <c r="H20" s="1220">
        <f>'ARP Score'!$BF6/'ARP Score'!$G6*H6</f>
        <v>1.7329999999999999</v>
      </c>
      <c r="I20" s="1220">
        <f>'ARP Score'!$BF6/'ARP Score'!$G6*I6</f>
        <v>1.7329999999999999</v>
      </c>
      <c r="J20" s="1220">
        <f>'ARP Score'!$BF7/'ARP Score'!$G7*J6</f>
        <v>0</v>
      </c>
      <c r="K20" s="1220">
        <f>'ARP Score'!$BF7/'ARP Score'!$G7*K6</f>
        <v>0</v>
      </c>
      <c r="L20" s="1220">
        <f>'ARP Score'!$BF7/'ARP Score'!$G7*L6</f>
        <v>0</v>
      </c>
      <c r="M20" s="1220">
        <f>'ARP Score'!$BF7/'ARP Score'!$G7*M6</f>
        <v>0</v>
      </c>
      <c r="N20" s="1220"/>
      <c r="O20" s="1220"/>
      <c r="P20" s="1220"/>
      <c r="Q20" s="1220"/>
      <c r="R20" s="1220"/>
      <c r="S20" s="1220"/>
      <c r="T20" s="1220"/>
      <c r="U20" s="1220"/>
      <c r="V20" s="1220"/>
      <c r="W20" s="1220"/>
    </row>
    <row r="21" spans="1:23" x14ac:dyDescent="0.35">
      <c r="B21" s="761" t="s">
        <v>414</v>
      </c>
      <c r="C21" s="1220">
        <f>15/40*(C6*'ARP Score'!$BD5/'ARP Score'!$G5)</f>
        <v>0</v>
      </c>
      <c r="D21" s="1220">
        <f>15/40*(D6*('ARP Score'!$BD5+'ARP Score'!$BE5)/'ARP Score'!$G5)</f>
        <v>13.2921</v>
      </c>
      <c r="E21" s="1220">
        <f>15/40*(E6*('ARP Score'!$BD5+'ARP Score'!$BE5)/'ARP Score'!$G5)</f>
        <v>60.552900000000008</v>
      </c>
      <c r="F21" s="1220">
        <f>15/40*(F6*('ARP Score'!$BD6+'ARP Score'!$BE6)/'ARP Score'!$G6)</f>
        <v>1.0687500000000001</v>
      </c>
      <c r="G21" s="1220">
        <f>15/40*(G6*('ARP Score'!$BD6+'ARP Score'!$BE6)/'ARP Score'!$G6)</f>
        <v>1.0687500000000001</v>
      </c>
      <c r="H21" s="1220">
        <f>15/40*(H6*('ARP Score'!$BD6+'ARP Score'!$BE6)/'ARP Score'!$G6)</f>
        <v>1.0687500000000001</v>
      </c>
      <c r="I21" s="1220">
        <f>15/40*(I6*('ARP Score'!$BD6+'ARP Score'!$BE6)/'ARP Score'!$G6)</f>
        <v>1.0687500000000001</v>
      </c>
      <c r="J21" s="1220">
        <f>15/40*(J6*('ARP Score'!$BD7+'ARP Score'!$BE7)/'ARP Score'!$G7)</f>
        <v>0.78750000000000009</v>
      </c>
      <c r="K21" s="1220">
        <f>15/40*(K6*('ARP Score'!$BD7+'ARP Score'!$BE7)/'ARP Score'!$G7)</f>
        <v>0.78750000000000009</v>
      </c>
      <c r="L21" s="1220">
        <f>15/40*(L6*('ARP Score'!$BD7+'ARP Score'!$BE7)/'ARP Score'!$G7)</f>
        <v>0.78750000000000009</v>
      </c>
      <c r="M21" s="1220">
        <f>15/40*(M6*('ARP Score'!$BD7+'ARP Score'!$BE7)/'ARP Score'!$G7)</f>
        <v>0.78750000000000009</v>
      </c>
      <c r="N21" s="1220"/>
      <c r="O21" s="1220"/>
      <c r="P21" s="1220"/>
      <c r="Q21" s="1220"/>
      <c r="R21" s="1220"/>
      <c r="S21" s="1220"/>
      <c r="T21" s="1220"/>
      <c r="U21" s="1220"/>
      <c r="V21" s="1220"/>
      <c r="W21" s="1220"/>
    </row>
    <row r="22" spans="1:23" x14ac:dyDescent="0.35">
      <c r="B22" s="761" t="s">
        <v>773</v>
      </c>
      <c r="C22" s="1220"/>
      <c r="D22" s="1220">
        <f>D21/15*25</f>
        <v>22.153499999999998</v>
      </c>
      <c r="E22" s="1220">
        <f>E21/15*25</f>
        <v>100.92150000000002</v>
      </c>
      <c r="F22" s="1220">
        <f>F21/15*25</f>
        <v>1.7812500000000002</v>
      </c>
      <c r="G22" s="1220">
        <f>G21/15*25</f>
        <v>1.7812500000000002</v>
      </c>
      <c r="H22" s="1220">
        <f t="shared" ref="H22:J22" si="35">H21/15*25</f>
        <v>1.7812500000000002</v>
      </c>
      <c r="I22" s="1220">
        <f t="shared" si="35"/>
        <v>1.7812500000000002</v>
      </c>
      <c r="J22" s="1220">
        <f t="shared" si="35"/>
        <v>1.3125000000000002</v>
      </c>
      <c r="K22" s="1220">
        <f t="shared" ref="K22" si="36">K21/15*25</f>
        <v>1.3125000000000002</v>
      </c>
      <c r="L22" s="1220">
        <f t="shared" ref="L22" si="37">L21/15*25</f>
        <v>1.3125000000000002</v>
      </c>
      <c r="M22" s="1220">
        <f t="shared" ref="M22" si="38">M21/15*25</f>
        <v>1.3125000000000002</v>
      </c>
      <c r="N22" s="1220"/>
      <c r="O22" s="1220"/>
      <c r="P22" s="1220"/>
      <c r="Q22" s="1220"/>
      <c r="R22" s="1220"/>
      <c r="S22" s="1220"/>
      <c r="T22" s="1220"/>
      <c r="U22" s="1220"/>
      <c r="V22" s="1220"/>
      <c r="W22" s="1220"/>
    </row>
    <row r="23" spans="1:23" x14ac:dyDescent="0.35">
      <c r="B23" s="524" t="s">
        <v>426</v>
      </c>
      <c r="C23" s="1220">
        <f>'ARP Score'!$BB5/'ARP Score'!$G5*C6</f>
        <v>0</v>
      </c>
      <c r="D23" s="1220">
        <f>'ARP Score'!$BB5/'ARP Score'!$G5*D6</f>
        <v>2.9519999999999995</v>
      </c>
      <c r="E23" s="1220">
        <f>'ARP Score'!$BB5/'ARP Score'!$G5*E6</f>
        <v>13.448</v>
      </c>
      <c r="F23" s="1220">
        <f>'ARP Score'!$BB6/'ARP Score'!$G6*F6</f>
        <v>11.3</v>
      </c>
      <c r="G23" s="1220">
        <f>'ARP Score'!$BB6/'ARP Score'!$G6*G6</f>
        <v>11.3</v>
      </c>
      <c r="H23" s="1220">
        <f>'ARP Score'!$BB6/'ARP Score'!$G6*H6</f>
        <v>11.3</v>
      </c>
      <c r="I23" s="1220">
        <f>'ARP Score'!$BB6/'ARP Score'!$G6*I6</f>
        <v>11.3</v>
      </c>
      <c r="J23" s="1220">
        <f>'ARP Score'!$BB7/'ARP Score'!$G7*J6</f>
        <v>8.4</v>
      </c>
      <c r="K23" s="1220">
        <f>'ARP Score'!$BB7/'ARP Score'!$G7*K6</f>
        <v>8.4</v>
      </c>
      <c r="L23" s="1220">
        <f>'ARP Score'!$BB7/'ARP Score'!$G7*L6</f>
        <v>8.4</v>
      </c>
      <c r="M23" s="1220">
        <f>'ARP Score'!$BB7/'ARP Score'!$G7*M6</f>
        <v>8.4</v>
      </c>
      <c r="N23" s="1220">
        <f>'ARP Score'!$BB8/'ARP Score'!$G8*N6</f>
        <v>0.2</v>
      </c>
      <c r="O23" s="1220">
        <f>'ARP Score'!$BB8/'ARP Score'!$G8*O6</f>
        <v>0.2</v>
      </c>
      <c r="P23" s="1220">
        <f>'ARP Score'!$BB8/'ARP Score'!$G8*P6</f>
        <v>0.2</v>
      </c>
      <c r="Q23" s="1220">
        <f>'ARP Score'!$BB8/'ARP Score'!$G8*Q6</f>
        <v>0.2</v>
      </c>
      <c r="R23" s="1220"/>
      <c r="S23" s="1220"/>
      <c r="T23" s="1220"/>
      <c r="U23" s="1220"/>
      <c r="V23" s="1220"/>
      <c r="W23" s="1220"/>
    </row>
    <row r="24" spans="1:23" x14ac:dyDescent="0.35">
      <c r="B24" s="524" t="s">
        <v>427</v>
      </c>
      <c r="C24" s="1220">
        <f>'ARP Score'!$BH5/'ARP Score'!$G5*C6</f>
        <v>0</v>
      </c>
      <c r="D24" s="1220">
        <f>'ARP Score'!$BH5/'ARP Score'!$G5*D6</f>
        <v>-0.20447999999999997</v>
      </c>
      <c r="E24" s="1220">
        <f>'ARP Score'!$BH5/'ARP Score'!$G5*E6</f>
        <v>-0.93152000000000001</v>
      </c>
      <c r="F24" s="1220">
        <f>'ARP Score'!$BH6/'ARP Score'!$G6*F6</f>
        <v>81.608999999999995</v>
      </c>
      <c r="G24" s="1220">
        <f>'ARP Score'!$BH6/'ARP Score'!$G6*G6</f>
        <v>81.608999999999995</v>
      </c>
      <c r="H24" s="1220">
        <f>'ARP Score'!$BH6/'ARP Score'!$G6*H6</f>
        <v>81.608999999999995</v>
      </c>
      <c r="I24" s="1220">
        <f>'ARP Score'!$BH6/'ARP Score'!$G6*I6</f>
        <v>81.608999999999995</v>
      </c>
      <c r="J24" s="1220">
        <f>'ARP Score'!$BH7/'ARP Score'!$G7*J6</f>
        <v>1.3759999999999999</v>
      </c>
      <c r="K24" s="1220">
        <f>'ARP Score'!$BH7/'ARP Score'!$G7*K6</f>
        <v>1.3759999999999999</v>
      </c>
      <c r="L24" s="1220">
        <f>'ARP Score'!$BH7/'ARP Score'!$G7*L6</f>
        <v>1.3759999999999999</v>
      </c>
      <c r="M24" s="1220">
        <f>'ARP Score'!$BH7/'ARP Score'!$G7*M6</f>
        <v>1.3759999999999999</v>
      </c>
      <c r="N24" s="1220">
        <f>'ARP Score'!$BH8/'ARP Score'!$G8*N6</f>
        <v>-0.87500000000000011</v>
      </c>
      <c r="O24" s="1220">
        <f>'ARP Score'!$BH8/'ARP Score'!$G8*O6</f>
        <v>-0.87500000000000011</v>
      </c>
      <c r="P24" s="1220">
        <f>'ARP Score'!$BH8/'ARP Score'!$G8*P6</f>
        <v>-0.87500000000000011</v>
      </c>
      <c r="Q24" s="1220">
        <f>'ARP Score'!$BH8/'ARP Score'!$G8*Q6</f>
        <v>-0.87500000000000011</v>
      </c>
      <c r="R24" s="1220"/>
      <c r="S24" s="1220"/>
      <c r="T24" s="1220"/>
      <c r="U24" s="1220"/>
      <c r="V24" s="1220"/>
      <c r="W24" s="1220"/>
    </row>
    <row r="25" spans="1:23" x14ac:dyDescent="0.35">
      <c r="B25" s="524" t="s">
        <v>312</v>
      </c>
      <c r="C25" s="1220">
        <f>SUM(C18:C24)</f>
        <v>0</v>
      </c>
      <c r="D25" s="1220">
        <f t="shared" ref="D25:Q25" si="39">SUM(D18:D24)</f>
        <v>58.782959999999996</v>
      </c>
      <c r="E25" s="1220">
        <f t="shared" si="39"/>
        <v>267.78904000000006</v>
      </c>
      <c r="F25" s="1220">
        <f t="shared" si="39"/>
        <v>110.24799999999999</v>
      </c>
      <c r="G25" s="1220">
        <f t="shared" si="39"/>
        <v>110.24799999999999</v>
      </c>
      <c r="H25" s="1220">
        <f t="shared" si="39"/>
        <v>110.24799999999999</v>
      </c>
      <c r="I25" s="1220">
        <f t="shared" si="39"/>
        <v>110.24799999999999</v>
      </c>
      <c r="J25" s="1220">
        <f t="shared" si="39"/>
        <v>12.362</v>
      </c>
      <c r="K25" s="1220">
        <f t="shared" si="39"/>
        <v>12.362</v>
      </c>
      <c r="L25" s="1220">
        <f t="shared" si="39"/>
        <v>12.362</v>
      </c>
      <c r="M25" s="1220">
        <f t="shared" si="39"/>
        <v>12.362</v>
      </c>
      <c r="N25" s="1220">
        <f t="shared" si="39"/>
        <v>-0.67500000000000004</v>
      </c>
      <c r="O25" s="1220">
        <f t="shared" si="39"/>
        <v>-0.67500000000000004</v>
      </c>
      <c r="P25" s="1220">
        <f t="shared" si="39"/>
        <v>-0.67500000000000004</v>
      </c>
      <c r="Q25" s="1220">
        <f t="shared" si="39"/>
        <v>-0.67500000000000004</v>
      </c>
      <c r="R25" s="1220"/>
      <c r="S25" s="1220"/>
      <c r="T25" s="1220"/>
      <c r="U25" s="1220"/>
      <c r="V25" s="1220"/>
      <c r="W25" s="1220"/>
    </row>
    <row r="26" spans="1:23" x14ac:dyDescent="0.35">
      <c r="D26" s="1044">
        <f>D6-D25</f>
        <v>0</v>
      </c>
      <c r="E26" s="1044">
        <f t="shared" ref="E26:M26" si="40">E6-E25</f>
        <v>0</v>
      </c>
      <c r="F26" s="1044">
        <f t="shared" si="40"/>
        <v>0</v>
      </c>
      <c r="G26" s="1044">
        <f t="shared" si="40"/>
        <v>0</v>
      </c>
      <c r="H26" s="1044">
        <f t="shared" si="40"/>
        <v>0</v>
      </c>
      <c r="I26" s="1044">
        <f t="shared" si="40"/>
        <v>0</v>
      </c>
      <c r="J26" s="1044">
        <f t="shared" si="40"/>
        <v>0.36400000000000077</v>
      </c>
      <c r="K26" s="1044">
        <f t="shared" si="40"/>
        <v>0.36400000000000077</v>
      </c>
      <c r="L26" s="1044">
        <f t="shared" si="40"/>
        <v>0.36400000000000077</v>
      </c>
      <c r="M26" s="1044">
        <f t="shared" si="40"/>
        <v>0.36400000000000077</v>
      </c>
    </row>
    <row r="27" spans="1:23" x14ac:dyDescent="0.35">
      <c r="B27" s="759" t="s">
        <v>774</v>
      </c>
      <c r="D27" s="636" t="s">
        <v>251</v>
      </c>
      <c r="E27" s="636" t="s">
        <v>180</v>
      </c>
      <c r="F27" s="636" t="s">
        <v>181</v>
      </c>
      <c r="G27" s="636" t="s">
        <v>182</v>
      </c>
      <c r="H27" s="636" t="s">
        <v>183</v>
      </c>
      <c r="I27" s="636" t="s">
        <v>184</v>
      </c>
      <c r="J27" s="636" t="s">
        <v>185</v>
      </c>
      <c r="K27" s="636" t="s">
        <v>186</v>
      </c>
      <c r="L27" s="636" t="s">
        <v>187</v>
      </c>
      <c r="M27" s="636" t="s">
        <v>188</v>
      </c>
      <c r="N27" s="636" t="s">
        <v>189</v>
      </c>
      <c r="O27" s="636" t="s">
        <v>190</v>
      </c>
      <c r="P27" s="636" t="s">
        <v>191</v>
      </c>
      <c r="Q27" s="636" t="s">
        <v>175</v>
      </c>
      <c r="R27" s="636" t="s">
        <v>176</v>
      </c>
      <c r="S27" s="636" t="s">
        <v>177</v>
      </c>
      <c r="T27" s="636" t="s">
        <v>765</v>
      </c>
      <c r="U27" s="636" t="s">
        <v>766</v>
      </c>
      <c r="V27" s="636" t="s">
        <v>767</v>
      </c>
    </row>
    <row r="28" spans="1:23" x14ac:dyDescent="0.35">
      <c r="B28" s="33"/>
      <c r="C28" s="1044" t="s">
        <v>312</v>
      </c>
      <c r="D28" s="1222">
        <f>SUM(D29:D43)</f>
        <v>5.8765000000000009</v>
      </c>
      <c r="E28" s="1222">
        <f t="shared" ref="E28:V28" si="41">SUM(E29:E43)</f>
        <v>11.753000000000002</v>
      </c>
      <c r="F28" s="1222">
        <f t="shared" si="41"/>
        <v>15.762320000000003</v>
      </c>
      <c r="G28" s="1222">
        <f t="shared" si="41"/>
        <v>19.771640000000005</v>
      </c>
      <c r="H28" s="1222">
        <f t="shared" si="41"/>
        <v>23.812229000000006</v>
      </c>
      <c r="I28" s="1222">
        <f t="shared" si="41"/>
        <v>27.852818000000006</v>
      </c>
      <c r="J28" s="1222">
        <f t="shared" si="41"/>
        <v>30.517977000000005</v>
      </c>
      <c r="K28" s="1222">
        <f t="shared" si="41"/>
        <v>33.183136000000005</v>
      </c>
      <c r="L28" s="1222">
        <f t="shared" si="41"/>
        <v>36.260924000000003</v>
      </c>
      <c r="M28" s="1222">
        <f t="shared" si="41"/>
        <v>39.338711999999994</v>
      </c>
      <c r="N28" s="1222">
        <f t="shared" si="41"/>
        <v>40.928439999999995</v>
      </c>
      <c r="O28" s="1222">
        <f t="shared" si="41"/>
        <v>42.518167999999996</v>
      </c>
      <c r="P28" s="1222">
        <f t="shared" si="41"/>
        <v>44.428388999999996</v>
      </c>
      <c r="Q28" s="1222">
        <f t="shared" si="41"/>
        <v>46.338610000000003</v>
      </c>
      <c r="R28" s="1222">
        <f t="shared" si="41"/>
        <v>47.279744500000007</v>
      </c>
      <c r="S28" s="1222">
        <f t="shared" si="41"/>
        <v>46.283419000000009</v>
      </c>
      <c r="T28" s="1222">
        <f t="shared" si="41"/>
        <v>45.578489500000011</v>
      </c>
      <c r="U28" s="1222">
        <f t="shared" si="41"/>
        <v>45.454798000000011</v>
      </c>
      <c r="V28" s="1222">
        <f t="shared" si="41"/>
        <v>45.360580000000013</v>
      </c>
    </row>
    <row r="29" spans="1:23" x14ac:dyDescent="0.35">
      <c r="A29" s="759">
        <v>2021</v>
      </c>
      <c r="B29" s="33" t="s">
        <v>775</v>
      </c>
      <c r="C29" s="1044"/>
      <c r="D29" s="759">
        <f>($D$9+$D$10)*'ARP Timing'!B$16</f>
        <v>5.8765000000000009</v>
      </c>
      <c r="E29" s="759">
        <f>($D$9+$D$10)*'ARP Timing'!C$16</f>
        <v>5.8765000000000009</v>
      </c>
      <c r="F29" s="759">
        <f>($D$9+$D$10)*'ARP Timing'!D$16</f>
        <v>4.11355</v>
      </c>
      <c r="G29" s="759">
        <f>($D$9+$D$10)*'ARP Timing'!E$16</f>
        <v>4.11355</v>
      </c>
      <c r="H29" s="759">
        <f>($D$9+$D$10)*'ARP Timing'!F$16</f>
        <v>4.11355</v>
      </c>
      <c r="I29" s="759">
        <f>($D$9+$D$10)*'ARP Timing'!G$16</f>
        <v>4.11355</v>
      </c>
      <c r="J29" s="759">
        <f>($D$9+$D$10)*'ARP Timing'!H$16</f>
        <v>4.11355</v>
      </c>
      <c r="K29" s="759">
        <f>($D$9+$D$10)*'ARP Timing'!I$16</f>
        <v>4.11355</v>
      </c>
      <c r="L29" s="759">
        <f>($D$9+$D$10)*'ARP Timing'!J$16</f>
        <v>4.11355</v>
      </c>
      <c r="M29" s="759">
        <f>($D$9+$D$10)*'ARP Timing'!K$16</f>
        <v>4.11355</v>
      </c>
      <c r="N29" s="759">
        <f>($D$9+$D$10)*'ARP Timing'!L$16</f>
        <v>4.11355</v>
      </c>
      <c r="O29" s="759">
        <f>($D$9+$D$10)*'ARP Timing'!M$16</f>
        <v>4.11355</v>
      </c>
      <c r="P29" s="759">
        <f>($D$9+$D$10)*'ARP Timing'!N$16</f>
        <v>3.987625</v>
      </c>
      <c r="Q29" s="759">
        <f>($D$9+$D$10)*'ARP Timing'!O$16</f>
        <v>3.987625</v>
      </c>
      <c r="R29" s="759">
        <f>($D$9+$D$10)*'ARP Timing'!P$16</f>
        <v>3.987625</v>
      </c>
      <c r="S29" s="759">
        <f>($D$9+$D$10)*'ARP Timing'!Q$16</f>
        <v>3.987625</v>
      </c>
      <c r="T29" s="759">
        <f>($D$9+$D$10)*'ARP Timing'!R$16</f>
        <v>3.987625</v>
      </c>
      <c r="U29" s="759">
        <f>($D$9+$D$10)*'ARP Timing'!S$16</f>
        <v>3.987625</v>
      </c>
      <c r="V29" s="759">
        <f>($D$9+$D$10)*'ARP Timing'!T$16</f>
        <v>3.987625</v>
      </c>
    </row>
    <row r="30" spans="1:23" x14ac:dyDescent="0.35">
      <c r="B30" s="33" t="s">
        <v>331</v>
      </c>
      <c r="C30" s="1044"/>
      <c r="E30" s="759">
        <f>($E$9+$E$10)*'ARP Timing'!B$16</f>
        <v>5.8765000000000009</v>
      </c>
      <c r="F30" s="759">
        <f>($E$9+$E$10)*'ARP Timing'!C$16</f>
        <v>5.8765000000000009</v>
      </c>
      <c r="G30" s="759">
        <f>($E$9+$E$10)*'ARP Timing'!D$16</f>
        <v>4.11355</v>
      </c>
      <c r="H30" s="759">
        <f>($E$9+$E$10)*'ARP Timing'!E$16</f>
        <v>4.11355</v>
      </c>
      <c r="I30" s="759">
        <f>($E$9+$E$10)*'ARP Timing'!F$16</f>
        <v>4.11355</v>
      </c>
      <c r="J30" s="759">
        <f>($E$9+$E$10)*'ARP Timing'!G$16</f>
        <v>4.11355</v>
      </c>
      <c r="K30" s="759">
        <f>($E$9+$E$10)*'ARP Timing'!H$16</f>
        <v>4.11355</v>
      </c>
      <c r="L30" s="759">
        <f>($E$9+$E$10)*'ARP Timing'!I$16</f>
        <v>4.11355</v>
      </c>
      <c r="M30" s="759">
        <f>($E$9+$E$10)*'ARP Timing'!J$16</f>
        <v>4.11355</v>
      </c>
      <c r="N30" s="759">
        <f>($E$9+$E$10)*'ARP Timing'!K$16</f>
        <v>4.11355</v>
      </c>
      <c r="O30" s="759">
        <f>($E$9+$E$10)*'ARP Timing'!L$16</f>
        <v>4.11355</v>
      </c>
      <c r="P30" s="759">
        <f>($E$9+$E$10)*'ARP Timing'!M$16</f>
        <v>4.11355</v>
      </c>
      <c r="Q30" s="759">
        <f>($E$9+$E$10)*'ARP Timing'!N$16</f>
        <v>3.987625</v>
      </c>
      <c r="R30" s="759">
        <f>($E$9+$E$10)*'ARP Timing'!O$16</f>
        <v>3.987625</v>
      </c>
      <c r="S30" s="759">
        <f>($E$9+$E$10)*'ARP Timing'!P$16</f>
        <v>3.987625</v>
      </c>
      <c r="T30" s="759">
        <f>($E$9+$E$10)*'ARP Timing'!Q$16</f>
        <v>3.987625</v>
      </c>
      <c r="U30" s="759">
        <f>($E$9+$E$10)*'ARP Timing'!R$16</f>
        <v>3.987625</v>
      </c>
      <c r="V30" s="759">
        <f>($E$9+$E$10)*'ARP Timing'!S$16</f>
        <v>3.987625</v>
      </c>
    </row>
    <row r="31" spans="1:23" x14ac:dyDescent="0.35">
      <c r="B31" s="33" t="s">
        <v>776</v>
      </c>
      <c r="C31" s="1044"/>
      <c r="F31" s="759">
        <f>($F$9+$F$10)*'ARP Timing'!B$16</f>
        <v>5.7722700000000016</v>
      </c>
      <c r="G31" s="759">
        <f>($F$9+$F$10)*'ARP Timing'!C$16</f>
        <v>5.7722700000000016</v>
      </c>
      <c r="H31" s="759">
        <f>($F$9+$F$10)*'ARP Timing'!D$16</f>
        <v>4.0405890000000007</v>
      </c>
      <c r="I31" s="759">
        <f>($F$9+$F$10)*'ARP Timing'!E$16</f>
        <v>4.0405890000000007</v>
      </c>
      <c r="J31" s="759">
        <f>($F$9+$F$10)*'ARP Timing'!F$16</f>
        <v>4.0405890000000007</v>
      </c>
      <c r="K31" s="759">
        <f>($F$9+$F$10)*'ARP Timing'!G$16</f>
        <v>4.0405890000000007</v>
      </c>
      <c r="L31" s="759">
        <f>($F$9+$F$10)*'ARP Timing'!H$16</f>
        <v>4.0405890000000007</v>
      </c>
      <c r="M31" s="759">
        <f>($F$9+$F$10)*'ARP Timing'!I$16</f>
        <v>4.0405890000000007</v>
      </c>
      <c r="N31" s="759">
        <f>($F$9+$F$10)*'ARP Timing'!J$16</f>
        <v>4.0405890000000007</v>
      </c>
      <c r="O31" s="759">
        <f>($F$9+$F$10)*'ARP Timing'!K$16</f>
        <v>4.0405890000000007</v>
      </c>
      <c r="P31" s="759">
        <f>($F$9+$F$10)*'ARP Timing'!L$16</f>
        <v>4.0405890000000007</v>
      </c>
      <c r="Q31" s="759">
        <f>($F$9+$F$10)*'ARP Timing'!M$16</f>
        <v>4.0405890000000007</v>
      </c>
      <c r="R31" s="759">
        <f>($F$9+$F$10)*'ARP Timing'!N$16</f>
        <v>3.9168975000000006</v>
      </c>
      <c r="S31" s="759">
        <f>($F$9+$F$10)*'ARP Timing'!O$16</f>
        <v>3.9168975000000006</v>
      </c>
      <c r="T31" s="759">
        <f>($F$9+$F$10)*'ARP Timing'!P$16</f>
        <v>3.9168975000000006</v>
      </c>
      <c r="U31" s="759">
        <f>($F$9+$F$10)*'ARP Timing'!Q$16</f>
        <v>3.9168975000000006</v>
      </c>
      <c r="V31" s="759">
        <f>($F$9+$F$10)*'ARP Timing'!R$16</f>
        <v>3.9168975000000006</v>
      </c>
    </row>
    <row r="32" spans="1:23" x14ac:dyDescent="0.35">
      <c r="A32" s="759">
        <v>2022</v>
      </c>
      <c r="B32" s="33" t="s">
        <v>240</v>
      </c>
      <c r="C32" s="1044"/>
      <c r="G32" s="759">
        <f>($G$9+$G$10)*'ARP Timing'!B$16</f>
        <v>5.7722700000000016</v>
      </c>
      <c r="H32" s="759">
        <f>($G$9+$G$10)*'ARP Timing'!C$16</f>
        <v>5.7722700000000016</v>
      </c>
      <c r="I32" s="759">
        <f>($G$9+$G$10)*'ARP Timing'!D$16</f>
        <v>4.0405890000000007</v>
      </c>
      <c r="J32" s="759">
        <f>($G$9+$G$10)*'ARP Timing'!E$16</f>
        <v>4.0405890000000007</v>
      </c>
      <c r="K32" s="759">
        <f>($G$9+$G$10)*'ARP Timing'!F$16</f>
        <v>4.0405890000000007</v>
      </c>
      <c r="L32" s="759">
        <f>($G$9+$G$10)*'ARP Timing'!G$16</f>
        <v>4.0405890000000007</v>
      </c>
      <c r="M32" s="759">
        <f>($G$9+$G$10)*'ARP Timing'!H$16</f>
        <v>4.0405890000000007</v>
      </c>
      <c r="N32" s="759">
        <f>($G$9+$G$10)*'ARP Timing'!I$16</f>
        <v>4.0405890000000007</v>
      </c>
      <c r="O32" s="759">
        <f>($G$9+$G$10)*'ARP Timing'!J$16</f>
        <v>4.0405890000000007</v>
      </c>
      <c r="P32" s="759">
        <f>($G$9+$G$10)*'ARP Timing'!K$16</f>
        <v>4.0405890000000007</v>
      </c>
      <c r="Q32" s="759">
        <f>($G$9+$G$10)*'ARP Timing'!L$16</f>
        <v>4.0405890000000007</v>
      </c>
      <c r="R32" s="759">
        <f>($G$9+$G$10)*'ARP Timing'!M$16</f>
        <v>4.0405890000000007</v>
      </c>
      <c r="S32" s="759">
        <f>($G$9+$G$10)*'ARP Timing'!N$16</f>
        <v>3.9168975000000006</v>
      </c>
      <c r="T32" s="759">
        <f>($G$9+$G$10)*'ARP Timing'!O$16</f>
        <v>3.9168975000000006</v>
      </c>
      <c r="U32" s="759">
        <f>($G$9+$G$10)*'ARP Timing'!P$16</f>
        <v>3.9168975000000006</v>
      </c>
      <c r="V32" s="759">
        <f>($G$9+$G$10)*'ARP Timing'!Q$16</f>
        <v>3.9168975000000006</v>
      </c>
    </row>
    <row r="33" spans="1:23" x14ac:dyDescent="0.35">
      <c r="B33" s="33" t="s">
        <v>241</v>
      </c>
      <c r="C33" s="1044"/>
      <c r="H33" s="759">
        <f>($H$9+$H$10)*'ARP Timing'!B$16</f>
        <v>5.7722700000000016</v>
      </c>
      <c r="I33" s="759">
        <f>($H$9+$H$10)*'ARP Timing'!C$16</f>
        <v>5.7722700000000016</v>
      </c>
      <c r="J33" s="759">
        <f>($H$9+$H$10)*'ARP Timing'!D$16</f>
        <v>4.0405890000000007</v>
      </c>
      <c r="K33" s="759">
        <f>($H$9+$H$10)*'ARP Timing'!E$16</f>
        <v>4.0405890000000007</v>
      </c>
      <c r="L33" s="759">
        <f>($H$9+$H$10)*'ARP Timing'!F$16</f>
        <v>4.0405890000000007</v>
      </c>
      <c r="M33" s="759">
        <f>($H$9+$H$10)*'ARP Timing'!G$16</f>
        <v>4.0405890000000007</v>
      </c>
      <c r="N33" s="759">
        <f>($H$9+$H$10)*'ARP Timing'!H$16</f>
        <v>4.0405890000000007</v>
      </c>
      <c r="O33" s="759">
        <f>($H$9+$H$10)*'ARP Timing'!I$16</f>
        <v>4.0405890000000007</v>
      </c>
      <c r="P33" s="759">
        <f>($H$9+$H$10)*'ARP Timing'!J$16</f>
        <v>4.0405890000000007</v>
      </c>
      <c r="Q33" s="759">
        <f>($H$9+$H$10)*'ARP Timing'!K$16</f>
        <v>4.0405890000000007</v>
      </c>
      <c r="R33" s="759">
        <f>($H$9+$H$10)*'ARP Timing'!L$16</f>
        <v>4.0405890000000007</v>
      </c>
      <c r="S33" s="759">
        <f>($H$9+$H$10)*'ARP Timing'!M$16</f>
        <v>4.0405890000000007</v>
      </c>
      <c r="T33" s="759">
        <f>($H$9+$H$10)*'ARP Timing'!N$16</f>
        <v>3.9168975000000006</v>
      </c>
      <c r="U33" s="759">
        <f>($H$9+$H$10)*'ARP Timing'!O$16</f>
        <v>3.9168975000000006</v>
      </c>
      <c r="V33" s="759">
        <f>($H$9+$H$10)*'ARP Timing'!P$16</f>
        <v>3.9168975000000006</v>
      </c>
    </row>
    <row r="34" spans="1:23" x14ac:dyDescent="0.35">
      <c r="B34" s="33" t="s">
        <v>331</v>
      </c>
      <c r="C34" s="1044"/>
      <c r="H34" s="1044"/>
      <c r="I34" s="759">
        <f>($I$9+$I10)*'ARP Timing'!B$16</f>
        <v>5.7722700000000016</v>
      </c>
      <c r="J34" s="759">
        <f>($I$9+$I10)*'ARP Timing'!C$16</f>
        <v>5.7722700000000016</v>
      </c>
      <c r="K34" s="759">
        <f>($I$9+$I10)*'ARP Timing'!D$16</f>
        <v>4.0405890000000007</v>
      </c>
      <c r="L34" s="759">
        <f>($I$9+$I10)*'ARP Timing'!E$16</f>
        <v>4.0405890000000007</v>
      </c>
      <c r="M34" s="759">
        <f>($I$9+$I10)*'ARP Timing'!F$16</f>
        <v>4.0405890000000007</v>
      </c>
      <c r="N34" s="759">
        <f>($I$9+$I10)*'ARP Timing'!G$16</f>
        <v>4.0405890000000007</v>
      </c>
      <c r="O34" s="759">
        <f>($I$9+$I10)*'ARP Timing'!H$16</f>
        <v>4.0405890000000007</v>
      </c>
      <c r="P34" s="759">
        <f>($I$9+$I10)*'ARP Timing'!I$16</f>
        <v>4.0405890000000007</v>
      </c>
      <c r="Q34" s="759">
        <f>($I$9+$I10)*'ARP Timing'!J$16</f>
        <v>4.0405890000000007</v>
      </c>
      <c r="R34" s="759">
        <f>($I$9+$I10)*'ARP Timing'!K$16</f>
        <v>4.0405890000000007</v>
      </c>
      <c r="S34" s="759">
        <f>($I$9+$I10)*'ARP Timing'!L$16</f>
        <v>4.0405890000000007</v>
      </c>
      <c r="T34" s="759">
        <f>($I$9+$I10)*'ARP Timing'!M$16</f>
        <v>4.0405890000000007</v>
      </c>
      <c r="U34" s="759">
        <f>($I$9+$I10)*'ARP Timing'!N$16</f>
        <v>3.9168975000000006</v>
      </c>
      <c r="V34" s="759">
        <f>($I$9+$I10)*'ARP Timing'!O$16</f>
        <v>3.9168975000000006</v>
      </c>
    </row>
    <row r="35" spans="1:23" x14ac:dyDescent="0.35">
      <c r="B35" s="33" t="s">
        <v>776</v>
      </c>
      <c r="C35" s="1044"/>
      <c r="H35" s="1044"/>
      <c r="J35" s="759">
        <f>($J$9+$J$10)*'ARP Timing'!B$16</f>
        <v>4.3968400000000001</v>
      </c>
      <c r="K35" s="759">
        <f>($J$9+$J$10)*'ARP Timing'!C$16</f>
        <v>4.3968400000000001</v>
      </c>
      <c r="L35" s="759">
        <f>($J$9+$J$10)*'ARP Timing'!D$16</f>
        <v>3.077788</v>
      </c>
      <c r="M35" s="759">
        <f>($J$9+$J$10)*'ARP Timing'!E$16</f>
        <v>3.077788</v>
      </c>
      <c r="N35" s="759">
        <f>($J$9+$J$10)*'ARP Timing'!F$16</f>
        <v>3.077788</v>
      </c>
      <c r="O35" s="759">
        <f>($J$9+$J$10)*'ARP Timing'!G$16</f>
        <v>3.077788</v>
      </c>
      <c r="P35" s="759">
        <f>($J$9+$J$10)*'ARP Timing'!H$16</f>
        <v>3.077788</v>
      </c>
      <c r="Q35" s="759">
        <f>($J$9+$J$10)*'ARP Timing'!I$16</f>
        <v>3.077788</v>
      </c>
      <c r="R35" s="759">
        <f>($J$9+$J$10)*'ARP Timing'!J$16</f>
        <v>3.077788</v>
      </c>
      <c r="S35" s="759">
        <f>($J$9+$J$10)*'ARP Timing'!K$16</f>
        <v>3.077788</v>
      </c>
      <c r="T35" s="759">
        <f>($J$9+$J$10)*'ARP Timing'!L$16</f>
        <v>3.077788</v>
      </c>
      <c r="U35" s="759">
        <f>($J$9+$J$10)*'ARP Timing'!M$16</f>
        <v>3.077788</v>
      </c>
      <c r="V35" s="759">
        <f>($J$9+$J$10)*'ARP Timing'!N$16</f>
        <v>2.9835699999999998</v>
      </c>
    </row>
    <row r="36" spans="1:23" x14ac:dyDescent="0.35">
      <c r="A36" s="759">
        <v>2023</v>
      </c>
      <c r="B36" s="33" t="s">
        <v>240</v>
      </c>
      <c r="C36" s="1044"/>
      <c r="H36" s="1044"/>
      <c r="K36" s="759">
        <f>($K$9+$K$10)*'ARP Timing'!B$16</f>
        <v>4.3968400000000001</v>
      </c>
      <c r="L36" s="759">
        <f>($K$9+$K$10)*'ARP Timing'!C$16</f>
        <v>4.3968400000000001</v>
      </c>
      <c r="M36" s="759">
        <f>($K$9+$K$10)*'ARP Timing'!D$16</f>
        <v>3.077788</v>
      </c>
      <c r="N36" s="759">
        <f>($K$9+$K$10)*'ARP Timing'!E$16</f>
        <v>3.077788</v>
      </c>
      <c r="O36" s="759">
        <f>($K$9+$K$10)*'ARP Timing'!F$16</f>
        <v>3.077788</v>
      </c>
      <c r="P36" s="759">
        <f>($K$9+$K$10)*'ARP Timing'!G$16</f>
        <v>3.077788</v>
      </c>
      <c r="Q36" s="759">
        <f>($K$9+$K$10)*'ARP Timing'!H$16</f>
        <v>3.077788</v>
      </c>
      <c r="R36" s="759">
        <f>($K$9+$K$10)*'ARP Timing'!I$16</f>
        <v>3.077788</v>
      </c>
      <c r="S36" s="759">
        <f>($K$9+$K$10)*'ARP Timing'!J$16</f>
        <v>3.077788</v>
      </c>
      <c r="T36" s="759">
        <f>($K$9+$K$10)*'ARP Timing'!K$16</f>
        <v>3.077788</v>
      </c>
      <c r="U36" s="759">
        <f>($K$9+$K$10)*'ARP Timing'!L$16</f>
        <v>3.077788</v>
      </c>
      <c r="V36" s="759">
        <f>($K$9+$K$10)*'ARP Timing'!M$16</f>
        <v>3.077788</v>
      </c>
    </row>
    <row r="37" spans="1:23" x14ac:dyDescent="0.35">
      <c r="B37" s="33" t="s">
        <v>241</v>
      </c>
      <c r="C37" s="1044"/>
      <c r="H37" s="1044"/>
      <c r="L37" s="759">
        <f>($L$9+$L$10)*'ARP Timing'!B$16</f>
        <v>4.3968400000000001</v>
      </c>
      <c r="M37" s="759">
        <f>($L$9+$L$10)*'ARP Timing'!C$16</f>
        <v>4.3968400000000001</v>
      </c>
      <c r="N37" s="759">
        <f>($L$9+$L$10)*'ARP Timing'!D$16</f>
        <v>3.077788</v>
      </c>
      <c r="O37" s="759">
        <f>($L$9+$L$10)*'ARP Timing'!E$16</f>
        <v>3.077788</v>
      </c>
      <c r="P37" s="759">
        <f>($L$9+$L$10)*'ARP Timing'!F$16</f>
        <v>3.077788</v>
      </c>
      <c r="Q37" s="759">
        <f>($L$9+$L$10)*'ARP Timing'!G$16</f>
        <v>3.077788</v>
      </c>
      <c r="R37" s="759">
        <f>($L$9+$L$10)*'ARP Timing'!H$16</f>
        <v>3.077788</v>
      </c>
      <c r="S37" s="759">
        <f>($L$9+$L$10)*'ARP Timing'!I$16</f>
        <v>3.077788</v>
      </c>
      <c r="T37" s="759">
        <f>($L$9+$L$10)*'ARP Timing'!J$16</f>
        <v>3.077788</v>
      </c>
      <c r="U37" s="759">
        <f>($L$9+$L$10)*'ARP Timing'!K$16</f>
        <v>3.077788</v>
      </c>
      <c r="V37" s="759">
        <f>($L$9+$L$10)*'ARP Timing'!L$16</f>
        <v>3.077788</v>
      </c>
    </row>
    <row r="38" spans="1:23" x14ac:dyDescent="0.35">
      <c r="B38" s="33" t="s">
        <v>331</v>
      </c>
      <c r="C38" s="1044"/>
      <c r="H38" s="1044"/>
      <c r="M38" s="759">
        <f>($M$9+$M$10)*'ARP Timing'!B$16</f>
        <v>4.3968400000000001</v>
      </c>
      <c r="N38" s="759">
        <f>($M$9+$M$10)*'ARP Timing'!C$16</f>
        <v>4.3968400000000001</v>
      </c>
      <c r="O38" s="759">
        <f>($M$9+$M$10)*'ARP Timing'!D$16</f>
        <v>3.077788</v>
      </c>
      <c r="P38" s="759">
        <f>($M$9+$M$10)*'ARP Timing'!E$16</f>
        <v>3.077788</v>
      </c>
      <c r="Q38" s="759">
        <f>($M$9+$M$10)*'ARP Timing'!F$16</f>
        <v>3.077788</v>
      </c>
      <c r="R38" s="759">
        <f>($M$9+$M$10)*'ARP Timing'!G$16</f>
        <v>3.077788</v>
      </c>
      <c r="S38" s="759">
        <f>($M$9+$M$10)*'ARP Timing'!H$16</f>
        <v>3.077788</v>
      </c>
      <c r="T38" s="759">
        <f>($M$9+$M$10)*'ARP Timing'!I$16</f>
        <v>3.077788</v>
      </c>
      <c r="U38" s="759">
        <f>($M$9+$M$10)*'ARP Timing'!J$16</f>
        <v>3.077788</v>
      </c>
      <c r="V38" s="759">
        <f>($M$9+$M$10)*'ARP Timing'!K$16</f>
        <v>3.077788</v>
      </c>
    </row>
    <row r="39" spans="1:23" x14ac:dyDescent="0.35">
      <c r="B39" s="33" t="s">
        <v>776</v>
      </c>
      <c r="C39" s="1044"/>
      <c r="H39" s="1044"/>
      <c r="N39" s="759">
        <f>($N$9+$N$10)*'ARP Timing'!B$16</f>
        <v>2.9087800000000006</v>
      </c>
      <c r="O39" s="759">
        <f>($N$9+$N$10)*'ARP Timing'!C$16</f>
        <v>2.9087800000000006</v>
      </c>
      <c r="P39" s="759">
        <f>($N$9+$N$10)*'ARP Timing'!D$16</f>
        <v>2.036146</v>
      </c>
      <c r="Q39" s="759">
        <f>($N$9+$N$10)*'ARP Timing'!E$16</f>
        <v>2.036146</v>
      </c>
      <c r="R39" s="759">
        <f>($N$9+$N$10)*'ARP Timing'!F$16</f>
        <v>2.036146</v>
      </c>
      <c r="S39" s="759">
        <f>($N$9+$N$10)*'ARP Timing'!G$16</f>
        <v>2.036146</v>
      </c>
      <c r="T39" s="759">
        <f>($N$9+$N$10)*'ARP Timing'!H$16</f>
        <v>2.036146</v>
      </c>
      <c r="U39" s="759">
        <f>($N$9+$N$10)*'ARP Timing'!I$16</f>
        <v>2.036146</v>
      </c>
      <c r="V39" s="759">
        <f>($N$9+$N$10)*'ARP Timing'!J$16</f>
        <v>2.036146</v>
      </c>
    </row>
    <row r="40" spans="1:23" x14ac:dyDescent="0.35">
      <c r="A40" s="759">
        <v>2024</v>
      </c>
      <c r="B40" s="33" t="s">
        <v>240</v>
      </c>
      <c r="C40" s="1044"/>
      <c r="H40" s="1044"/>
      <c r="O40" s="759">
        <f>($O$9+$O$10)*'ARP Timing'!B$16</f>
        <v>2.9087800000000006</v>
      </c>
      <c r="P40" s="759">
        <f>($O$9+$O$10)*'ARP Timing'!C$16</f>
        <v>2.9087800000000006</v>
      </c>
      <c r="Q40" s="759">
        <f>($O$9+$O$10)*'ARP Timing'!D$16</f>
        <v>2.036146</v>
      </c>
      <c r="R40" s="759">
        <f>($O$9+$O$10)*'ARP Timing'!E$16</f>
        <v>2.036146</v>
      </c>
      <c r="S40" s="759">
        <f>($O$9+$O$10)*'ARP Timing'!F$16</f>
        <v>2.036146</v>
      </c>
      <c r="T40" s="759">
        <f>($O$9+$O$10)*'ARP Timing'!G$16</f>
        <v>2.036146</v>
      </c>
      <c r="U40" s="759">
        <f>($O$9+$O$10)*'ARP Timing'!H$16</f>
        <v>2.036146</v>
      </c>
      <c r="V40" s="759">
        <f>($O$9+$O$10)*'ARP Timing'!I$16</f>
        <v>2.036146</v>
      </c>
    </row>
    <row r="41" spans="1:23" x14ac:dyDescent="0.35">
      <c r="B41" s="33" t="s">
        <v>241</v>
      </c>
      <c r="C41" s="1044"/>
      <c r="H41" s="1044"/>
      <c r="P41" s="759">
        <f>($P$9+$P$10)*'ARP Timing'!B$16</f>
        <v>2.9087800000000006</v>
      </c>
      <c r="Q41" s="759">
        <f>($P$9+$P$10)*'ARP Timing'!C$16</f>
        <v>2.9087800000000006</v>
      </c>
      <c r="R41" s="759">
        <f>($P$9+$P$10)*'ARP Timing'!D$16</f>
        <v>2.036146</v>
      </c>
      <c r="S41" s="759">
        <f>($P$9+$P$10)*'ARP Timing'!E$16</f>
        <v>2.036146</v>
      </c>
      <c r="T41" s="759">
        <f>($P$9+$P$10)*'ARP Timing'!F$16</f>
        <v>2.036146</v>
      </c>
      <c r="U41" s="759">
        <f>($P$9+$P$10)*'ARP Timing'!G$16</f>
        <v>2.036146</v>
      </c>
      <c r="V41" s="759">
        <f>($P$9+$P$10)*'ARP Timing'!H$16</f>
        <v>2.036146</v>
      </c>
    </row>
    <row r="42" spans="1:23" x14ac:dyDescent="0.35">
      <c r="B42" s="33" t="s">
        <v>331</v>
      </c>
      <c r="C42" s="1044"/>
      <c r="H42" s="1044"/>
      <c r="Q42" s="759">
        <f>($Q$9+$Q$10)*'ARP Timing'!B$16</f>
        <v>2.9087800000000006</v>
      </c>
      <c r="R42" s="759">
        <f>($Q$9+$Q$10)*'ARP Timing'!C$16</f>
        <v>2.9087800000000006</v>
      </c>
      <c r="S42" s="759">
        <f>($Q$9+$Q$10)*'ARP Timing'!D$16</f>
        <v>2.036146</v>
      </c>
      <c r="T42" s="759">
        <f>($Q$9+$Q$10)*'ARP Timing'!E$16</f>
        <v>2.036146</v>
      </c>
      <c r="U42" s="759">
        <f>($Q$9+$Q$10)*'ARP Timing'!F$16</f>
        <v>2.036146</v>
      </c>
      <c r="V42" s="759">
        <f>($Q$9+$Q$10)*'ARP Timing'!G$16</f>
        <v>2.036146</v>
      </c>
    </row>
    <row r="43" spans="1:23" x14ac:dyDescent="0.35">
      <c r="B43" s="33" t="s">
        <v>776</v>
      </c>
      <c r="C43" s="1044"/>
      <c r="H43" s="1044"/>
      <c r="R43" s="759">
        <f>($R$9+$R$10)*'ARP Timing'!B$16</f>
        <v>1.9374600000000002</v>
      </c>
      <c r="S43" s="759">
        <f>($R$9+$R$10)*'ARP Timing'!C$16</f>
        <v>1.9374600000000002</v>
      </c>
      <c r="T43" s="759">
        <f>($R$9+$R$10)*'ARP Timing'!D$16</f>
        <v>1.356222</v>
      </c>
      <c r="U43" s="759">
        <f>($R$9+$R$10)*'ARP Timing'!E$16</f>
        <v>1.356222</v>
      </c>
      <c r="V43" s="759">
        <f>($R$9+$R$10)*'ARP Timing'!F$16</f>
        <v>1.356222</v>
      </c>
    </row>
    <row r="44" spans="1:23" x14ac:dyDescent="0.35">
      <c r="S44" s="759">
        <f>($S$9+$S$10)*'ARP Timing'!B$16</f>
        <v>1.9374600000000002</v>
      </c>
      <c r="T44" s="759">
        <f>($S$9+$S$10)*'ARP Timing'!C$16</f>
        <v>1.9374600000000002</v>
      </c>
      <c r="U44" s="759">
        <f>($S$9+$S$10)*'ARP Timing'!D$16</f>
        <v>1.356222</v>
      </c>
      <c r="V44" s="759">
        <f>($S$9+$S$10)*'ARP Timing'!E$16</f>
        <v>1.356222</v>
      </c>
    </row>
    <row r="46" spans="1:23" x14ac:dyDescent="0.35">
      <c r="B46" s="759" t="s">
        <v>777</v>
      </c>
      <c r="D46" s="636" t="s">
        <v>251</v>
      </c>
      <c r="E46" s="636" t="s">
        <v>180</v>
      </c>
      <c r="F46" s="636" t="s">
        <v>181</v>
      </c>
      <c r="G46" s="636" t="s">
        <v>182</v>
      </c>
      <c r="H46" s="636" t="s">
        <v>183</v>
      </c>
      <c r="I46" s="636" t="s">
        <v>184</v>
      </c>
      <c r="J46" s="636" t="s">
        <v>185</v>
      </c>
      <c r="K46" s="636" t="s">
        <v>186</v>
      </c>
      <c r="L46" s="636" t="s">
        <v>187</v>
      </c>
      <c r="M46" s="636" t="s">
        <v>188</v>
      </c>
      <c r="N46" s="636" t="s">
        <v>189</v>
      </c>
      <c r="O46" s="636" t="s">
        <v>190</v>
      </c>
      <c r="P46" s="636" t="s">
        <v>191</v>
      </c>
      <c r="Q46" s="636" t="s">
        <v>175</v>
      </c>
      <c r="R46" s="636" t="s">
        <v>176</v>
      </c>
      <c r="S46" s="636" t="s">
        <v>177</v>
      </c>
      <c r="T46" s="636" t="s">
        <v>765</v>
      </c>
      <c r="U46" s="636" t="s">
        <v>766</v>
      </c>
      <c r="V46" s="636" t="s">
        <v>767</v>
      </c>
    </row>
    <row r="47" spans="1:23" x14ac:dyDescent="0.35">
      <c r="B47" s="33"/>
      <c r="C47" s="1044" t="s">
        <v>312</v>
      </c>
      <c r="D47" s="1222">
        <f t="shared" ref="D47:U47" si="42">SUM(D48:D66)</f>
        <v>0</v>
      </c>
      <c r="E47" s="1222">
        <f t="shared" si="42"/>
        <v>0</v>
      </c>
      <c r="F47" s="1222">
        <f t="shared" si="42"/>
        <v>34.620851999999999</v>
      </c>
      <c r="G47" s="1222">
        <f t="shared" si="42"/>
        <v>50.996274799999995</v>
      </c>
      <c r="H47" s="1222">
        <f t="shared" si="42"/>
        <v>69.350031999999999</v>
      </c>
      <c r="I47" s="1222">
        <f t="shared" si="42"/>
        <v>79.295867999999999</v>
      </c>
      <c r="J47" s="1222">
        <f t="shared" si="42"/>
        <v>80.538927999999999</v>
      </c>
      <c r="K47" s="1222">
        <f t="shared" si="42"/>
        <v>80.122543199999996</v>
      </c>
      <c r="L47" s="1222">
        <f t="shared" si="42"/>
        <v>88.916719999999998</v>
      </c>
      <c r="M47" s="1222">
        <f t="shared" si="42"/>
        <v>92.213943999999998</v>
      </c>
      <c r="N47" s="1222">
        <f t="shared" si="42"/>
        <v>92.213943999999998</v>
      </c>
      <c r="O47" s="1222">
        <f t="shared" si="42"/>
        <v>94.213943999999998</v>
      </c>
      <c r="P47" s="1222">
        <f t="shared" si="42"/>
        <v>98.916719999999998</v>
      </c>
      <c r="Q47" s="1222">
        <f t="shared" si="42"/>
        <v>98.916719999999998</v>
      </c>
      <c r="R47" s="1222">
        <f t="shared" si="42"/>
        <v>99.081581199999988</v>
      </c>
      <c r="S47" s="1222">
        <f t="shared" si="42"/>
        <v>93.146578000000005</v>
      </c>
      <c r="T47" s="1222">
        <f t="shared" si="42"/>
        <v>86.552129999999991</v>
      </c>
      <c r="U47" s="1222">
        <f t="shared" si="42"/>
        <v>86.552129999999991</v>
      </c>
      <c r="V47" s="1222">
        <f>SUM(V48:V66)</f>
        <v>82.265738799999994</v>
      </c>
      <c r="W47" s="759">
        <f>SUM(G47:V47)/4</f>
        <v>343.32344900000004</v>
      </c>
    </row>
    <row r="48" spans="1:23" x14ac:dyDescent="0.35">
      <c r="A48" s="759">
        <v>2021</v>
      </c>
      <c r="B48" s="33" t="s">
        <v>775</v>
      </c>
      <c r="C48" s="1044"/>
      <c r="D48" s="759">
        <f>($D$8)*'ARP Timing'!B17</f>
        <v>0</v>
      </c>
      <c r="E48" s="759">
        <f>($D$8)*'ARP Timing'!C17</f>
        <v>0</v>
      </c>
      <c r="F48" s="759">
        <f>($D$8)*'ARP Timing'!D17</f>
        <v>34.620851999999999</v>
      </c>
      <c r="G48" s="759">
        <f>($D$8)*'ARP Timing'!E17</f>
        <v>45.996274799999995</v>
      </c>
      <c r="H48" s="759">
        <f>($D$8)*'ARP Timing'!F17</f>
        <v>59.350031999999992</v>
      </c>
      <c r="I48" s="759">
        <f>($D$8)*'ARP Timing'!G17</f>
        <v>64.295867999999999</v>
      </c>
      <c r="J48" s="759">
        <f>($D$8)*'ARP Timing'!H17</f>
        <v>49.458359999999999</v>
      </c>
      <c r="K48" s="759">
        <f>($D$8)*'ARP Timing'!I17</f>
        <v>49.458359999999999</v>
      </c>
      <c r="L48" s="759">
        <f>($D$8)*'ARP Timing'!J17</f>
        <v>59.350031999999992</v>
      </c>
      <c r="M48" s="759">
        <f>($D$8)*'ARP Timing'!K17</f>
        <v>59.350031999999992</v>
      </c>
      <c r="N48" s="759">
        <f>($D$8)*'ARP Timing'!L17</f>
        <v>69.241703999999999</v>
      </c>
      <c r="O48" s="759">
        <f>($D$8)*'ARP Timing'!M17</f>
        <v>69.241703999999999</v>
      </c>
      <c r="P48" s="759">
        <f>($D$8)*'ARP Timing'!N17</f>
        <v>59.350031999999992</v>
      </c>
      <c r="Q48" s="759">
        <f>($D$8)*'ARP Timing'!O17</f>
        <v>59.350031999999992</v>
      </c>
      <c r="R48" s="759">
        <f>($D$8)*'ARP Timing'!P17</f>
        <v>52.920445199999989</v>
      </c>
      <c r="S48" s="759">
        <f>($D$8)*'ARP Timing'!Q17</f>
        <v>46.985441999999992</v>
      </c>
      <c r="T48" s="759">
        <f>($D$8)*'ARP Timing'!R17</f>
        <v>46.985441999999992</v>
      </c>
      <c r="U48" s="759">
        <f>($D$8)*'ARP Timing'!S17</f>
        <v>46.985441999999992</v>
      </c>
      <c r="V48" s="759">
        <f>($D$8)*'ARP Timing'!T17</f>
        <v>46.985441999999992</v>
      </c>
    </row>
    <row r="49" spans="1:22" x14ac:dyDescent="0.35">
      <c r="B49" s="33" t="s">
        <v>331</v>
      </c>
      <c r="C49" s="1044"/>
      <c r="E49" s="759">
        <f>($E$8)*'ARP Timing'!B$17</f>
        <v>0</v>
      </c>
      <c r="F49" s="759">
        <f>($E$8)*'ARP Timing'!C$16</f>
        <v>0</v>
      </c>
      <c r="G49" s="759">
        <f>($E$8)*'ARP Timing'!D$16</f>
        <v>0</v>
      </c>
      <c r="H49" s="759">
        <f>($E$8)*'ARP Timing'!E$16</f>
        <v>0</v>
      </c>
      <c r="I49" s="759">
        <f>($E$8)*'ARP Timing'!F$16</f>
        <v>0</v>
      </c>
      <c r="J49" s="759">
        <f>($E$8)*'ARP Timing'!G$16</f>
        <v>0</v>
      </c>
      <c r="K49" s="759">
        <f>($E$8)*'ARP Timing'!H$16</f>
        <v>0</v>
      </c>
      <c r="L49" s="759">
        <f>($E$8)*'ARP Timing'!I$16</f>
        <v>0</v>
      </c>
      <c r="M49" s="759">
        <f>($E$8)*'ARP Timing'!J$16</f>
        <v>0</v>
      </c>
      <c r="N49" s="759">
        <f>($E$8)*'ARP Timing'!K$16</f>
        <v>0</v>
      </c>
      <c r="O49" s="759">
        <f>($E$8)*'ARP Timing'!L$16</f>
        <v>0</v>
      </c>
      <c r="P49" s="759">
        <f>($E$8)*'ARP Timing'!M$16</f>
        <v>0</v>
      </c>
      <c r="Q49" s="759">
        <f>($E$8)*'ARP Timing'!N$16</f>
        <v>0</v>
      </c>
      <c r="R49" s="759">
        <f>($E$8)*'ARP Timing'!O$16</f>
        <v>0</v>
      </c>
      <c r="S49" s="759">
        <f>($E$8)*'ARP Timing'!P$16</f>
        <v>0</v>
      </c>
      <c r="T49" s="759">
        <f>($E$8)*'ARP Timing'!Q$16</f>
        <v>0</v>
      </c>
      <c r="U49" s="759">
        <f>($E$8)*'ARP Timing'!R$16</f>
        <v>0</v>
      </c>
      <c r="V49" s="759">
        <f>($E$8)*'ARP Timing'!S$16</f>
        <v>0</v>
      </c>
    </row>
    <row r="50" spans="1:22" x14ac:dyDescent="0.35">
      <c r="B50" s="33" t="s">
        <v>776</v>
      </c>
      <c r="C50" s="1044"/>
      <c r="F50" s="759">
        <f>($F$8)*'ARP Timing'!C$17</f>
        <v>0</v>
      </c>
      <c r="G50" s="759">
        <f>($F$8)*'ARP Timing'!D$17</f>
        <v>0</v>
      </c>
      <c r="H50" s="759">
        <f>($F$8)*'ARP Timing'!E$17</f>
        <v>0</v>
      </c>
      <c r="I50" s="759">
        <f>($F$8)*'ARP Timing'!F$17</f>
        <v>0</v>
      </c>
      <c r="J50" s="759">
        <f>($F$8)*'ARP Timing'!G$17</f>
        <v>0</v>
      </c>
      <c r="K50" s="759">
        <f>($F$8)*'ARP Timing'!H$17</f>
        <v>0</v>
      </c>
      <c r="L50" s="759">
        <f>($F$8)*'ARP Timing'!I$17</f>
        <v>0</v>
      </c>
      <c r="M50" s="759">
        <f>($F$8)*'ARP Timing'!J$17</f>
        <v>0</v>
      </c>
      <c r="N50" s="759">
        <f>($F$8)*'ARP Timing'!K$17</f>
        <v>0</v>
      </c>
      <c r="O50" s="759">
        <f>($F$8)*'ARP Timing'!L$17</f>
        <v>0</v>
      </c>
      <c r="P50" s="759">
        <f>($F$8)*'ARP Timing'!M$17</f>
        <v>0</v>
      </c>
      <c r="Q50" s="759">
        <f>($F$8)*'ARP Timing'!N$17</f>
        <v>0</v>
      </c>
      <c r="R50" s="759">
        <f>($F$8)*'ARP Timing'!O$17</f>
        <v>0</v>
      </c>
      <c r="S50" s="759">
        <f>($F$8)*'ARP Timing'!P$17</f>
        <v>0</v>
      </c>
      <c r="T50" s="759">
        <f>($F$8)*'ARP Timing'!Q$17</f>
        <v>0</v>
      </c>
      <c r="U50" s="759">
        <f>($F$8)*'ARP Timing'!R$17</f>
        <v>0</v>
      </c>
      <c r="V50" s="759">
        <f>($F$8)*'ARP Timing'!S$17</f>
        <v>0</v>
      </c>
    </row>
    <row r="51" spans="1:22" x14ac:dyDescent="0.35">
      <c r="A51" s="759">
        <v>2022</v>
      </c>
      <c r="B51" s="33" t="s">
        <v>240</v>
      </c>
      <c r="C51" s="1044"/>
      <c r="G51" s="759">
        <f>($G$8)*'ARP Timing'!D$17</f>
        <v>0</v>
      </c>
      <c r="H51" s="759">
        <f>($G$8)*'ARP Timing'!E$17</f>
        <v>0</v>
      </c>
      <c r="I51" s="759">
        <f>($G$8)*'ARP Timing'!F$17</f>
        <v>0</v>
      </c>
      <c r="J51" s="759">
        <f>($G$8)*'ARP Timing'!G$17</f>
        <v>0</v>
      </c>
      <c r="K51" s="759">
        <f>($G$8)*'ARP Timing'!H$17</f>
        <v>0</v>
      </c>
      <c r="L51" s="759">
        <f>($G$8)*'ARP Timing'!I$17</f>
        <v>0</v>
      </c>
      <c r="M51" s="759">
        <f>($G$8)*'ARP Timing'!J$17</f>
        <v>0</v>
      </c>
      <c r="N51" s="759">
        <f>($G$8)*'ARP Timing'!K$17</f>
        <v>0</v>
      </c>
      <c r="O51" s="759">
        <f>($G$8)*'ARP Timing'!L$17</f>
        <v>0</v>
      </c>
      <c r="P51" s="759">
        <f>($G$8)*'ARP Timing'!M$17</f>
        <v>0</v>
      </c>
      <c r="Q51" s="759">
        <f>($G$8)*'ARP Timing'!N$17</f>
        <v>0</v>
      </c>
      <c r="R51" s="759">
        <f>($G$8)*'ARP Timing'!O$17</f>
        <v>0</v>
      </c>
      <c r="S51" s="759">
        <f>($G$8)*'ARP Timing'!P$17</f>
        <v>0</v>
      </c>
      <c r="T51" s="759">
        <f>($G$8)*'ARP Timing'!Q$17</f>
        <v>0</v>
      </c>
      <c r="U51" s="759">
        <f>($G$8)*'ARP Timing'!R$17</f>
        <v>0</v>
      </c>
      <c r="V51" s="759">
        <f>($G$8)*'ARP Timing'!S$17</f>
        <v>0</v>
      </c>
    </row>
    <row r="52" spans="1:22" x14ac:dyDescent="0.35">
      <c r="B52" s="33" t="s">
        <v>241</v>
      </c>
      <c r="C52" s="1044"/>
      <c r="H52" s="759">
        <f>($H$8)*'ARP Timing'!B$17</f>
        <v>0</v>
      </c>
      <c r="I52" s="759">
        <f>($H$8)*'ARP Timing'!C$17</f>
        <v>0</v>
      </c>
      <c r="J52" s="759">
        <f>($H$8)*'ARP Timing'!D$17</f>
        <v>23.080568000000003</v>
      </c>
      <c r="K52" s="759">
        <f>($H$8)*'ARP Timing'!E$17</f>
        <v>30.6641832</v>
      </c>
      <c r="L52" s="759">
        <f>($H$8)*'ARP Timing'!F$17</f>
        <v>39.566687999999999</v>
      </c>
      <c r="M52" s="759">
        <f>($H$8)*'ARP Timing'!G$17</f>
        <v>42.863911999999999</v>
      </c>
      <c r="N52" s="759">
        <f>($H$8)*'ARP Timing'!H$17</f>
        <v>32.972239999999999</v>
      </c>
      <c r="O52" s="759">
        <f>($H$8)*'ARP Timing'!I$17</f>
        <v>32.972239999999999</v>
      </c>
      <c r="P52" s="759">
        <f>($H$8)*'ARP Timing'!J$17</f>
        <v>39.566687999999999</v>
      </c>
      <c r="Q52" s="759">
        <f>($H$8)*'ARP Timing'!K$17</f>
        <v>39.566687999999999</v>
      </c>
      <c r="R52" s="759">
        <f>($H$8)*'ARP Timing'!L$17</f>
        <v>46.161136000000006</v>
      </c>
      <c r="S52" s="759">
        <f>($H$8)*'ARP Timing'!M$17</f>
        <v>46.161136000000006</v>
      </c>
      <c r="T52" s="759">
        <f>($H$8)*'ARP Timing'!N$17</f>
        <v>39.566687999999999</v>
      </c>
      <c r="U52" s="759">
        <f>($H$8)*'ARP Timing'!O$17</f>
        <v>39.566687999999999</v>
      </c>
      <c r="V52" s="759">
        <f>($H$8)*'ARP Timing'!P$17</f>
        <v>35.280296800000002</v>
      </c>
    </row>
    <row r="53" spans="1:22" x14ac:dyDescent="0.35">
      <c r="B53" s="33" t="s">
        <v>331</v>
      </c>
      <c r="C53" s="1044"/>
      <c r="H53" s="1044"/>
      <c r="I53" s="759">
        <f>($I$8)*'ARP Timing'!B$17</f>
        <v>0</v>
      </c>
      <c r="J53" s="759">
        <f>($I$8)*'ARP Timing'!C$17</f>
        <v>0</v>
      </c>
      <c r="K53" s="759">
        <f>($I$8)*'ARP Timing'!D$17</f>
        <v>0</v>
      </c>
      <c r="L53" s="759">
        <f>($I$8)*'ARP Timing'!E$17</f>
        <v>0</v>
      </c>
      <c r="M53" s="759">
        <f>($I$8)*'ARP Timing'!F$17</f>
        <v>0</v>
      </c>
      <c r="N53" s="759">
        <f>($I$8)*'ARP Timing'!G$17</f>
        <v>0</v>
      </c>
      <c r="O53" s="759">
        <f>($I$8)*'ARP Timing'!H$17</f>
        <v>0</v>
      </c>
      <c r="P53" s="759">
        <f>($I$8)*'ARP Timing'!I$17</f>
        <v>0</v>
      </c>
      <c r="Q53" s="759">
        <f>($I$8)*'ARP Timing'!J$17</f>
        <v>0</v>
      </c>
      <c r="R53" s="759">
        <f>($I$8)*'ARP Timing'!K$17</f>
        <v>0</v>
      </c>
      <c r="S53" s="759">
        <f>($I$8)*'ARP Timing'!L$17</f>
        <v>0</v>
      </c>
      <c r="T53" s="759">
        <f>($I$8)*'ARP Timing'!M$17</f>
        <v>0</v>
      </c>
      <c r="U53" s="759">
        <f>($I$8)*'ARP Timing'!N$17</f>
        <v>0</v>
      </c>
      <c r="V53" s="759">
        <f>($I$8)*'ARP Timing'!O$17</f>
        <v>0</v>
      </c>
    </row>
    <row r="54" spans="1:22" x14ac:dyDescent="0.35">
      <c r="B54" s="33" t="s">
        <v>776</v>
      </c>
      <c r="C54" s="1044"/>
      <c r="H54" s="1044"/>
    </row>
    <row r="55" spans="1:22" x14ac:dyDescent="0.35">
      <c r="A55" s="759">
        <v>2023</v>
      </c>
      <c r="B55" s="33" t="s">
        <v>240</v>
      </c>
      <c r="C55" s="1044"/>
      <c r="H55" s="1044"/>
    </row>
    <row r="56" spans="1:22" x14ac:dyDescent="0.35">
      <c r="B56" s="33" t="s">
        <v>241</v>
      </c>
      <c r="C56" s="1044"/>
      <c r="H56" s="1044"/>
    </row>
    <row r="57" spans="1:22" x14ac:dyDescent="0.35">
      <c r="B57" s="33" t="s">
        <v>331</v>
      </c>
      <c r="C57" s="1044"/>
      <c r="H57" s="1044"/>
    </row>
    <row r="58" spans="1:22" x14ac:dyDescent="0.35">
      <c r="B58" s="33" t="s">
        <v>776</v>
      </c>
      <c r="C58" s="1044"/>
      <c r="H58" s="1044"/>
    </row>
    <row r="59" spans="1:22" x14ac:dyDescent="0.35">
      <c r="A59" s="759">
        <v>2024</v>
      </c>
      <c r="B59" s="33" t="s">
        <v>240</v>
      </c>
      <c r="C59" s="1044"/>
      <c r="H59" s="1044"/>
    </row>
    <row r="60" spans="1:22" x14ac:dyDescent="0.35">
      <c r="B60" s="33" t="s">
        <v>241</v>
      </c>
      <c r="C60" s="1044"/>
      <c r="H60" s="1044"/>
    </row>
    <row r="61" spans="1:22" x14ac:dyDescent="0.35">
      <c r="B61" s="33" t="s">
        <v>331</v>
      </c>
      <c r="C61" s="1044"/>
      <c r="H61" s="1044"/>
    </row>
    <row r="62" spans="1:22" x14ac:dyDescent="0.35">
      <c r="B62" s="33" t="s">
        <v>776</v>
      </c>
      <c r="C62" s="1044"/>
      <c r="H62" s="1044"/>
    </row>
    <row r="63" spans="1:22" x14ac:dyDescent="0.35">
      <c r="A63" t="s">
        <v>892</v>
      </c>
      <c r="B63" s="33"/>
      <c r="C63" s="1044"/>
      <c r="G63">
        <v>5</v>
      </c>
      <c r="H63" s="1044">
        <v>10</v>
      </c>
      <c r="I63">
        <v>15</v>
      </c>
      <c r="J63">
        <v>8</v>
      </c>
      <c r="K63">
        <v>0</v>
      </c>
      <c r="L63">
        <v>-10</v>
      </c>
      <c r="M63">
        <v>-10</v>
      </c>
      <c r="N63">
        <v>-10</v>
      </c>
      <c r="O63">
        <v>-8</v>
      </c>
    </row>
    <row r="64" spans="1:22" x14ac:dyDescent="0.35">
      <c r="B64" s="33"/>
      <c r="C64" s="1044"/>
      <c r="H64" s="1044"/>
    </row>
    <row r="65" spans="2:24" x14ac:dyDescent="0.35">
      <c r="B65" s="33"/>
      <c r="C65" s="1044"/>
      <c r="H65" s="1044"/>
    </row>
    <row r="66" spans="2:24" x14ac:dyDescent="0.35">
      <c r="B66" s="33"/>
      <c r="C66" s="1044"/>
      <c r="H66" s="1044"/>
    </row>
    <row r="67" spans="2:24" x14ac:dyDescent="0.35">
      <c r="B67" s="33"/>
      <c r="C67" s="1044"/>
      <c r="H67" s="1044"/>
    </row>
    <row r="68" spans="2:24" x14ac:dyDescent="0.35">
      <c r="B68" s="33"/>
      <c r="C68" s="1044"/>
      <c r="H68" s="1044"/>
    </row>
    <row r="69" spans="2:24" x14ac:dyDescent="0.35">
      <c r="B69" s="33"/>
      <c r="C69" s="1044"/>
      <c r="H69" s="1044"/>
    </row>
    <row r="70" spans="2:24" x14ac:dyDescent="0.35">
      <c r="B70" s="33"/>
      <c r="C70" s="1044"/>
      <c r="H70" s="1044"/>
    </row>
    <row r="71" spans="2:24" x14ac:dyDescent="0.35">
      <c r="B71" s="33"/>
      <c r="C71" s="1044"/>
      <c r="H71" s="1044"/>
    </row>
    <row r="72" spans="2:24" x14ac:dyDescent="0.35">
      <c r="B72" s="33"/>
      <c r="C72" s="1044"/>
      <c r="H72" s="1044"/>
    </row>
    <row r="73" spans="2:24" x14ac:dyDescent="0.35">
      <c r="B73" s="33" t="s">
        <v>778</v>
      </c>
      <c r="C73" s="1219">
        <v>2021</v>
      </c>
      <c r="D73" s="1219">
        <v>2022</v>
      </c>
      <c r="E73" s="1219">
        <v>2023</v>
      </c>
      <c r="F73" s="1219">
        <v>2024</v>
      </c>
      <c r="G73" s="1219">
        <v>2025</v>
      </c>
      <c r="H73" s="1044"/>
    </row>
    <row r="74" spans="2:24" x14ac:dyDescent="0.35">
      <c r="B74" s="33" t="s">
        <v>675</v>
      </c>
      <c r="C74" s="1223">
        <f t="shared" ref="C74:C85" si="43">SUM(C4:E4)/4</f>
        <v>0.77600000000001046</v>
      </c>
      <c r="D74" s="1223">
        <f t="shared" ref="D74:D85" si="44">SUM(F4:I4)/4</f>
        <v>19.719000000000005</v>
      </c>
      <c r="E74" s="1223">
        <f t="shared" ref="E74:E85" si="45">SUM(J4:M4)/4</f>
        <v>1.4159999999999999</v>
      </c>
      <c r="F74" s="1223">
        <f t="shared" ref="F74:F85" si="46">SUM(N4:Q4)/4</f>
        <v>1.4790000000000001</v>
      </c>
      <c r="G74" s="1223">
        <f t="shared" ref="G74:G85" si="47">SUM(R4:U4)/4</f>
        <v>1.63</v>
      </c>
    </row>
    <row r="75" spans="2:24" x14ac:dyDescent="0.35">
      <c r="B75" s="33" t="s">
        <v>676</v>
      </c>
      <c r="C75" s="1223">
        <f t="shared" si="43"/>
        <v>19.722000000000016</v>
      </c>
      <c r="D75" s="1223">
        <f t="shared" si="44"/>
        <v>52.756999999999998</v>
      </c>
      <c r="E75" s="1223">
        <f t="shared" si="45"/>
        <v>12</v>
      </c>
      <c r="F75" s="1223">
        <f t="shared" si="46"/>
        <v>4.2219999999999995</v>
      </c>
      <c r="G75" s="1223">
        <f t="shared" si="47"/>
        <v>2.3719999999999999</v>
      </c>
      <c r="H75" s="1044"/>
    </row>
    <row r="76" spans="2:24" x14ac:dyDescent="0.35">
      <c r="B76" s="33" t="s">
        <v>52</v>
      </c>
      <c r="C76" s="1223">
        <f t="shared" si="43"/>
        <v>81.643000000000001</v>
      </c>
      <c r="D76" s="1223">
        <f t="shared" si="44"/>
        <v>110.24799999999999</v>
      </c>
      <c r="E76" s="1223">
        <f t="shared" si="45"/>
        <v>12.726000000000001</v>
      </c>
      <c r="F76" s="1223">
        <f t="shared" si="46"/>
        <v>1.365</v>
      </c>
      <c r="G76" s="1223">
        <f t="shared" si="47"/>
        <v>-0.90100000000000025</v>
      </c>
      <c r="H76" s="1044"/>
      <c r="O76" s="33"/>
      <c r="P76" s="33"/>
      <c r="Q76" s="33"/>
      <c r="R76" s="33"/>
      <c r="S76" s="1224"/>
      <c r="T76" s="1224"/>
      <c r="U76" s="1224"/>
      <c r="V76" s="14"/>
      <c r="W76" s="33"/>
      <c r="X76" s="33"/>
    </row>
    <row r="77" spans="2:24" x14ac:dyDescent="0.35">
      <c r="B77" s="33" t="s">
        <v>131</v>
      </c>
      <c r="C77" s="1223">
        <f t="shared" si="43"/>
        <v>7.798</v>
      </c>
      <c r="D77" s="1223">
        <f t="shared" si="44"/>
        <v>7.9489999999999998</v>
      </c>
      <c r="E77" s="1223">
        <f t="shared" si="45"/>
        <v>4.7519999999999998</v>
      </c>
      <c r="F77" s="1223">
        <f t="shared" si="46"/>
        <v>4.637999999999999</v>
      </c>
      <c r="G77" s="1223">
        <f t="shared" si="47"/>
        <v>1.8800000000000001</v>
      </c>
      <c r="H77" s="1044"/>
    </row>
    <row r="78" spans="2:24" x14ac:dyDescent="0.35">
      <c r="B78" s="1221" t="s">
        <v>348</v>
      </c>
      <c r="C78" s="1223">
        <f t="shared" si="43"/>
        <v>247.29179999999997</v>
      </c>
      <c r="D78" s="1223">
        <f t="shared" si="44"/>
        <v>164.8612</v>
      </c>
      <c r="E78" s="1223">
        <f t="shared" si="45"/>
        <v>0</v>
      </c>
      <c r="F78" s="1223">
        <f t="shared" si="46"/>
        <v>0</v>
      </c>
      <c r="G78" s="1223">
        <f t="shared" si="47"/>
        <v>0</v>
      </c>
      <c r="H78" s="1044"/>
      <c r="R78" s="1190"/>
      <c r="S78" s="1190"/>
    </row>
    <row r="79" spans="2:24" x14ac:dyDescent="0.35">
      <c r="B79" s="1221" t="s">
        <v>150</v>
      </c>
      <c r="C79" s="1223">
        <f t="shared" si="43"/>
        <v>12.347</v>
      </c>
      <c r="D79" s="1223">
        <f t="shared" si="44"/>
        <v>46.79</v>
      </c>
      <c r="E79" s="1223">
        <f t="shared" si="45"/>
        <v>38.595999999999997</v>
      </c>
      <c r="F79" s="1223">
        <f t="shared" si="46"/>
        <v>31.911000000000001</v>
      </c>
      <c r="G79" s="1223">
        <f t="shared" si="47"/>
        <v>23.099</v>
      </c>
      <c r="H79" s="1044"/>
      <c r="R79" s="1190"/>
      <c r="S79" s="1190"/>
    </row>
    <row r="80" spans="2:24" x14ac:dyDescent="0.35">
      <c r="B80" s="1221" t="s">
        <v>364</v>
      </c>
      <c r="C80" s="1223">
        <f t="shared" si="43"/>
        <v>29.628</v>
      </c>
      <c r="D80" s="1223">
        <f t="shared" si="44"/>
        <v>35.671000000000006</v>
      </c>
      <c r="E80" s="1223">
        <f t="shared" si="45"/>
        <v>24.216000000000001</v>
      </c>
      <c r="F80" s="1223">
        <f t="shared" si="46"/>
        <v>9.6430000000000007</v>
      </c>
      <c r="G80" s="1223">
        <f t="shared" si="47"/>
        <v>4.5789999999999997</v>
      </c>
      <c r="H80" s="1044"/>
      <c r="R80" s="1190"/>
      <c r="S80" s="1190"/>
    </row>
    <row r="81" spans="2:19" x14ac:dyDescent="0.35">
      <c r="B81" s="14" t="s">
        <v>159</v>
      </c>
      <c r="C81" s="1223">
        <f t="shared" si="43"/>
        <v>25.75</v>
      </c>
      <c r="D81" s="1223">
        <f t="shared" si="44"/>
        <v>0</v>
      </c>
      <c r="E81" s="1223">
        <f t="shared" si="45"/>
        <v>0</v>
      </c>
      <c r="F81" s="1223">
        <f t="shared" si="46"/>
        <v>0</v>
      </c>
      <c r="G81" s="1223">
        <f t="shared" si="47"/>
        <v>0</v>
      </c>
      <c r="H81" s="1044"/>
      <c r="R81" s="1190"/>
      <c r="S81" s="1190"/>
    </row>
    <row r="82" spans="2:19" x14ac:dyDescent="0.35">
      <c r="B82" s="33" t="s">
        <v>109</v>
      </c>
      <c r="C82" s="1223">
        <f t="shared" si="43"/>
        <v>31.939</v>
      </c>
      <c r="D82" s="1223">
        <f t="shared" si="44"/>
        <v>56.413000000000004</v>
      </c>
      <c r="E82" s="1223">
        <f t="shared" si="45"/>
        <v>15.652999999999999</v>
      </c>
      <c r="F82" s="1223">
        <f t="shared" si="46"/>
        <v>3.9320000000000004</v>
      </c>
      <c r="G82" s="1223">
        <f t="shared" si="47"/>
        <v>-0.74299999999999988</v>
      </c>
      <c r="R82" s="1190"/>
      <c r="S82" s="1190"/>
    </row>
    <row r="83" spans="2:19" x14ac:dyDescent="0.35">
      <c r="B83" s="759" t="s">
        <v>769</v>
      </c>
      <c r="C83" s="1223">
        <f t="shared" si="43"/>
        <v>1.02</v>
      </c>
      <c r="D83" s="1223">
        <f t="shared" si="44"/>
        <v>1.5299999999999998</v>
      </c>
      <c r="E83" s="1223">
        <f t="shared" si="45"/>
        <v>0</v>
      </c>
      <c r="F83" s="1223">
        <f t="shared" si="46"/>
        <v>0</v>
      </c>
      <c r="G83" s="1223">
        <f t="shared" si="47"/>
        <v>0</v>
      </c>
      <c r="R83" s="1190"/>
      <c r="S83" s="1190"/>
    </row>
    <row r="84" spans="2:19" x14ac:dyDescent="0.35">
      <c r="B84" s="759" t="s">
        <v>770</v>
      </c>
      <c r="C84" s="1223">
        <f t="shared" si="43"/>
        <v>0.67999999999999994</v>
      </c>
      <c r="D84" s="1223">
        <f t="shared" si="44"/>
        <v>1.02</v>
      </c>
      <c r="E84" s="1223">
        <f t="shared" si="45"/>
        <v>0</v>
      </c>
      <c r="F84" s="1223">
        <f t="shared" si="46"/>
        <v>0</v>
      </c>
      <c r="G84" s="1223">
        <f t="shared" si="47"/>
        <v>0</v>
      </c>
      <c r="R84" s="1190"/>
      <c r="S84" s="1190"/>
    </row>
    <row r="85" spans="2:19" x14ac:dyDescent="0.35">
      <c r="B85" s="759" t="s">
        <v>471</v>
      </c>
      <c r="C85" s="1223">
        <f t="shared" si="43"/>
        <v>1.6999999999999997</v>
      </c>
      <c r="D85" s="1223">
        <f t="shared" si="44"/>
        <v>2.5499999999999998</v>
      </c>
      <c r="E85" s="1223">
        <f t="shared" si="45"/>
        <v>0</v>
      </c>
      <c r="F85" s="1223">
        <f t="shared" si="46"/>
        <v>0</v>
      </c>
      <c r="G85" s="1223">
        <f t="shared" si="47"/>
        <v>0</v>
      </c>
      <c r="R85" s="1190"/>
      <c r="S85" s="1190"/>
    </row>
    <row r="86" spans="2:19" x14ac:dyDescent="0.35">
      <c r="C86" s="1219">
        <v>2021</v>
      </c>
      <c r="D86" s="1219">
        <v>2022</v>
      </c>
      <c r="E86" s="1219">
        <v>2023</v>
      </c>
      <c r="F86" s="1219">
        <v>2024</v>
      </c>
      <c r="G86" s="1219">
        <v>2025</v>
      </c>
      <c r="R86" s="1190"/>
      <c r="S86" s="1190"/>
    </row>
    <row r="87" spans="2:19" x14ac:dyDescent="0.35">
      <c r="B87" s="759" t="s">
        <v>779</v>
      </c>
      <c r="C87" s="1222">
        <f>SUM(C83:C85)</f>
        <v>3.3999999999999995</v>
      </c>
      <c r="D87" s="1222">
        <f t="shared" ref="D87:G87" si="48">SUM(D83:D85)</f>
        <v>5.0999999999999996</v>
      </c>
      <c r="E87" s="1222">
        <f t="shared" si="48"/>
        <v>0</v>
      </c>
      <c r="F87" s="1222">
        <f t="shared" si="48"/>
        <v>0</v>
      </c>
      <c r="G87" s="1222">
        <f t="shared" si="48"/>
        <v>0</v>
      </c>
      <c r="R87" s="1190"/>
      <c r="S87" s="1190"/>
    </row>
    <row r="90" spans="2:19" x14ac:dyDescent="0.35">
      <c r="B90" s="759" t="s">
        <v>675</v>
      </c>
      <c r="C90" s="1223">
        <v>26.636000000000024</v>
      </c>
      <c r="D90" s="1223">
        <v>98.978999999999999</v>
      </c>
      <c r="E90" s="1223">
        <v>2.1159999999999997</v>
      </c>
      <c r="F90" s="1223">
        <v>2.1789999999999998</v>
      </c>
      <c r="G90" s="1223">
        <v>2.33</v>
      </c>
      <c r="H90" s="1223"/>
      <c r="I90" s="1223"/>
      <c r="J90" s="1223"/>
      <c r="K90" s="1223"/>
      <c r="L90" s="1223"/>
      <c r="M90" s="1223"/>
    </row>
    <row r="91" spans="2:19" x14ac:dyDescent="0.35">
      <c r="B91" s="759" t="s">
        <v>676</v>
      </c>
      <c r="C91" s="1223">
        <v>47.722000000000016</v>
      </c>
      <c r="D91" s="1223">
        <v>52.756999999999998</v>
      </c>
      <c r="E91" s="1223">
        <v>12</v>
      </c>
      <c r="F91" s="1223">
        <v>4.2219999999999995</v>
      </c>
      <c r="G91" s="1223">
        <v>2.3719999999999999</v>
      </c>
      <c r="H91" s="1223"/>
      <c r="I91" s="1223"/>
      <c r="J91" s="1223"/>
      <c r="K91" s="1223"/>
      <c r="L91" s="1223"/>
      <c r="M91" s="1223"/>
    </row>
    <row r="92" spans="2:19" x14ac:dyDescent="0.35">
      <c r="B92" s="759" t="s">
        <v>52</v>
      </c>
      <c r="C92" s="1223">
        <v>81.842999999999989</v>
      </c>
      <c r="D92" s="1223">
        <v>110.24799999999999</v>
      </c>
      <c r="E92" s="1223">
        <v>12.726000000000001</v>
      </c>
      <c r="F92" s="1223">
        <v>1.365</v>
      </c>
      <c r="G92" s="1223">
        <v>-0.90100000000000025</v>
      </c>
      <c r="H92" s="1223"/>
      <c r="I92" s="1223"/>
      <c r="J92" s="1223"/>
      <c r="K92" s="1223"/>
      <c r="L92" s="1223"/>
      <c r="M92" s="1223"/>
    </row>
    <row r="93" spans="2:19" x14ac:dyDescent="0.35">
      <c r="B93" s="759" t="s">
        <v>131</v>
      </c>
      <c r="C93" s="1223">
        <v>7.798</v>
      </c>
      <c r="D93" s="1223">
        <v>7.9489999999999998</v>
      </c>
      <c r="E93" s="1223">
        <v>4.7519999999999998</v>
      </c>
      <c r="F93" s="1223">
        <v>4.637999999999999</v>
      </c>
      <c r="G93" s="1223">
        <v>1.8800000000000001</v>
      </c>
      <c r="H93" s="1223"/>
      <c r="I93" s="1223"/>
      <c r="J93" s="1223"/>
      <c r="K93" s="1223"/>
      <c r="L93" s="1223"/>
      <c r="M93" s="1223"/>
    </row>
    <row r="94" spans="2:19" x14ac:dyDescent="0.35">
      <c r="B94" s="759" t="s">
        <v>348</v>
      </c>
      <c r="C94" s="1223">
        <v>283.95749999999998</v>
      </c>
      <c r="D94" s="1223">
        <v>77.092500000000001</v>
      </c>
      <c r="E94" s="1223">
        <v>1</v>
      </c>
      <c r="F94" s="1223">
        <v>0</v>
      </c>
      <c r="G94" s="1223">
        <v>0</v>
      </c>
      <c r="H94" s="1223"/>
      <c r="I94" s="1223"/>
      <c r="J94" s="1223"/>
      <c r="K94" s="1223"/>
      <c r="L94" s="1223"/>
      <c r="M94" s="1223"/>
    </row>
    <row r="95" spans="2:19" x14ac:dyDescent="0.35">
      <c r="B95" s="759" t="s">
        <v>150</v>
      </c>
      <c r="C95" s="1223">
        <v>12.347</v>
      </c>
      <c r="D95" s="1223">
        <v>46.79</v>
      </c>
      <c r="E95" s="1223">
        <v>38.595999999999997</v>
      </c>
      <c r="F95" s="1223">
        <v>31.911000000000001</v>
      </c>
      <c r="G95" s="1223">
        <v>23.099</v>
      </c>
      <c r="H95" s="1223"/>
      <c r="I95" s="1223"/>
      <c r="J95" s="1223"/>
      <c r="K95" s="1223"/>
      <c r="L95" s="1223"/>
      <c r="M95" s="1223"/>
    </row>
    <row r="96" spans="2:19" x14ac:dyDescent="0.35">
      <c r="B96" s="759" t="s">
        <v>364</v>
      </c>
      <c r="C96" s="1223">
        <v>2.286</v>
      </c>
      <c r="D96" s="1223">
        <v>4.6049999999999995</v>
      </c>
      <c r="E96" s="1223">
        <v>1.349</v>
      </c>
      <c r="F96" s="1223">
        <v>0.441</v>
      </c>
      <c r="G96" s="1223">
        <v>0.313</v>
      </c>
      <c r="H96" s="1223"/>
      <c r="I96" s="1223"/>
      <c r="J96" s="1223"/>
      <c r="K96" s="1223"/>
      <c r="L96" s="1223"/>
      <c r="M96" s="1223"/>
    </row>
    <row r="97" spans="2:13" x14ac:dyDescent="0.35">
      <c r="B97" s="759" t="s">
        <v>159</v>
      </c>
      <c r="C97" s="1223">
        <v>25.75</v>
      </c>
      <c r="D97" s="1223">
        <v>0</v>
      </c>
      <c r="E97" s="1223">
        <v>0</v>
      </c>
      <c r="F97" s="1223">
        <v>0</v>
      </c>
      <c r="G97" s="1223">
        <v>0</v>
      </c>
      <c r="H97" s="1223"/>
      <c r="I97" s="1223"/>
      <c r="J97" s="1223"/>
      <c r="K97" s="1223"/>
      <c r="L97" s="1223"/>
      <c r="M97" s="1223"/>
    </row>
    <row r="98" spans="2:13" x14ac:dyDescent="0.35">
      <c r="B98" s="759" t="s">
        <v>109</v>
      </c>
      <c r="C98" s="1223">
        <v>60.441000000000003</v>
      </c>
      <c r="D98" s="1223">
        <v>91.678999999999988</v>
      </c>
      <c r="E98" s="1223">
        <v>41.220000000000006</v>
      </c>
      <c r="F98" s="1223">
        <v>14.004000000000003</v>
      </c>
      <c r="G98" s="1223">
        <v>3.8530000000000006</v>
      </c>
      <c r="H98" s="1223"/>
      <c r="I98" s="1223"/>
      <c r="J98" s="1223"/>
      <c r="K98" s="1223"/>
      <c r="L98" s="1223"/>
      <c r="M98" s="1223"/>
    </row>
    <row r="99" spans="2:13" x14ac:dyDescent="0.35">
      <c r="C99" s="1219">
        <v>3.4</v>
      </c>
      <c r="D99" s="1219">
        <v>5.0999999999999996</v>
      </c>
      <c r="E99" s="1219">
        <v>0</v>
      </c>
      <c r="F99" s="1219">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90625" defaultRowHeight="14.5" x14ac:dyDescent="0.35"/>
  <sheetData>
    <row r="1" spans="1:12" x14ac:dyDescent="0.35">
      <c r="A1" s="75" t="s">
        <v>1436</v>
      </c>
      <c r="B1" s="75" t="s">
        <v>1437</v>
      </c>
      <c r="C1" s="75" t="s">
        <v>1438</v>
      </c>
      <c r="D1" s="75" t="s">
        <v>1439</v>
      </c>
      <c r="E1" s="75" t="s">
        <v>1440</v>
      </c>
      <c r="F1" s="75" t="s">
        <v>1441</v>
      </c>
      <c r="G1" s="75" t="s">
        <v>925</v>
      </c>
      <c r="H1" s="75" t="s">
        <v>926</v>
      </c>
      <c r="I1" s="75" t="s">
        <v>927</v>
      </c>
      <c r="J1" s="75" t="s">
        <v>928</v>
      </c>
      <c r="K1" s="75" t="s">
        <v>929</v>
      </c>
      <c r="L1" s="75" t="s">
        <v>930</v>
      </c>
    </row>
    <row r="2" spans="1:12" x14ac:dyDescent="0.35">
      <c r="A2">
        <v>4.5079018442711401E-2</v>
      </c>
      <c r="B2">
        <v>5.3878515900577198E-2</v>
      </c>
      <c r="C2">
        <v>8.2063006909154398E-2</v>
      </c>
      <c r="D2">
        <v>0.104421067414309</v>
      </c>
      <c r="E2" t="s">
        <v>1442</v>
      </c>
      <c r="F2" t="s">
        <v>1443</v>
      </c>
      <c r="G2">
        <v>13.106999999999999</v>
      </c>
      <c r="H2">
        <v>1.9913023575188999E-2</v>
      </c>
      <c r="I2">
        <v>16.824999999999999</v>
      </c>
      <c r="J2">
        <v>2.51411589895989E-2</v>
      </c>
      <c r="K2" t="s">
        <v>931</v>
      </c>
      <c r="L2" t="s">
        <v>932</v>
      </c>
    </row>
    <row r="3" spans="1:12" x14ac:dyDescent="0.35">
      <c r="A3">
        <v>4.5079018442711401E-2</v>
      </c>
      <c r="B3">
        <v>5.3878515900577198E-2</v>
      </c>
      <c r="C3">
        <v>8.2063006909154398E-2</v>
      </c>
      <c r="D3">
        <v>0.104421067414309</v>
      </c>
      <c r="E3" t="s">
        <v>1444</v>
      </c>
      <c r="F3" t="s">
        <v>1443</v>
      </c>
      <c r="G3">
        <v>13.368</v>
      </c>
      <c r="H3">
        <v>1.9913023575188999E-2</v>
      </c>
      <c r="I3">
        <v>17.248000000000001</v>
      </c>
      <c r="J3">
        <v>2.51411589895989E-2</v>
      </c>
      <c r="K3" t="s">
        <v>933</v>
      </c>
      <c r="L3" t="s">
        <v>932</v>
      </c>
    </row>
    <row r="4" spans="1:12" x14ac:dyDescent="0.35">
      <c r="A4">
        <v>3.9419555818651898E-2</v>
      </c>
      <c r="B4">
        <v>6.9938689583740596E-2</v>
      </c>
      <c r="C4">
        <v>7.2508506661211405E-2</v>
      </c>
      <c r="D4">
        <v>7.9737360467493398E-2</v>
      </c>
      <c r="E4" t="s">
        <v>1445</v>
      </c>
      <c r="F4" t="s">
        <v>1443</v>
      </c>
      <c r="G4">
        <v>13.603999999999999</v>
      </c>
      <c r="H4">
        <v>1.7654099341711402E-2</v>
      </c>
      <c r="I4">
        <v>17.582000000000001</v>
      </c>
      <c r="J4">
        <v>1.9364564007421099E-2</v>
      </c>
      <c r="K4" t="s">
        <v>934</v>
      </c>
      <c r="L4" t="s">
        <v>932</v>
      </c>
    </row>
    <row r="5" spans="1:12" x14ac:dyDescent="0.35">
      <c r="A5">
        <v>5.2824828770235303E-2</v>
      </c>
      <c r="B5">
        <v>5.1823422551402501E-2</v>
      </c>
      <c r="C5">
        <v>6.9052453854286294E-2</v>
      </c>
      <c r="D5">
        <v>0.10539397910227</v>
      </c>
      <c r="E5" t="s">
        <v>1446</v>
      </c>
      <c r="F5" t="s">
        <v>1443</v>
      </c>
      <c r="G5">
        <v>13.833</v>
      </c>
      <c r="H5">
        <v>1.6833284328138898E-2</v>
      </c>
      <c r="I5">
        <v>18.027999999999999</v>
      </c>
      <c r="J5">
        <v>2.5366852462745899E-2</v>
      </c>
      <c r="K5" t="s">
        <v>935</v>
      </c>
      <c r="L5" t="s">
        <v>932</v>
      </c>
    </row>
    <row r="6" spans="1:12" x14ac:dyDescent="0.35">
      <c r="A6">
        <v>3.85286878692137E-2</v>
      </c>
      <c r="B6">
        <v>0.132788480581229</v>
      </c>
      <c r="C6">
        <v>0.10231116414477499</v>
      </c>
      <c r="D6">
        <v>6.9175988166702701E-2</v>
      </c>
      <c r="E6" t="s">
        <v>1447</v>
      </c>
      <c r="F6" t="s">
        <v>1443</v>
      </c>
      <c r="G6">
        <v>14.173999999999999</v>
      </c>
      <c r="H6">
        <v>2.4651196414371399E-2</v>
      </c>
      <c r="I6">
        <v>18.332000000000001</v>
      </c>
      <c r="J6">
        <v>1.6862658087419598E-2</v>
      </c>
      <c r="K6" t="s">
        <v>936</v>
      </c>
      <c r="L6" t="s">
        <v>932</v>
      </c>
    </row>
    <row r="7" spans="1:12" x14ac:dyDescent="0.35">
      <c r="A7">
        <v>4.6230845754161802E-2</v>
      </c>
      <c r="B7">
        <v>7.6806429060699302E-2</v>
      </c>
      <c r="C7">
        <v>7.6908368677740299E-2</v>
      </c>
      <c r="D7">
        <v>6.5481053360561203E-2</v>
      </c>
      <c r="E7" t="s">
        <v>1448</v>
      </c>
      <c r="F7" t="s">
        <v>1443</v>
      </c>
      <c r="G7">
        <v>14.439</v>
      </c>
      <c r="H7">
        <v>1.8696204317764999E-2</v>
      </c>
      <c r="I7">
        <v>18.625</v>
      </c>
      <c r="J7">
        <v>1.59829805804057E-2</v>
      </c>
      <c r="K7" t="s">
        <v>937</v>
      </c>
      <c r="L7" t="s">
        <v>932</v>
      </c>
    </row>
    <row r="8" spans="1:12" x14ac:dyDescent="0.35">
      <c r="A8">
        <v>4.0000704948734103E-2</v>
      </c>
      <c r="B8">
        <v>5.9184461037305798E-2</v>
      </c>
      <c r="C8">
        <v>6.1773509542664397E-2</v>
      </c>
      <c r="D8">
        <v>4.4315280925248897E-2</v>
      </c>
      <c r="E8" t="s">
        <v>1449</v>
      </c>
      <c r="F8" t="s">
        <v>1443</v>
      </c>
      <c r="G8">
        <v>14.657</v>
      </c>
      <c r="H8">
        <v>1.5097998476348899E-2</v>
      </c>
      <c r="I8">
        <v>18.827999999999999</v>
      </c>
      <c r="J8">
        <v>1.0899328859060401E-2</v>
      </c>
      <c r="K8" t="s">
        <v>938</v>
      </c>
      <c r="L8" t="s">
        <v>932</v>
      </c>
    </row>
    <row r="9" spans="1:12" x14ac:dyDescent="0.35">
      <c r="A9">
        <v>2.5035607973723999E-2</v>
      </c>
      <c r="B9">
        <v>8.3819893360376693E-2</v>
      </c>
      <c r="C9">
        <v>3.6793688078589702E-2</v>
      </c>
      <c r="D9">
        <v>7.0854524877743894E-2</v>
      </c>
      <c r="E9" t="s">
        <v>1450</v>
      </c>
      <c r="F9" t="s">
        <v>1443</v>
      </c>
      <c r="G9">
        <v>14.79</v>
      </c>
      <c r="H9">
        <v>9.0741625162038507E-3</v>
      </c>
      <c r="I9">
        <v>19.152999999999999</v>
      </c>
      <c r="J9">
        <v>1.7261525387720401E-2</v>
      </c>
      <c r="K9" t="s">
        <v>939</v>
      </c>
      <c r="L9" t="s">
        <v>932</v>
      </c>
    </row>
    <row r="10" spans="1:12" x14ac:dyDescent="0.35">
      <c r="A10">
        <v>4.2906681103859E-2</v>
      </c>
      <c r="B10">
        <v>0.175097239288524</v>
      </c>
      <c r="C10">
        <v>0.10446834522691199</v>
      </c>
      <c r="D10">
        <v>5.2157088254066501E-2</v>
      </c>
      <c r="E10" t="s">
        <v>1451</v>
      </c>
      <c r="F10" t="s">
        <v>1443</v>
      </c>
      <c r="G10">
        <v>15.162000000000001</v>
      </c>
      <c r="H10">
        <v>2.5152129817444399E-2</v>
      </c>
      <c r="I10">
        <v>19.398</v>
      </c>
      <c r="J10">
        <v>1.27917297551299E-2</v>
      </c>
      <c r="K10" t="s">
        <v>940</v>
      </c>
      <c r="L10" t="s">
        <v>932</v>
      </c>
    </row>
    <row r="11" spans="1:12" x14ac:dyDescent="0.35">
      <c r="A11">
        <v>2.3157030840978501E-2</v>
      </c>
      <c r="B11">
        <v>4.0963848741786497E-2</v>
      </c>
      <c r="C11">
        <v>5.35423244430666E-2</v>
      </c>
      <c r="D11">
        <v>2.83404365976123E-2</v>
      </c>
      <c r="E11" t="s">
        <v>1452</v>
      </c>
      <c r="F11" t="s">
        <v>1443</v>
      </c>
      <c r="G11">
        <v>15.361000000000001</v>
      </c>
      <c r="H11">
        <v>1.3124917557050499E-2</v>
      </c>
      <c r="I11">
        <v>19.533999999999999</v>
      </c>
      <c r="J11">
        <v>7.0110320651612899E-3</v>
      </c>
      <c r="K11" t="s">
        <v>941</v>
      </c>
      <c r="L11" t="s">
        <v>932</v>
      </c>
    </row>
    <row r="12" spans="1:12" x14ac:dyDescent="0.35">
      <c r="A12">
        <v>3.55986781186481E-2</v>
      </c>
      <c r="B12">
        <v>3.3186191278740597E-2</v>
      </c>
      <c r="C12">
        <v>6.3703129067968198E-2</v>
      </c>
      <c r="D12">
        <v>5.6658506033298299E-2</v>
      </c>
      <c r="E12" t="s">
        <v>1453</v>
      </c>
      <c r="F12" t="s">
        <v>1443</v>
      </c>
      <c r="G12">
        <v>15.6</v>
      </c>
      <c r="H12">
        <v>1.5558882885228701E-2</v>
      </c>
      <c r="I12">
        <v>19.805</v>
      </c>
      <c r="J12">
        <v>1.38732466468721E-2</v>
      </c>
      <c r="K12" t="s">
        <v>942</v>
      </c>
      <c r="L12" t="s">
        <v>932</v>
      </c>
    </row>
    <row r="13" spans="1:12" x14ac:dyDescent="0.35">
      <c r="A13">
        <v>3.3109052200751603E-2</v>
      </c>
      <c r="B13">
        <v>8.9944620716435594E-2</v>
      </c>
      <c r="C13">
        <v>5.0679215853917103E-2</v>
      </c>
      <c r="D13">
        <v>7.6848944278385095E-2</v>
      </c>
      <c r="E13" t="s">
        <v>1454</v>
      </c>
      <c r="F13" t="s">
        <v>1443</v>
      </c>
      <c r="G13">
        <v>15.794</v>
      </c>
      <c r="H13">
        <v>1.2435897435897601E-2</v>
      </c>
      <c r="I13">
        <v>20.175000000000001</v>
      </c>
      <c r="J13">
        <v>1.8682150971976799E-2</v>
      </c>
      <c r="K13" t="s">
        <v>943</v>
      </c>
      <c r="L13" t="s">
        <v>932</v>
      </c>
    </row>
    <row r="14" spans="1:12" x14ac:dyDescent="0.35">
      <c r="A14">
        <v>4.91014015888558E-2</v>
      </c>
      <c r="B14">
        <v>6.5908483031781095E-2</v>
      </c>
      <c r="C14">
        <v>8.1389738888574495E-2</v>
      </c>
      <c r="D14">
        <v>7.93845743471608E-2</v>
      </c>
      <c r="E14" t="s">
        <v>1455</v>
      </c>
      <c r="F14" t="s">
        <v>1443</v>
      </c>
      <c r="G14">
        <v>16.106000000000002</v>
      </c>
      <c r="H14">
        <v>1.9754337090034199E-2</v>
      </c>
      <c r="I14">
        <v>20.564</v>
      </c>
      <c r="J14">
        <v>1.9281288723668001E-2</v>
      </c>
      <c r="K14" t="s">
        <v>944</v>
      </c>
      <c r="L14" t="s">
        <v>932</v>
      </c>
    </row>
    <row r="15" spans="1:12" x14ac:dyDescent="0.35">
      <c r="A15">
        <v>7.9177652454341899E-2</v>
      </c>
      <c r="B15">
        <v>7.1493559288280994E-2</v>
      </c>
      <c r="C15">
        <v>6.9283063617710403E-2</v>
      </c>
      <c r="D15">
        <v>8.6922582910256702E-2</v>
      </c>
      <c r="E15" t="s">
        <v>1456</v>
      </c>
      <c r="F15" t="s">
        <v>1443</v>
      </c>
      <c r="G15">
        <v>16.378</v>
      </c>
      <c r="H15">
        <v>1.68881162299763E-2</v>
      </c>
      <c r="I15">
        <v>20.997</v>
      </c>
      <c r="J15">
        <v>2.1056214744213299E-2</v>
      </c>
      <c r="K15" t="s">
        <v>945</v>
      </c>
      <c r="L15" t="s">
        <v>932</v>
      </c>
    </row>
    <row r="16" spans="1:12" x14ac:dyDescent="0.35">
      <c r="A16">
        <v>7.4767520593947104E-2</v>
      </c>
      <c r="B16">
        <v>8.5362600720222198E-2</v>
      </c>
      <c r="C16">
        <v>4.7217464684975501E-2</v>
      </c>
      <c r="D16">
        <v>8.4062519785650797E-2</v>
      </c>
      <c r="E16" t="s">
        <v>1457</v>
      </c>
      <c r="F16" t="s">
        <v>1443</v>
      </c>
      <c r="G16">
        <v>16.568000000000001</v>
      </c>
      <c r="H16">
        <v>1.1600928074246E-2</v>
      </c>
      <c r="I16">
        <v>21.425000000000001</v>
      </c>
      <c r="J16">
        <v>2.03838643615755E-2</v>
      </c>
      <c r="K16" t="s">
        <v>946</v>
      </c>
      <c r="L16" t="s">
        <v>932</v>
      </c>
    </row>
    <row r="17" spans="1:12" x14ac:dyDescent="0.35">
      <c r="A17">
        <v>8.4354048501589896E-2</v>
      </c>
      <c r="B17">
        <v>8.8313277531109999E-2</v>
      </c>
      <c r="C17">
        <v>6.8825586736247696E-2</v>
      </c>
      <c r="D17">
        <v>0.111750672708145</v>
      </c>
      <c r="E17" t="s">
        <v>1458</v>
      </c>
      <c r="F17" t="s">
        <v>1443</v>
      </c>
      <c r="G17">
        <v>16.846</v>
      </c>
      <c r="H17">
        <v>1.6779333655238898E-2</v>
      </c>
      <c r="I17">
        <v>22</v>
      </c>
      <c r="J17">
        <v>2.68378063010501E-2</v>
      </c>
      <c r="K17" t="s">
        <v>947</v>
      </c>
      <c r="L17" t="s">
        <v>932</v>
      </c>
    </row>
    <row r="18" spans="1:12" x14ac:dyDescent="0.35">
      <c r="A18">
        <v>0.124536540877934</v>
      </c>
      <c r="B18">
        <v>4.1616768277239702E-2</v>
      </c>
      <c r="C18">
        <v>0.100709384145876</v>
      </c>
      <c r="D18">
        <v>0.19875533747763099</v>
      </c>
      <c r="E18" t="s">
        <v>1459</v>
      </c>
      <c r="F18" t="s">
        <v>1443</v>
      </c>
      <c r="G18">
        <v>17.254999999999999</v>
      </c>
      <c r="H18">
        <v>2.42787605366259E-2</v>
      </c>
      <c r="I18">
        <v>23.02</v>
      </c>
      <c r="J18">
        <v>4.6363636363636399E-2</v>
      </c>
      <c r="K18" t="s">
        <v>948</v>
      </c>
      <c r="L18" t="s">
        <v>932</v>
      </c>
    </row>
    <row r="19" spans="1:12" x14ac:dyDescent="0.35">
      <c r="A19">
        <v>0.118186339709689</v>
      </c>
      <c r="B19">
        <v>7.4336480554695494E-2</v>
      </c>
      <c r="C19">
        <v>0.111980004946894</v>
      </c>
      <c r="D19">
        <v>0.27614966476000502</v>
      </c>
      <c r="E19" t="s">
        <v>1460</v>
      </c>
      <c r="F19" t="s">
        <v>1443</v>
      </c>
      <c r="G19">
        <v>17.719000000000001</v>
      </c>
      <c r="H19">
        <v>2.68907563025211E-2</v>
      </c>
      <c r="I19">
        <v>24.466999999999999</v>
      </c>
      <c r="J19">
        <v>6.2858384013900995E-2</v>
      </c>
      <c r="K19" t="s">
        <v>949</v>
      </c>
      <c r="L19" t="s">
        <v>932</v>
      </c>
    </row>
    <row r="20" spans="1:12" x14ac:dyDescent="0.35">
      <c r="A20">
        <v>0.112285409166716</v>
      </c>
      <c r="B20">
        <v>0.121923532437656</v>
      </c>
      <c r="C20">
        <v>0.119951580753957</v>
      </c>
      <c r="D20">
        <v>0.28126959643585903</v>
      </c>
      <c r="E20" t="s">
        <v>1461</v>
      </c>
      <c r="F20" t="s">
        <v>1443</v>
      </c>
      <c r="G20">
        <v>18.228000000000002</v>
      </c>
      <c r="H20">
        <v>2.8726226084993398E-2</v>
      </c>
      <c r="I20">
        <v>26.030999999999999</v>
      </c>
      <c r="J20">
        <v>6.3922834838762405E-2</v>
      </c>
      <c r="K20" t="s">
        <v>950</v>
      </c>
      <c r="L20" t="s">
        <v>932</v>
      </c>
    </row>
    <row r="21" spans="1:12" x14ac:dyDescent="0.35">
      <c r="A21">
        <v>0.10564888426900799</v>
      </c>
      <c r="B21">
        <v>0.139689749601554</v>
      </c>
      <c r="C21">
        <v>0.10861792322335199</v>
      </c>
      <c r="D21">
        <v>0.17691984955710299</v>
      </c>
      <c r="E21" t="s">
        <v>1462</v>
      </c>
      <c r="F21" t="s">
        <v>1443</v>
      </c>
      <c r="G21">
        <v>18.704000000000001</v>
      </c>
      <c r="H21">
        <v>2.6113671274961399E-2</v>
      </c>
      <c r="I21">
        <v>27.113</v>
      </c>
      <c r="J21">
        <v>4.15658253620683E-2</v>
      </c>
      <c r="K21" t="s">
        <v>951</v>
      </c>
      <c r="L21" t="s">
        <v>932</v>
      </c>
    </row>
    <row r="22" spans="1:12" x14ac:dyDescent="0.35">
      <c r="A22">
        <v>7.7418031911128199E-2</v>
      </c>
      <c r="B22">
        <v>7.47377264200315E-2</v>
      </c>
      <c r="C22">
        <v>8.2414004288707196E-2</v>
      </c>
      <c r="D22">
        <v>8.77241949354641E-2</v>
      </c>
      <c r="E22" t="s">
        <v>1463</v>
      </c>
      <c r="F22" t="s">
        <v>1443</v>
      </c>
      <c r="G22">
        <v>19.077999999999999</v>
      </c>
      <c r="H22">
        <v>1.99957228400343E-2</v>
      </c>
      <c r="I22">
        <v>27.689</v>
      </c>
      <c r="J22">
        <v>2.1244421495223698E-2</v>
      </c>
      <c r="K22" t="s">
        <v>952</v>
      </c>
      <c r="L22" t="s">
        <v>932</v>
      </c>
    </row>
    <row r="23" spans="1:12" x14ac:dyDescent="0.35">
      <c r="A23">
        <v>5.00188837807687E-2</v>
      </c>
      <c r="B23">
        <v>5.9076854521070303E-2</v>
      </c>
      <c r="C23">
        <v>9.99907756879512E-2</v>
      </c>
      <c r="D23">
        <v>1.9938623083631101E-2</v>
      </c>
      <c r="E23" t="s">
        <v>1464</v>
      </c>
      <c r="F23" t="s">
        <v>1443</v>
      </c>
      <c r="G23">
        <v>19.538</v>
      </c>
      <c r="H23">
        <v>2.4111542090365898E-2</v>
      </c>
      <c r="I23">
        <v>27.826000000000001</v>
      </c>
      <c r="J23">
        <v>4.9478132110223304E-3</v>
      </c>
      <c r="K23" t="s">
        <v>953</v>
      </c>
      <c r="L23" t="s">
        <v>932</v>
      </c>
    </row>
    <row r="24" spans="1:12" x14ac:dyDescent="0.35">
      <c r="A24">
        <v>7.6956317974106001E-2</v>
      </c>
      <c r="B24">
        <v>5.5091330920863602E-2</v>
      </c>
      <c r="C24">
        <v>6.2847909413525901E-2</v>
      </c>
      <c r="D24">
        <v>1.2710174962932599E-2</v>
      </c>
      <c r="E24" t="s">
        <v>1465</v>
      </c>
      <c r="F24" t="s">
        <v>1443</v>
      </c>
      <c r="G24">
        <v>19.838000000000001</v>
      </c>
      <c r="H24">
        <v>1.5354693417954699E-2</v>
      </c>
      <c r="I24">
        <v>27.914000000000001</v>
      </c>
      <c r="J24">
        <v>3.16250988284339E-3</v>
      </c>
      <c r="K24" t="s">
        <v>954</v>
      </c>
      <c r="L24" t="s">
        <v>932</v>
      </c>
    </row>
    <row r="25" spans="1:12" x14ac:dyDescent="0.35">
      <c r="A25">
        <v>6.8882772668885706E-2</v>
      </c>
      <c r="B25">
        <v>9.5097426388938394E-2</v>
      </c>
      <c r="C25">
        <v>5.9557775023163499E-2</v>
      </c>
      <c r="D25">
        <v>2.4583979224767301E-2</v>
      </c>
      <c r="E25" t="s">
        <v>1466</v>
      </c>
      <c r="F25" t="s">
        <v>1443</v>
      </c>
      <c r="G25">
        <v>20.126999999999999</v>
      </c>
      <c r="H25">
        <v>1.45680008065328E-2</v>
      </c>
      <c r="I25">
        <v>28.084</v>
      </c>
      <c r="J25">
        <v>6.0901339829475499E-3</v>
      </c>
      <c r="K25" t="s">
        <v>955</v>
      </c>
      <c r="L25" t="s">
        <v>932</v>
      </c>
    </row>
    <row r="26" spans="1:12" x14ac:dyDescent="0.35">
      <c r="A26">
        <v>4.46796784787249E-2</v>
      </c>
      <c r="B26">
        <v>5.9702158874865199E-2</v>
      </c>
      <c r="C26">
        <v>5.3094918319799497E-2</v>
      </c>
      <c r="D26">
        <v>1.9800669277978002E-2</v>
      </c>
      <c r="E26" t="s">
        <v>1467</v>
      </c>
      <c r="F26" t="s">
        <v>1443</v>
      </c>
      <c r="G26">
        <v>20.388999999999999</v>
      </c>
      <c r="H26">
        <v>1.30173398916877E-2</v>
      </c>
      <c r="I26">
        <v>28.222000000000001</v>
      </c>
      <c r="J26">
        <v>4.91382993875522E-3</v>
      </c>
      <c r="K26" t="s">
        <v>956</v>
      </c>
      <c r="L26" t="s">
        <v>932</v>
      </c>
    </row>
    <row r="27" spans="1:12" x14ac:dyDescent="0.35">
      <c r="A27">
        <v>3.3979822161052303E-2</v>
      </c>
      <c r="B27">
        <v>3.3961135638896502E-2</v>
      </c>
      <c r="C27">
        <v>5.3215140717762302E-2</v>
      </c>
      <c r="D27">
        <v>3.4743180507705002E-2</v>
      </c>
      <c r="E27" t="s">
        <v>1468</v>
      </c>
      <c r="F27" t="s">
        <v>1443</v>
      </c>
      <c r="G27">
        <v>20.655000000000001</v>
      </c>
      <c r="H27">
        <v>1.3046250429153101E-2</v>
      </c>
      <c r="I27">
        <v>28.463999999999999</v>
      </c>
      <c r="J27">
        <v>8.5748706682728902E-3</v>
      </c>
      <c r="K27" t="s">
        <v>957</v>
      </c>
      <c r="L27" t="s">
        <v>932</v>
      </c>
    </row>
    <row r="28" spans="1:12" x14ac:dyDescent="0.35">
      <c r="A28">
        <v>6.2157602764701697E-2</v>
      </c>
      <c r="B28">
        <v>4.6572413553721298E-2</v>
      </c>
      <c r="C28">
        <v>3.5515485276211803E-2</v>
      </c>
      <c r="D28">
        <v>8.7412684077270396E-3</v>
      </c>
      <c r="E28" t="s">
        <v>1469</v>
      </c>
      <c r="F28" t="s">
        <v>1443</v>
      </c>
      <c r="G28">
        <v>20.835999999999999</v>
      </c>
      <c r="H28">
        <v>8.7630113773904394E-3</v>
      </c>
      <c r="I28">
        <v>28.526</v>
      </c>
      <c r="J28">
        <v>2.17818999437891E-3</v>
      </c>
      <c r="K28" t="s">
        <v>958</v>
      </c>
      <c r="L28" t="s">
        <v>932</v>
      </c>
    </row>
    <row r="29" spans="1:12" x14ac:dyDescent="0.35">
      <c r="A29">
        <v>6.4679796349943294E-2</v>
      </c>
      <c r="B29">
        <v>0.11140543202132699</v>
      </c>
      <c r="C29">
        <v>5.3847641567893498E-2</v>
      </c>
      <c r="D29">
        <v>2.7482019859727602E-2</v>
      </c>
      <c r="E29" t="s">
        <v>1470</v>
      </c>
      <c r="F29" t="s">
        <v>1443</v>
      </c>
      <c r="G29">
        <v>21.111000000000001</v>
      </c>
      <c r="H29">
        <v>1.31983106162412E-2</v>
      </c>
      <c r="I29">
        <v>28.72</v>
      </c>
      <c r="J29">
        <v>6.8008132931360902E-3</v>
      </c>
      <c r="K29" t="s">
        <v>959</v>
      </c>
      <c r="L29" t="s">
        <v>932</v>
      </c>
    </row>
    <row r="30" spans="1:12" x14ac:dyDescent="0.35">
      <c r="A30">
        <v>7.4088172350420103E-2</v>
      </c>
      <c r="B30">
        <v>5.7739458159661701E-2</v>
      </c>
      <c r="C30">
        <v>8.3796072481744796E-2</v>
      </c>
      <c r="D30">
        <v>5.2825931688943499E-2</v>
      </c>
      <c r="E30" t="s">
        <v>1471</v>
      </c>
      <c r="F30" t="s">
        <v>1443</v>
      </c>
      <c r="G30">
        <v>21.54</v>
      </c>
      <c r="H30">
        <v>2.0321159585050302E-2</v>
      </c>
      <c r="I30">
        <v>29.091999999999999</v>
      </c>
      <c r="J30">
        <v>1.2952646239554401E-2</v>
      </c>
      <c r="K30" t="s">
        <v>960</v>
      </c>
      <c r="L30" t="s">
        <v>932</v>
      </c>
    </row>
    <row r="31" spans="1:12" x14ac:dyDescent="0.35">
      <c r="A31">
        <v>7.0308632461715301E-2</v>
      </c>
      <c r="B31">
        <v>4.6296846180206901E-2</v>
      </c>
      <c r="C31">
        <v>8.1880476726010801E-2</v>
      </c>
      <c r="D31">
        <v>4.0048809702137603E-2</v>
      </c>
      <c r="E31" t="s">
        <v>1472</v>
      </c>
      <c r="F31" t="s">
        <v>1443</v>
      </c>
      <c r="G31">
        <v>21.968</v>
      </c>
      <c r="H31">
        <v>1.9870009285051001E-2</v>
      </c>
      <c r="I31">
        <v>29.379000000000001</v>
      </c>
      <c r="J31">
        <v>9.8652550529356696E-3</v>
      </c>
      <c r="K31" t="s">
        <v>961</v>
      </c>
      <c r="L31" t="s">
        <v>932</v>
      </c>
    </row>
    <row r="32" spans="1:12" x14ac:dyDescent="0.35">
      <c r="A32">
        <v>6.1553542794543503E-2</v>
      </c>
      <c r="B32">
        <v>1.98663105662467E-2</v>
      </c>
      <c r="C32">
        <v>7.3501873886998997E-2</v>
      </c>
      <c r="D32">
        <v>5.4874269706492597E-2</v>
      </c>
      <c r="E32" t="s">
        <v>1473</v>
      </c>
      <c r="F32" t="s">
        <v>1443</v>
      </c>
      <c r="G32">
        <v>22.361000000000001</v>
      </c>
      <c r="H32">
        <v>1.7889657683903801E-2</v>
      </c>
      <c r="I32">
        <v>29.774000000000001</v>
      </c>
      <c r="J32">
        <v>1.3444977705163501E-2</v>
      </c>
      <c r="K32" t="s">
        <v>962</v>
      </c>
      <c r="L32" t="s">
        <v>932</v>
      </c>
    </row>
    <row r="33" spans="1:12" x14ac:dyDescent="0.35">
      <c r="A33">
        <v>5.8025197908700303E-2</v>
      </c>
      <c r="B33">
        <v>0.12112082718011299</v>
      </c>
      <c r="C33">
        <v>7.5383891455237398E-2</v>
      </c>
      <c r="D33">
        <v>4.34111575180351E-2</v>
      </c>
      <c r="E33" t="s">
        <v>1474</v>
      </c>
      <c r="F33" t="s">
        <v>1443</v>
      </c>
      <c r="G33">
        <v>22.771000000000001</v>
      </c>
      <c r="H33">
        <v>1.83354948347569E-2</v>
      </c>
      <c r="I33">
        <v>30.091999999999999</v>
      </c>
      <c r="J33">
        <v>1.0680459461274799E-2</v>
      </c>
      <c r="K33" t="s">
        <v>963</v>
      </c>
      <c r="L33" t="s">
        <v>932</v>
      </c>
    </row>
    <row r="34" spans="1:12" x14ac:dyDescent="0.35">
      <c r="A34">
        <v>6.7326294927223501E-2</v>
      </c>
      <c r="B34">
        <v>4.65097292728067E-2</v>
      </c>
      <c r="C34">
        <v>5.9424238450433299E-2</v>
      </c>
      <c r="D34">
        <v>5.0510789433123801E-2</v>
      </c>
      <c r="E34" t="s">
        <v>1475</v>
      </c>
      <c r="F34" t="s">
        <v>1443</v>
      </c>
      <c r="G34">
        <v>23.102</v>
      </c>
      <c r="H34">
        <v>1.4536032673137E-2</v>
      </c>
      <c r="I34">
        <v>30.465</v>
      </c>
      <c r="J34">
        <v>1.23953210155523E-2</v>
      </c>
      <c r="K34" t="s">
        <v>964</v>
      </c>
      <c r="L34" t="s">
        <v>932</v>
      </c>
    </row>
    <row r="35" spans="1:12" x14ac:dyDescent="0.35">
      <c r="A35">
        <v>8.4675701203493298E-2</v>
      </c>
      <c r="B35">
        <v>8.09066486989478E-2</v>
      </c>
      <c r="C35">
        <v>6.5619276167123694E-2</v>
      </c>
      <c r="D35">
        <v>8.0997725857898203E-2</v>
      </c>
      <c r="E35" t="s">
        <v>1476</v>
      </c>
      <c r="F35" t="s">
        <v>1443</v>
      </c>
      <c r="G35">
        <v>23.472000000000001</v>
      </c>
      <c r="H35">
        <v>1.6015929356765699E-2</v>
      </c>
      <c r="I35">
        <v>31.064</v>
      </c>
      <c r="J35">
        <v>1.9661907106515601E-2</v>
      </c>
      <c r="K35" t="s">
        <v>965</v>
      </c>
      <c r="L35" t="s">
        <v>932</v>
      </c>
    </row>
    <row r="36" spans="1:12" x14ac:dyDescent="0.35">
      <c r="A36">
        <v>7.2050406034996906E-2</v>
      </c>
      <c r="B36">
        <v>6.8549166168664605E-2</v>
      </c>
      <c r="C36">
        <v>5.8500992246239197E-2</v>
      </c>
      <c r="D36">
        <v>7.8709215306017405E-2</v>
      </c>
      <c r="E36" t="s">
        <v>1477</v>
      </c>
      <c r="F36" t="s">
        <v>1443</v>
      </c>
      <c r="G36">
        <v>23.808</v>
      </c>
      <c r="H36">
        <v>1.4314928425357899E-2</v>
      </c>
      <c r="I36">
        <v>31.658000000000001</v>
      </c>
      <c r="J36">
        <v>1.9121813031161401E-2</v>
      </c>
      <c r="K36" t="s">
        <v>966</v>
      </c>
      <c r="L36" t="s">
        <v>932</v>
      </c>
    </row>
    <row r="37" spans="1:12" x14ac:dyDescent="0.35">
      <c r="A37">
        <v>7.7759817693589403E-2</v>
      </c>
      <c r="B37">
        <v>7.0826828171957498E-2</v>
      </c>
      <c r="C37">
        <v>5.4682260590980698E-2</v>
      </c>
      <c r="D37">
        <v>7.3455131593814296E-2</v>
      </c>
      <c r="E37" t="s">
        <v>1478</v>
      </c>
      <c r="F37" t="s">
        <v>1443</v>
      </c>
      <c r="G37">
        <v>24.126999999999999</v>
      </c>
      <c r="H37">
        <v>1.33988575268817E-2</v>
      </c>
      <c r="I37">
        <v>32.223999999999997</v>
      </c>
      <c r="J37">
        <v>1.78785772948384E-2</v>
      </c>
      <c r="K37" t="s">
        <v>967</v>
      </c>
      <c r="L37" t="s">
        <v>932</v>
      </c>
    </row>
    <row r="38" spans="1:12" x14ac:dyDescent="0.35">
      <c r="A38">
        <v>7.7602845525897898E-2</v>
      </c>
      <c r="B38">
        <v>7.5755853629737399E-2</v>
      </c>
      <c r="C38">
        <v>0.101819091447914</v>
      </c>
      <c r="D38">
        <v>8.5137769356933707E-2</v>
      </c>
      <c r="E38" t="s">
        <v>1479</v>
      </c>
      <c r="F38" t="s">
        <v>1443</v>
      </c>
      <c r="G38">
        <v>24.719000000000001</v>
      </c>
      <c r="H38">
        <v>2.4536825962614601E-2</v>
      </c>
      <c r="I38">
        <v>32.889000000000003</v>
      </c>
      <c r="J38">
        <v>2.0636792452830299E-2</v>
      </c>
      <c r="K38" t="s">
        <v>968</v>
      </c>
      <c r="L38" t="s">
        <v>932</v>
      </c>
    </row>
    <row r="39" spans="1:12" x14ac:dyDescent="0.35">
      <c r="A39">
        <v>0.113838252689951</v>
      </c>
      <c r="B39">
        <v>6.1815502695247999E-2</v>
      </c>
      <c r="C39">
        <v>9.0287471336475605E-2</v>
      </c>
      <c r="D39">
        <v>0.11311171886032199</v>
      </c>
      <c r="E39" t="s">
        <v>1480</v>
      </c>
      <c r="F39" t="s">
        <v>1443</v>
      </c>
      <c r="G39">
        <v>25.259</v>
      </c>
      <c r="H39">
        <v>2.18455439135887E-2</v>
      </c>
      <c r="I39">
        <v>33.781999999999996</v>
      </c>
      <c r="J39">
        <v>2.7151935297515601E-2</v>
      </c>
      <c r="K39" t="s">
        <v>969</v>
      </c>
      <c r="L39" t="s">
        <v>932</v>
      </c>
    </row>
    <row r="40" spans="1:12" x14ac:dyDescent="0.35">
      <c r="A40">
        <v>0.10293672514128201</v>
      </c>
      <c r="B40">
        <v>9.6664179784869297E-2</v>
      </c>
      <c r="C40">
        <v>0.148038402658868</v>
      </c>
      <c r="D40">
        <v>0.121960082107911</v>
      </c>
      <c r="E40" t="s">
        <v>1481</v>
      </c>
      <c r="F40" t="s">
        <v>1443</v>
      </c>
      <c r="G40">
        <v>26.146000000000001</v>
      </c>
      <c r="H40">
        <v>3.5116196207292602E-2</v>
      </c>
      <c r="I40">
        <v>34.768000000000001</v>
      </c>
      <c r="J40">
        <v>2.9187141081049101E-2</v>
      </c>
      <c r="K40" t="s">
        <v>970</v>
      </c>
      <c r="L40" t="s">
        <v>932</v>
      </c>
    </row>
    <row r="41" spans="1:12" x14ac:dyDescent="0.35">
      <c r="A41">
        <v>0.100470180706661</v>
      </c>
      <c r="B41">
        <v>9.1027084037313494E-2</v>
      </c>
      <c r="C41">
        <v>7.0641984000731503E-2</v>
      </c>
      <c r="D41">
        <v>0.118355060703055</v>
      </c>
      <c r="E41" t="s">
        <v>1482</v>
      </c>
      <c r="F41" t="s">
        <v>1443</v>
      </c>
      <c r="G41">
        <v>26.596</v>
      </c>
      <c r="H41">
        <v>1.7211045666641198E-2</v>
      </c>
      <c r="I41">
        <v>35.753999999999998</v>
      </c>
      <c r="J41">
        <v>2.83594109526E-2</v>
      </c>
      <c r="K41" t="s">
        <v>971</v>
      </c>
      <c r="L41" t="s">
        <v>932</v>
      </c>
    </row>
    <row r="42" spans="1:12" x14ac:dyDescent="0.35">
      <c r="A42">
        <v>0.12552467874009099</v>
      </c>
      <c r="B42">
        <v>8.1451601423466094E-2</v>
      </c>
      <c r="C42">
        <v>0.106909632651843</v>
      </c>
      <c r="D42">
        <v>0.113864763230328</v>
      </c>
      <c r="E42" t="s">
        <v>1483</v>
      </c>
      <c r="F42" t="s">
        <v>1443</v>
      </c>
      <c r="G42">
        <v>27.28</v>
      </c>
      <c r="H42">
        <v>2.5718153105730199E-2</v>
      </c>
      <c r="I42">
        <v>36.731000000000002</v>
      </c>
      <c r="J42">
        <v>2.7325613917324101E-2</v>
      </c>
      <c r="K42" t="s">
        <v>972</v>
      </c>
      <c r="L42" t="s">
        <v>932</v>
      </c>
    </row>
    <row r="43" spans="1:12" x14ac:dyDescent="0.35">
      <c r="A43">
        <v>0.101539889707692</v>
      </c>
      <c r="B43">
        <v>0.163874229132176</v>
      </c>
      <c r="C43">
        <v>0.11299973225785501</v>
      </c>
      <c r="D43">
        <v>0.119816075191493</v>
      </c>
      <c r="E43" t="s">
        <v>1484</v>
      </c>
      <c r="F43" t="s">
        <v>1443</v>
      </c>
      <c r="G43">
        <v>28.02</v>
      </c>
      <c r="H43">
        <v>2.7126099706744799E-2</v>
      </c>
      <c r="I43">
        <v>37.784999999999997</v>
      </c>
      <c r="J43">
        <v>2.8695107674715899E-2</v>
      </c>
      <c r="K43" t="s">
        <v>973</v>
      </c>
      <c r="L43" t="s">
        <v>932</v>
      </c>
    </row>
    <row r="44" spans="1:12" x14ac:dyDescent="0.35">
      <c r="A44">
        <v>9.6919062654431398E-2</v>
      </c>
      <c r="B44">
        <v>4.1150587007602997E-2</v>
      </c>
      <c r="C44">
        <v>0.115930396885483</v>
      </c>
      <c r="D44">
        <v>0.138106666956619</v>
      </c>
      <c r="E44" t="s">
        <v>1485</v>
      </c>
      <c r="F44" t="s">
        <v>1443</v>
      </c>
      <c r="G44">
        <v>28.798999999999999</v>
      </c>
      <c r="H44">
        <v>2.7801570306923699E-2</v>
      </c>
      <c r="I44">
        <v>39.027000000000001</v>
      </c>
      <c r="J44">
        <v>3.2870186581977198E-2</v>
      </c>
      <c r="K44" t="s">
        <v>974</v>
      </c>
      <c r="L44" t="s">
        <v>932</v>
      </c>
    </row>
    <row r="45" spans="1:12" x14ac:dyDescent="0.35">
      <c r="A45">
        <v>0.102667735598145</v>
      </c>
      <c r="B45">
        <v>0.12591483160208999</v>
      </c>
      <c r="C45">
        <v>0.11071312036879399</v>
      </c>
      <c r="D45">
        <v>0.12373918134004901</v>
      </c>
      <c r="E45" t="s">
        <v>1486</v>
      </c>
      <c r="F45" t="s">
        <v>1443</v>
      </c>
      <c r="G45">
        <v>29.565000000000001</v>
      </c>
      <c r="H45">
        <v>2.65981457689504E-2</v>
      </c>
      <c r="I45">
        <v>40.182000000000002</v>
      </c>
      <c r="J45">
        <v>2.9594895841340601E-2</v>
      </c>
      <c r="K45" t="s">
        <v>975</v>
      </c>
      <c r="L45" t="s">
        <v>932</v>
      </c>
    </row>
    <row r="46" spans="1:12" x14ac:dyDescent="0.35">
      <c r="A46">
        <v>0.107873886984393</v>
      </c>
      <c r="B46">
        <v>8.2350511297398302E-2</v>
      </c>
      <c r="C46">
        <v>0.14097064786198199</v>
      </c>
      <c r="D46">
        <v>0.118188584098933</v>
      </c>
      <c r="E46" t="s">
        <v>1487</v>
      </c>
      <c r="F46" t="s">
        <v>1443</v>
      </c>
      <c r="G46">
        <v>30.556000000000001</v>
      </c>
      <c r="H46">
        <v>3.3519364112971399E-2</v>
      </c>
      <c r="I46">
        <v>41.32</v>
      </c>
      <c r="J46">
        <v>2.8321138818376401E-2</v>
      </c>
      <c r="K46" t="s">
        <v>976</v>
      </c>
      <c r="L46" t="s">
        <v>932</v>
      </c>
    </row>
    <row r="47" spans="1:12" x14ac:dyDescent="0.35">
      <c r="A47">
        <v>6.8864078536554199E-2</v>
      </c>
      <c r="B47">
        <v>9.6264819656522296E-2</v>
      </c>
      <c r="C47">
        <v>8.6310442735713797E-2</v>
      </c>
      <c r="D47">
        <v>9.9129163647753094E-2</v>
      </c>
      <c r="E47" t="s">
        <v>1488</v>
      </c>
      <c r="F47" t="s">
        <v>1443</v>
      </c>
      <c r="G47">
        <v>31.195</v>
      </c>
      <c r="H47">
        <v>2.0912423092027701E-2</v>
      </c>
      <c r="I47">
        <v>42.308</v>
      </c>
      <c r="J47">
        <v>2.39109390125847E-2</v>
      </c>
      <c r="K47" t="s">
        <v>977</v>
      </c>
      <c r="L47" t="s">
        <v>932</v>
      </c>
    </row>
    <row r="48" spans="1:12" x14ac:dyDescent="0.35">
      <c r="A48">
        <v>6.7510216956085903E-2</v>
      </c>
      <c r="B48">
        <v>9.0754628296435505E-2</v>
      </c>
      <c r="C48">
        <v>4.8692861535788202E-2</v>
      </c>
      <c r="D48">
        <v>8.4524586959714404E-2</v>
      </c>
      <c r="E48" t="s">
        <v>1489</v>
      </c>
      <c r="F48" t="s">
        <v>1443</v>
      </c>
      <c r="G48">
        <v>31.568000000000001</v>
      </c>
      <c r="H48">
        <v>1.1957044398140699E-2</v>
      </c>
      <c r="I48">
        <v>43.174999999999997</v>
      </c>
      <c r="J48">
        <v>2.0492578235794499E-2</v>
      </c>
      <c r="K48" t="s">
        <v>978</v>
      </c>
      <c r="L48" t="s">
        <v>932</v>
      </c>
    </row>
    <row r="49" spans="1:12" x14ac:dyDescent="0.35">
      <c r="A49">
        <v>6.2684205945477106E-2</v>
      </c>
      <c r="B49">
        <v>7.8781408158281802E-2</v>
      </c>
      <c r="C49">
        <v>6.2752816594642893E-2</v>
      </c>
      <c r="D49">
        <v>7.3171075998094998E-2</v>
      </c>
      <c r="E49" t="s">
        <v>1490</v>
      </c>
      <c r="F49" t="s">
        <v>1443</v>
      </c>
      <c r="G49">
        <v>32.052</v>
      </c>
      <c r="H49">
        <v>1.53319817536746E-2</v>
      </c>
      <c r="I49">
        <v>43.944000000000003</v>
      </c>
      <c r="J49">
        <v>1.7811233352634799E-2</v>
      </c>
      <c r="K49" t="s">
        <v>979</v>
      </c>
      <c r="L49" t="s">
        <v>932</v>
      </c>
    </row>
    <row r="50" spans="1:12" x14ac:dyDescent="0.35">
      <c r="A50">
        <v>5.1825632418063497E-2</v>
      </c>
      <c r="B50">
        <v>6.5520529029189395E-2</v>
      </c>
      <c r="C50">
        <v>7.2002334651775995E-2</v>
      </c>
      <c r="D50">
        <v>5.7261419360111997E-2</v>
      </c>
      <c r="E50" t="s">
        <v>1491</v>
      </c>
      <c r="F50" t="s">
        <v>1443</v>
      </c>
      <c r="G50">
        <v>32.613999999999997</v>
      </c>
      <c r="H50">
        <v>1.7534007238237701E-2</v>
      </c>
      <c r="I50">
        <v>44.56</v>
      </c>
      <c r="J50">
        <v>1.40178408884035E-2</v>
      </c>
      <c r="K50" t="s">
        <v>980</v>
      </c>
      <c r="L50" t="s">
        <v>932</v>
      </c>
    </row>
    <row r="51" spans="1:12" x14ac:dyDescent="0.35">
      <c r="A51">
        <v>3.9076838958162399E-2</v>
      </c>
      <c r="B51">
        <v>8.1541548822787496E-2</v>
      </c>
      <c r="C51">
        <v>6.5317850608274997E-2</v>
      </c>
      <c r="D51">
        <v>6.8572049720328196E-2</v>
      </c>
      <c r="E51" t="s">
        <v>1492</v>
      </c>
      <c r="F51" t="s">
        <v>1443</v>
      </c>
      <c r="G51">
        <v>33.134</v>
      </c>
      <c r="H51">
        <v>1.5944073097442901E-2</v>
      </c>
      <c r="I51">
        <v>45.305</v>
      </c>
      <c r="J51">
        <v>1.6719030520646199E-2</v>
      </c>
      <c r="K51" t="s">
        <v>981</v>
      </c>
      <c r="L51" t="s">
        <v>932</v>
      </c>
    </row>
    <row r="52" spans="1:12" x14ac:dyDescent="0.35">
      <c r="A52">
        <v>6.4698202701339205E-2</v>
      </c>
      <c r="B52">
        <v>3.4072636599968002E-2</v>
      </c>
      <c r="C52">
        <v>6.8068638365729198E-2</v>
      </c>
      <c r="D52">
        <v>4.8078704643683703E-2</v>
      </c>
      <c r="E52" t="s">
        <v>1493</v>
      </c>
      <c r="F52" t="s">
        <v>1443</v>
      </c>
      <c r="G52">
        <v>33.683999999999997</v>
      </c>
      <c r="H52">
        <v>1.65992635963059E-2</v>
      </c>
      <c r="I52">
        <v>45.84</v>
      </c>
      <c r="J52">
        <v>1.1808851120185501E-2</v>
      </c>
      <c r="K52" t="s">
        <v>982</v>
      </c>
      <c r="L52" t="s">
        <v>932</v>
      </c>
    </row>
    <row r="53" spans="1:12" x14ac:dyDescent="0.35">
      <c r="A53">
        <v>4.4829664945906803E-2</v>
      </c>
      <c r="B53">
        <v>4.8009313734526098E-2</v>
      </c>
      <c r="C53">
        <v>6.1455443169872802E-2</v>
      </c>
      <c r="D53">
        <v>1.01606507354322E-2</v>
      </c>
      <c r="E53" t="s">
        <v>1494</v>
      </c>
      <c r="F53" t="s">
        <v>1443</v>
      </c>
      <c r="G53">
        <v>34.19</v>
      </c>
      <c r="H53">
        <v>1.5021968887305399E-2</v>
      </c>
      <c r="I53">
        <v>45.956000000000003</v>
      </c>
      <c r="J53">
        <v>2.5305410122164998E-3</v>
      </c>
      <c r="K53" t="s">
        <v>983</v>
      </c>
      <c r="L53" t="s">
        <v>932</v>
      </c>
    </row>
    <row r="54" spans="1:12" x14ac:dyDescent="0.35">
      <c r="A54">
        <v>3.3496613159939903E-2</v>
      </c>
      <c r="B54">
        <v>7.5539459294806698E-3</v>
      </c>
      <c r="C54">
        <v>3.4722196261408399E-2</v>
      </c>
      <c r="D54">
        <v>3.7479666516224701E-3</v>
      </c>
      <c r="E54" t="s">
        <v>1495</v>
      </c>
      <c r="F54" t="s">
        <v>1443</v>
      </c>
      <c r="G54">
        <v>34.482999999999997</v>
      </c>
      <c r="H54">
        <v>8.5697572389587008E-3</v>
      </c>
      <c r="I54">
        <v>45.999000000000002</v>
      </c>
      <c r="J54">
        <v>9.3567760466539696E-4</v>
      </c>
      <c r="K54" t="s">
        <v>984</v>
      </c>
      <c r="L54" t="s">
        <v>932</v>
      </c>
    </row>
    <row r="55" spans="1:12" x14ac:dyDescent="0.35">
      <c r="A55">
        <v>3.7100673423204902E-2</v>
      </c>
      <c r="B55">
        <v>3.1269437697415199E-2</v>
      </c>
      <c r="C55">
        <v>5.5765239502398901E-2</v>
      </c>
      <c r="D55">
        <v>-5.3805310591299397E-3</v>
      </c>
      <c r="E55" t="s">
        <v>1496</v>
      </c>
      <c r="F55" t="s">
        <v>1443</v>
      </c>
      <c r="G55">
        <v>34.954000000000001</v>
      </c>
      <c r="H55">
        <v>1.36589043876694E-2</v>
      </c>
      <c r="I55">
        <v>45.936999999999998</v>
      </c>
      <c r="J55">
        <v>-1.3478553881607299E-3</v>
      </c>
      <c r="K55" t="s">
        <v>985</v>
      </c>
      <c r="L55" t="s">
        <v>932</v>
      </c>
    </row>
    <row r="56" spans="1:12" x14ac:dyDescent="0.35">
      <c r="A56">
        <v>5.3607020035561601E-2</v>
      </c>
      <c r="B56">
        <v>4.5007889346835098E-2</v>
      </c>
      <c r="C56">
        <v>4.7632291898301399E-2</v>
      </c>
      <c r="D56">
        <v>2.2658930308778699E-3</v>
      </c>
      <c r="E56" t="s">
        <v>1497</v>
      </c>
      <c r="F56" t="s">
        <v>1443</v>
      </c>
      <c r="G56">
        <v>35.363</v>
      </c>
      <c r="H56">
        <v>1.17010928649082E-2</v>
      </c>
      <c r="I56">
        <v>45.963000000000001</v>
      </c>
      <c r="J56">
        <v>5.6599255502098899E-4</v>
      </c>
      <c r="K56" t="s">
        <v>986</v>
      </c>
      <c r="L56" t="s">
        <v>932</v>
      </c>
    </row>
    <row r="57" spans="1:12" x14ac:dyDescent="0.35">
      <c r="A57">
        <v>2.6644627827705498E-2</v>
      </c>
      <c r="B57">
        <v>2.64126969592136E-2</v>
      </c>
      <c r="C57">
        <v>3.7969215238040602E-2</v>
      </c>
      <c r="D57">
        <v>-1.13086488994096E-3</v>
      </c>
      <c r="E57" t="s">
        <v>1498</v>
      </c>
      <c r="F57" t="s">
        <v>1443</v>
      </c>
      <c r="G57">
        <v>35.694000000000003</v>
      </c>
      <c r="H57">
        <v>9.3600656052936805E-3</v>
      </c>
      <c r="I57">
        <v>45.95</v>
      </c>
      <c r="J57">
        <v>-2.82836194330227E-4</v>
      </c>
      <c r="K57" t="s">
        <v>987</v>
      </c>
      <c r="L57" t="s">
        <v>932</v>
      </c>
    </row>
    <row r="58" spans="1:12" x14ac:dyDescent="0.35">
      <c r="A58">
        <v>4.3935723897537297E-2</v>
      </c>
      <c r="B58">
        <v>5.28225710519643E-2</v>
      </c>
      <c r="C58">
        <v>7.2018998740306803E-2</v>
      </c>
      <c r="D58">
        <v>4.3596665649268101E-3</v>
      </c>
      <c r="E58" t="s">
        <v>1499</v>
      </c>
      <c r="F58" t="s">
        <v>1443</v>
      </c>
      <c r="G58">
        <v>36.32</v>
      </c>
      <c r="H58">
        <v>1.7537961562167099E-2</v>
      </c>
      <c r="I58">
        <v>46</v>
      </c>
      <c r="J58">
        <v>1.0881392818280499E-3</v>
      </c>
      <c r="K58" t="s">
        <v>988</v>
      </c>
      <c r="L58" t="s">
        <v>932</v>
      </c>
    </row>
    <row r="59" spans="1:12" x14ac:dyDescent="0.35">
      <c r="A59">
        <v>3.93022623248813E-2</v>
      </c>
      <c r="B59">
        <v>4.0487191821635002E-2</v>
      </c>
      <c r="C59">
        <v>4.4330796852368702E-2</v>
      </c>
      <c r="D59">
        <v>1.4249428601276599E-2</v>
      </c>
      <c r="E59" t="s">
        <v>1500</v>
      </c>
      <c r="F59" t="s">
        <v>1443</v>
      </c>
      <c r="G59">
        <v>36.716000000000001</v>
      </c>
      <c r="H59">
        <v>1.09030837004405E-2</v>
      </c>
      <c r="I59">
        <v>46.162999999999997</v>
      </c>
      <c r="J59">
        <v>3.5434782608694299E-3</v>
      </c>
      <c r="K59" t="s">
        <v>989</v>
      </c>
      <c r="L59" t="s">
        <v>932</v>
      </c>
    </row>
    <row r="60" spans="1:12" x14ac:dyDescent="0.35">
      <c r="A60">
        <v>3.1206818640470101E-2</v>
      </c>
      <c r="B60">
        <v>6.08178890509075E-2</v>
      </c>
      <c r="C60">
        <v>4.3619950255883798E-2</v>
      </c>
      <c r="D60">
        <v>1.29734153291148E-2</v>
      </c>
      <c r="E60" t="s">
        <v>1501</v>
      </c>
      <c r="F60" t="s">
        <v>1443</v>
      </c>
      <c r="G60">
        <v>37.11</v>
      </c>
      <c r="H60">
        <v>1.07310164505936E-2</v>
      </c>
      <c r="I60">
        <v>46.311999999999998</v>
      </c>
      <c r="J60">
        <v>3.22769317418703E-3</v>
      </c>
      <c r="K60" t="s">
        <v>990</v>
      </c>
      <c r="L60" t="s">
        <v>932</v>
      </c>
    </row>
    <row r="61" spans="1:12" x14ac:dyDescent="0.35">
      <c r="A61">
        <v>2.4937045869749999E-2</v>
      </c>
      <c r="B61">
        <v>5.0188195911601098E-2</v>
      </c>
      <c r="C61">
        <v>4.8053419713626901E-2</v>
      </c>
      <c r="D61">
        <v>8.1435979249952998E-3</v>
      </c>
      <c r="E61" t="s">
        <v>1502</v>
      </c>
      <c r="F61" t="s">
        <v>1443</v>
      </c>
      <c r="G61">
        <v>37.548000000000002</v>
      </c>
      <c r="H61">
        <v>1.1802748585286999E-2</v>
      </c>
      <c r="I61">
        <v>46.405999999999999</v>
      </c>
      <c r="J61">
        <v>2.0297115218517198E-3</v>
      </c>
      <c r="K61" t="s">
        <v>991</v>
      </c>
      <c r="L61" t="s">
        <v>932</v>
      </c>
    </row>
    <row r="62" spans="1:12" x14ac:dyDescent="0.35">
      <c r="A62">
        <v>4.8021891562025902E-2</v>
      </c>
      <c r="B62">
        <v>-1.5869949670850401E-2</v>
      </c>
      <c r="C62">
        <v>5.3895269710959599E-2</v>
      </c>
      <c r="D62">
        <v>2.2424648618448499E-2</v>
      </c>
      <c r="E62" t="s">
        <v>1503</v>
      </c>
      <c r="F62" t="s">
        <v>1443</v>
      </c>
      <c r="G62">
        <v>38.043999999999997</v>
      </c>
      <c r="H62">
        <v>1.3209758176201E-2</v>
      </c>
      <c r="I62">
        <v>46.664000000000001</v>
      </c>
      <c r="J62">
        <v>5.5596259104426799E-3</v>
      </c>
      <c r="K62" t="s">
        <v>992</v>
      </c>
      <c r="L62" t="s">
        <v>932</v>
      </c>
    </row>
    <row r="63" spans="1:12" x14ac:dyDescent="0.35">
      <c r="A63">
        <v>3.2831975950411901E-2</v>
      </c>
      <c r="B63">
        <v>9.4485381047573203E-3</v>
      </c>
      <c r="C63">
        <v>4.6526948089148097E-2</v>
      </c>
      <c r="D63">
        <v>1.2400816449865701E-2</v>
      </c>
      <c r="E63" t="s">
        <v>1504</v>
      </c>
      <c r="F63" t="s">
        <v>1443</v>
      </c>
      <c r="G63">
        <v>38.478999999999999</v>
      </c>
      <c r="H63">
        <v>1.1434128903375E-2</v>
      </c>
      <c r="I63">
        <v>46.808</v>
      </c>
      <c r="J63">
        <v>3.0858906223212301E-3</v>
      </c>
      <c r="K63" t="s">
        <v>993</v>
      </c>
      <c r="L63" t="s">
        <v>932</v>
      </c>
    </row>
    <row r="64" spans="1:12" x14ac:dyDescent="0.35">
      <c r="A64">
        <v>3.1711964087017402E-2</v>
      </c>
      <c r="B64">
        <v>2.1519541922931699E-2</v>
      </c>
      <c r="C64">
        <v>3.7630817464174598E-2</v>
      </c>
      <c r="D64">
        <v>1.6508679737656601E-2</v>
      </c>
      <c r="E64" t="s">
        <v>1505</v>
      </c>
      <c r="F64" t="s">
        <v>1443</v>
      </c>
      <c r="G64">
        <v>38.835999999999999</v>
      </c>
      <c r="H64">
        <v>9.2777878843004497E-3</v>
      </c>
      <c r="I64">
        <v>47</v>
      </c>
      <c r="J64">
        <v>4.1018629294138397E-3</v>
      </c>
      <c r="K64" t="s">
        <v>994</v>
      </c>
      <c r="L64" t="s">
        <v>932</v>
      </c>
    </row>
    <row r="65" spans="1:12" x14ac:dyDescent="0.35">
      <c r="A65">
        <v>2.8237310351865798E-2</v>
      </c>
      <c r="B65">
        <v>2.6513418939119401E-2</v>
      </c>
      <c r="C65">
        <v>4.0884190168569902E-2</v>
      </c>
      <c r="D65">
        <v>2.40435812756121E-2</v>
      </c>
      <c r="E65" t="s">
        <v>1506</v>
      </c>
      <c r="F65" t="s">
        <v>1443</v>
      </c>
      <c r="G65">
        <v>39.226999999999997</v>
      </c>
      <c r="H65">
        <v>1.0067978164589601E-2</v>
      </c>
      <c r="I65">
        <v>47.28</v>
      </c>
      <c r="J65">
        <v>5.9574468085106204E-3</v>
      </c>
      <c r="K65" t="s">
        <v>995</v>
      </c>
      <c r="L65" t="s">
        <v>932</v>
      </c>
    </row>
    <row r="66" spans="1:12" x14ac:dyDescent="0.35">
      <c r="A66">
        <v>2.86487834236928E-2</v>
      </c>
      <c r="B66">
        <v>-1.00878062845416E-2</v>
      </c>
      <c r="C66">
        <v>1.47648166353573E-2</v>
      </c>
      <c r="D66">
        <v>2.5106061305751201E-2</v>
      </c>
      <c r="E66" t="s">
        <v>1507</v>
      </c>
      <c r="F66" t="s">
        <v>1443</v>
      </c>
      <c r="G66">
        <v>39.371000000000002</v>
      </c>
      <c r="H66">
        <v>3.6709409335409201E-3</v>
      </c>
      <c r="I66">
        <v>47.573999999999998</v>
      </c>
      <c r="J66">
        <v>6.2182741116749698E-3</v>
      </c>
      <c r="K66" t="s">
        <v>996</v>
      </c>
      <c r="L66" t="s">
        <v>932</v>
      </c>
    </row>
    <row r="67" spans="1:12" x14ac:dyDescent="0.35">
      <c r="A67">
        <v>-4.2153079272678803E-3</v>
      </c>
      <c r="B67">
        <v>-9.8843189037382002E-3</v>
      </c>
      <c r="C67">
        <v>1.2042523964300099E-2</v>
      </c>
      <c r="D67">
        <v>4.1753162692227598E-2</v>
      </c>
      <c r="E67" t="s">
        <v>1508</v>
      </c>
      <c r="F67" t="s">
        <v>1443</v>
      </c>
      <c r="G67">
        <v>39.488999999999997</v>
      </c>
      <c r="H67">
        <v>2.9971298671609401E-3</v>
      </c>
      <c r="I67">
        <v>48.063000000000002</v>
      </c>
      <c r="J67">
        <v>1.02787236725943E-2</v>
      </c>
      <c r="K67" t="s">
        <v>997</v>
      </c>
      <c r="L67" t="s">
        <v>932</v>
      </c>
    </row>
    <row r="68" spans="1:12" x14ac:dyDescent="0.35">
      <c r="A68">
        <v>2.1224970793817698E-2</v>
      </c>
      <c r="B68">
        <v>5.6401548408471199E-3</v>
      </c>
      <c r="C68">
        <v>3.4679470629119601E-2</v>
      </c>
      <c r="D68">
        <v>3.6953475595025202E-2</v>
      </c>
      <c r="E68" t="s">
        <v>1509</v>
      </c>
      <c r="F68" t="s">
        <v>1443</v>
      </c>
      <c r="G68">
        <v>39.826999999999998</v>
      </c>
      <c r="H68">
        <v>8.5593456405581598E-3</v>
      </c>
      <c r="I68">
        <v>48.500999999999998</v>
      </c>
      <c r="J68">
        <v>9.1130391361338194E-3</v>
      </c>
      <c r="K68" t="s">
        <v>998</v>
      </c>
      <c r="L68" t="s">
        <v>932</v>
      </c>
    </row>
    <row r="69" spans="1:12" x14ac:dyDescent="0.35">
      <c r="A69">
        <v>2.4413629868112598E-2</v>
      </c>
      <c r="B69">
        <v>4.55022354216461E-3</v>
      </c>
      <c r="C69">
        <v>5.3779833992726497E-2</v>
      </c>
      <c r="D69">
        <v>4.4006184582173501E-2</v>
      </c>
      <c r="E69" t="s">
        <v>1510</v>
      </c>
      <c r="F69" t="s">
        <v>1443</v>
      </c>
      <c r="G69">
        <v>40.351999999999997</v>
      </c>
      <c r="H69">
        <v>1.3182012202777E-2</v>
      </c>
      <c r="I69">
        <v>49.026000000000003</v>
      </c>
      <c r="J69">
        <v>1.08245190820808E-2</v>
      </c>
      <c r="K69" t="s">
        <v>999</v>
      </c>
      <c r="L69" t="s">
        <v>932</v>
      </c>
    </row>
    <row r="70" spans="1:12" x14ac:dyDescent="0.35">
      <c r="A70">
        <v>3.8220568833408297E-2</v>
      </c>
      <c r="B70">
        <v>-6.8268953681047701E-3</v>
      </c>
      <c r="C70">
        <v>6.6318650583382599E-2</v>
      </c>
      <c r="D70">
        <v>2.5866237951436302E-2</v>
      </c>
      <c r="E70" t="s">
        <v>1511</v>
      </c>
      <c r="F70" t="s">
        <v>1443</v>
      </c>
      <c r="G70">
        <v>41.005000000000003</v>
      </c>
      <c r="H70">
        <v>1.61825931800159E-2</v>
      </c>
      <c r="I70">
        <v>49.34</v>
      </c>
      <c r="J70">
        <v>6.4047648186675897E-3</v>
      </c>
      <c r="K70" t="s">
        <v>1000</v>
      </c>
      <c r="L70" t="s">
        <v>932</v>
      </c>
    </row>
    <row r="71" spans="1:12" x14ac:dyDescent="0.35">
      <c r="A71">
        <v>3.9129087464599803E-2</v>
      </c>
      <c r="B71">
        <v>1.9164012541417402E-2</v>
      </c>
      <c r="C71">
        <v>5.3726223643289599E-2</v>
      </c>
      <c r="D71">
        <v>3.4070959420577702E-2</v>
      </c>
      <c r="E71" t="s">
        <v>1512</v>
      </c>
      <c r="F71" t="s">
        <v>1443</v>
      </c>
      <c r="G71">
        <v>41.545000000000002</v>
      </c>
      <c r="H71">
        <v>1.3169125716376E-2</v>
      </c>
      <c r="I71">
        <v>49.755000000000003</v>
      </c>
      <c r="J71">
        <v>8.4110255370895004E-3</v>
      </c>
      <c r="K71" t="s">
        <v>1001</v>
      </c>
      <c r="L71" t="s">
        <v>932</v>
      </c>
    </row>
    <row r="72" spans="1:12" x14ac:dyDescent="0.35">
      <c r="A72">
        <v>3.8454021368670203E-2</v>
      </c>
      <c r="B72">
        <v>2.9219770282175001E-2</v>
      </c>
      <c r="C72">
        <v>5.1713813262120399E-2</v>
      </c>
      <c r="D72">
        <v>3.6092988240003197E-2</v>
      </c>
      <c r="E72" t="s">
        <v>1513</v>
      </c>
      <c r="F72" t="s">
        <v>1443</v>
      </c>
      <c r="G72">
        <v>42.072000000000003</v>
      </c>
      <c r="H72">
        <v>1.2685040317727899E-2</v>
      </c>
      <c r="I72">
        <v>50.198</v>
      </c>
      <c r="J72">
        <v>8.9036277761027592E-3</v>
      </c>
      <c r="K72" t="s">
        <v>1002</v>
      </c>
      <c r="L72" t="s">
        <v>932</v>
      </c>
    </row>
    <row r="73" spans="1:12" x14ac:dyDescent="0.35">
      <c r="A73">
        <v>3.5013174112648898E-2</v>
      </c>
      <c r="B73">
        <v>8.3996255435596599E-3</v>
      </c>
      <c r="C73">
        <v>2.4659104438458999E-2</v>
      </c>
      <c r="D73">
        <v>2.13651369698558E-2</v>
      </c>
      <c r="E73" t="s">
        <v>1514</v>
      </c>
      <c r="F73" t="s">
        <v>1443</v>
      </c>
      <c r="G73">
        <v>42.329000000000001</v>
      </c>
      <c r="H73">
        <v>6.1085757748620103E-3</v>
      </c>
      <c r="I73">
        <v>50.463999999999999</v>
      </c>
      <c r="J73">
        <v>5.29901589704762E-3</v>
      </c>
      <c r="K73" t="s">
        <v>1003</v>
      </c>
      <c r="L73" t="s">
        <v>932</v>
      </c>
    </row>
    <row r="74" spans="1:12" x14ac:dyDescent="0.35">
      <c r="A74">
        <v>3.19577361885768E-2</v>
      </c>
      <c r="B74">
        <v>5.5666299963321703E-2</v>
      </c>
      <c r="C74">
        <v>1.7884305064996799E-2</v>
      </c>
      <c r="D74">
        <v>3.2571809116936898E-2</v>
      </c>
      <c r="E74" t="s">
        <v>1515</v>
      </c>
      <c r="F74" t="s">
        <v>1443</v>
      </c>
      <c r="G74">
        <v>42.517000000000003</v>
      </c>
      <c r="H74">
        <v>4.4413995133361101E-3</v>
      </c>
      <c r="I74">
        <v>50.87</v>
      </c>
      <c r="J74">
        <v>8.0453392517438899E-3</v>
      </c>
      <c r="K74" t="s">
        <v>1004</v>
      </c>
      <c r="L74" t="s">
        <v>932</v>
      </c>
    </row>
    <row r="75" spans="1:12" x14ac:dyDescent="0.35">
      <c r="A75">
        <v>4.4899260052234199E-2</v>
      </c>
      <c r="B75">
        <v>3.99278081765242E-2</v>
      </c>
      <c r="C75">
        <v>4.3789897152202203E-2</v>
      </c>
      <c r="D75">
        <v>2.2279292577718199E-2</v>
      </c>
      <c r="E75" t="s">
        <v>1516</v>
      </c>
      <c r="F75" t="s">
        <v>1443</v>
      </c>
      <c r="G75">
        <v>42.975000000000001</v>
      </c>
      <c r="H75">
        <v>1.0772161723545901E-2</v>
      </c>
      <c r="I75">
        <v>51.151000000000003</v>
      </c>
      <c r="J75">
        <v>5.5238844112444098E-3</v>
      </c>
      <c r="K75" t="s">
        <v>1005</v>
      </c>
      <c r="L75" t="s">
        <v>932</v>
      </c>
    </row>
    <row r="76" spans="1:12" x14ac:dyDescent="0.35">
      <c r="A76">
        <v>5.0215068802573502E-2</v>
      </c>
      <c r="B76">
        <v>2.3053377277420399E-2</v>
      </c>
      <c r="C76">
        <v>3.6032445200426998E-2</v>
      </c>
      <c r="D76">
        <v>2.6056753006691701E-2</v>
      </c>
      <c r="E76" t="s">
        <v>1517</v>
      </c>
      <c r="F76" t="s">
        <v>1443</v>
      </c>
      <c r="G76">
        <v>43.356999999999999</v>
      </c>
      <c r="H76">
        <v>8.8888888888889496E-3</v>
      </c>
      <c r="I76">
        <v>51.481000000000002</v>
      </c>
      <c r="J76">
        <v>6.45148677445206E-3</v>
      </c>
      <c r="K76" t="s">
        <v>1006</v>
      </c>
      <c r="L76" t="s">
        <v>932</v>
      </c>
    </row>
    <row r="77" spans="1:12" x14ac:dyDescent="0.35">
      <c r="A77">
        <v>4.1025346631292002E-2</v>
      </c>
      <c r="B77">
        <v>3.2561998713341901E-2</v>
      </c>
      <c r="C77">
        <v>5.2865449677459202E-2</v>
      </c>
      <c r="D77">
        <v>2.13020937510979E-2</v>
      </c>
      <c r="E77" t="s">
        <v>1518</v>
      </c>
      <c r="F77" t="s">
        <v>1443</v>
      </c>
      <c r="G77">
        <v>43.918999999999997</v>
      </c>
      <c r="H77">
        <v>1.29621514403671E-2</v>
      </c>
      <c r="I77">
        <v>51.753</v>
      </c>
      <c r="J77">
        <v>5.2835026514637101E-3</v>
      </c>
      <c r="K77" t="s">
        <v>1007</v>
      </c>
      <c r="L77" t="s">
        <v>932</v>
      </c>
    </row>
    <row r="78" spans="1:12" x14ac:dyDescent="0.35">
      <c r="A78">
        <v>4.6770164599538401E-2</v>
      </c>
      <c r="B78">
        <v>3.00519488200592E-2</v>
      </c>
      <c r="C78">
        <v>6.2050852369377699E-2</v>
      </c>
      <c r="D78">
        <v>1.9463013158635498E-2</v>
      </c>
      <c r="E78" t="s">
        <v>1519</v>
      </c>
      <c r="F78" t="s">
        <v>1443</v>
      </c>
      <c r="G78">
        <v>44.585000000000001</v>
      </c>
      <c r="H78">
        <v>1.5164279696714401E-2</v>
      </c>
      <c r="I78">
        <v>52.003</v>
      </c>
      <c r="J78">
        <v>4.8306378374200999E-3</v>
      </c>
      <c r="K78" t="s">
        <v>1008</v>
      </c>
      <c r="L78" t="s">
        <v>932</v>
      </c>
    </row>
    <row r="79" spans="1:12" x14ac:dyDescent="0.35">
      <c r="A79">
        <v>5.4994617531312101E-2</v>
      </c>
      <c r="B79">
        <v>2.9679316947533299E-2</v>
      </c>
      <c r="C79">
        <v>6.0821876360983101E-2</v>
      </c>
      <c r="D79">
        <v>3.2856918868300999E-2</v>
      </c>
      <c r="E79" t="s">
        <v>1520</v>
      </c>
      <c r="F79" t="s">
        <v>1443</v>
      </c>
      <c r="G79">
        <v>45.247999999999998</v>
      </c>
      <c r="H79">
        <v>1.48704721318829E-2</v>
      </c>
      <c r="I79">
        <v>52.424999999999997</v>
      </c>
      <c r="J79">
        <v>8.1149164471279196E-3</v>
      </c>
      <c r="K79" t="s">
        <v>1009</v>
      </c>
      <c r="L79" t="s">
        <v>932</v>
      </c>
    </row>
    <row r="80" spans="1:12" x14ac:dyDescent="0.35">
      <c r="A80">
        <v>2.3822978628153201E-2</v>
      </c>
      <c r="B80">
        <v>2.0057150963272801E-2</v>
      </c>
      <c r="C80">
        <v>3.9922896172757301E-2</v>
      </c>
      <c r="D80">
        <v>3.0012482573731999E-2</v>
      </c>
      <c r="E80" t="s">
        <v>1521</v>
      </c>
      <c r="F80" t="s">
        <v>1443</v>
      </c>
      <c r="G80">
        <v>45.692999999999998</v>
      </c>
      <c r="H80">
        <v>9.8346888260254506E-3</v>
      </c>
      <c r="I80">
        <v>52.814</v>
      </c>
      <c r="J80">
        <v>7.4201239866476002E-3</v>
      </c>
      <c r="K80" t="s">
        <v>1010</v>
      </c>
      <c r="L80" t="s">
        <v>932</v>
      </c>
    </row>
    <row r="81" spans="1:12" x14ac:dyDescent="0.35">
      <c r="A81">
        <v>3.1803231650019199E-2</v>
      </c>
      <c r="B81">
        <v>1.4432124176051201E-2</v>
      </c>
      <c r="C81">
        <v>6.0046453160524503E-2</v>
      </c>
      <c r="D81">
        <v>2.2222434897181301E-2</v>
      </c>
      <c r="E81" t="s">
        <v>1522</v>
      </c>
      <c r="F81" t="s">
        <v>1443</v>
      </c>
      <c r="G81">
        <v>46.363999999999997</v>
      </c>
      <c r="H81">
        <v>1.46849626857506E-2</v>
      </c>
      <c r="I81">
        <v>53.104999999999997</v>
      </c>
      <c r="J81">
        <v>5.5099026773204303E-3</v>
      </c>
      <c r="K81" t="s">
        <v>1011</v>
      </c>
      <c r="L81" t="s">
        <v>932</v>
      </c>
    </row>
    <row r="82" spans="1:12" x14ac:dyDescent="0.35">
      <c r="A82">
        <v>5.92740793130948E-2</v>
      </c>
      <c r="B82">
        <v>2.8330647899498702E-2</v>
      </c>
      <c r="C82">
        <v>6.4935137330784501E-2</v>
      </c>
      <c r="D82">
        <v>2.9085137772108E-2</v>
      </c>
      <c r="E82" t="s">
        <v>1523</v>
      </c>
      <c r="F82" t="s">
        <v>1443</v>
      </c>
      <c r="G82">
        <v>47.098999999999997</v>
      </c>
      <c r="H82">
        <v>1.5852816840652199E-2</v>
      </c>
      <c r="I82">
        <v>53.487000000000002</v>
      </c>
      <c r="J82">
        <v>7.1932962997835999E-3</v>
      </c>
      <c r="K82" t="s">
        <v>1012</v>
      </c>
      <c r="L82" t="s">
        <v>932</v>
      </c>
    </row>
    <row r="83" spans="1:12" x14ac:dyDescent="0.35">
      <c r="A83">
        <v>3.6833081072387398E-2</v>
      </c>
      <c r="B83">
        <v>7.0464261662823505E-2</v>
      </c>
      <c r="C83">
        <v>4.34077415784246E-2</v>
      </c>
      <c r="D83">
        <v>3.5768290293157798E-2</v>
      </c>
      <c r="E83" t="s">
        <v>1524</v>
      </c>
      <c r="F83" t="s">
        <v>1443</v>
      </c>
      <c r="G83">
        <v>47.601999999999997</v>
      </c>
      <c r="H83">
        <v>1.0679632263954599E-2</v>
      </c>
      <c r="I83">
        <v>53.959000000000003</v>
      </c>
      <c r="J83">
        <v>8.8245741955990092E-3</v>
      </c>
      <c r="K83" t="s">
        <v>1013</v>
      </c>
      <c r="L83" t="s">
        <v>932</v>
      </c>
    </row>
    <row r="84" spans="1:12" x14ac:dyDescent="0.35">
      <c r="A84">
        <v>5.1769155239957503E-2</v>
      </c>
      <c r="B84">
        <v>5.3870047588526803E-3</v>
      </c>
      <c r="C84">
        <v>5.9429132401131797E-2</v>
      </c>
      <c r="D84">
        <v>3.9413809912278698E-2</v>
      </c>
      <c r="E84" t="s">
        <v>1525</v>
      </c>
      <c r="F84" t="s">
        <v>1443</v>
      </c>
      <c r="G84">
        <v>48.293999999999997</v>
      </c>
      <c r="H84">
        <v>1.4537204319146299E-2</v>
      </c>
      <c r="I84">
        <v>54.482999999999997</v>
      </c>
      <c r="J84">
        <v>9.7110769287791499E-3</v>
      </c>
      <c r="K84" t="s">
        <v>1014</v>
      </c>
      <c r="L84" t="s">
        <v>932</v>
      </c>
    </row>
    <row r="85" spans="1:12" x14ac:dyDescent="0.35">
      <c r="A85">
        <v>5.3985249536158401E-2</v>
      </c>
      <c r="B85">
        <v>4.8480456964960797E-2</v>
      </c>
      <c r="C85">
        <v>7.7879333039596599E-2</v>
      </c>
      <c r="D85">
        <v>1.0688095589023601E-2</v>
      </c>
      <c r="E85" t="s">
        <v>1526</v>
      </c>
      <c r="F85" t="s">
        <v>1443</v>
      </c>
      <c r="G85">
        <v>49.207999999999998</v>
      </c>
      <c r="H85">
        <v>1.8925746469540702E-2</v>
      </c>
      <c r="I85">
        <v>54.628</v>
      </c>
      <c r="J85">
        <v>2.66138061413668E-3</v>
      </c>
      <c r="K85" t="s">
        <v>1015</v>
      </c>
      <c r="L85" t="s">
        <v>932</v>
      </c>
    </row>
    <row r="86" spans="1:12" x14ac:dyDescent="0.35">
      <c r="A86">
        <v>2.1158982786186002E-2</v>
      </c>
      <c r="B86">
        <v>3.6386290478485302E-2</v>
      </c>
      <c r="C86">
        <v>1.91574066493869E-2</v>
      </c>
      <c r="D86">
        <v>7.9315148019272197E-3</v>
      </c>
      <c r="E86" t="s">
        <v>1527</v>
      </c>
      <c r="F86" t="s">
        <v>1443</v>
      </c>
      <c r="G86">
        <v>49.442</v>
      </c>
      <c r="H86">
        <v>4.7553243375060301E-3</v>
      </c>
      <c r="I86">
        <v>54.735999999999997</v>
      </c>
      <c r="J86">
        <v>1.9770081276999601E-3</v>
      </c>
      <c r="K86" t="s">
        <v>1016</v>
      </c>
      <c r="L86" t="s">
        <v>932</v>
      </c>
    </row>
    <row r="87" spans="1:12" x14ac:dyDescent="0.35">
      <c r="A87">
        <v>2.2052154501282398E-2</v>
      </c>
      <c r="B87">
        <v>1.9883287825612099E-2</v>
      </c>
      <c r="C87">
        <v>2.5316754451185201E-2</v>
      </c>
      <c r="D87">
        <v>2.0767815828135701E-2</v>
      </c>
      <c r="E87" t="s">
        <v>1528</v>
      </c>
      <c r="F87" t="s">
        <v>1443</v>
      </c>
      <c r="G87">
        <v>49.752000000000002</v>
      </c>
      <c r="H87">
        <v>6.2699728975366097E-3</v>
      </c>
      <c r="I87">
        <v>55.018000000000001</v>
      </c>
      <c r="J87">
        <v>5.1520023384976597E-3</v>
      </c>
      <c r="K87" t="s">
        <v>1017</v>
      </c>
      <c r="L87" t="s">
        <v>932</v>
      </c>
    </row>
    <row r="88" spans="1:12" x14ac:dyDescent="0.35">
      <c r="A88">
        <v>2.7438615126695699E-2</v>
      </c>
      <c r="B88">
        <v>5.2374465161812503E-2</v>
      </c>
      <c r="C88">
        <v>3.8739820782161899E-2</v>
      </c>
      <c r="D88">
        <v>1.0657034721188501E-2</v>
      </c>
      <c r="E88" t="s">
        <v>1529</v>
      </c>
      <c r="F88" t="s">
        <v>1443</v>
      </c>
      <c r="G88">
        <v>50.226999999999997</v>
      </c>
      <c r="H88">
        <v>9.5473548802056402E-3</v>
      </c>
      <c r="I88">
        <v>55.164000000000001</v>
      </c>
      <c r="J88">
        <v>2.6536769784435399E-3</v>
      </c>
      <c r="K88" t="s">
        <v>1018</v>
      </c>
      <c r="L88" t="s">
        <v>932</v>
      </c>
    </row>
    <row r="89" spans="1:12" x14ac:dyDescent="0.35">
      <c r="A89">
        <v>2.9370792816648401E-2</v>
      </c>
      <c r="B89">
        <v>4.1076934031538899E-2</v>
      </c>
      <c r="C89">
        <v>4.6254885206873202E-2</v>
      </c>
      <c r="D89">
        <v>-9.9690396175571294E-3</v>
      </c>
      <c r="E89" t="s">
        <v>1530</v>
      </c>
      <c r="F89" t="s">
        <v>1443</v>
      </c>
      <c r="G89">
        <v>50.798000000000002</v>
      </c>
      <c r="H89">
        <v>1.13683875206563E-2</v>
      </c>
      <c r="I89">
        <v>55.026000000000003</v>
      </c>
      <c r="J89">
        <v>-2.5016314988035599E-3</v>
      </c>
      <c r="K89" t="s">
        <v>1019</v>
      </c>
      <c r="L89" t="s">
        <v>932</v>
      </c>
    </row>
    <row r="90" spans="1:12" x14ac:dyDescent="0.35">
      <c r="A90">
        <v>2.5261592124571599E-2</v>
      </c>
      <c r="B90">
        <v>5.8581566563336001E-3</v>
      </c>
      <c r="C90">
        <v>3.8335869645315497E-2</v>
      </c>
      <c r="D90">
        <v>-1.04267601108922E-2</v>
      </c>
      <c r="E90" t="s">
        <v>1531</v>
      </c>
      <c r="F90" t="s">
        <v>1443</v>
      </c>
      <c r="G90">
        <v>51.277999999999999</v>
      </c>
      <c r="H90">
        <v>9.4491909130280903E-3</v>
      </c>
      <c r="I90">
        <v>54.881999999999998</v>
      </c>
      <c r="J90">
        <v>-2.61694471704299E-3</v>
      </c>
      <c r="K90" t="s">
        <v>1020</v>
      </c>
      <c r="L90" t="s">
        <v>932</v>
      </c>
    </row>
    <row r="91" spans="1:12" x14ac:dyDescent="0.35">
      <c r="A91">
        <v>2.6883329197386899E-2</v>
      </c>
      <c r="B91">
        <v>1.4672046081608801E-2</v>
      </c>
      <c r="C91">
        <v>5.5488923116520997E-2</v>
      </c>
      <c r="D91">
        <v>1.90848323659343E-2</v>
      </c>
      <c r="E91" t="s">
        <v>1532</v>
      </c>
      <c r="F91" t="s">
        <v>1443</v>
      </c>
      <c r="G91">
        <v>51.975000000000001</v>
      </c>
      <c r="H91">
        <v>1.35925738133313E-2</v>
      </c>
      <c r="I91">
        <v>55.142000000000003</v>
      </c>
      <c r="J91">
        <v>4.7374366823367299E-3</v>
      </c>
      <c r="K91" t="s">
        <v>1021</v>
      </c>
      <c r="L91" t="s">
        <v>932</v>
      </c>
    </row>
    <row r="92" spans="1:12" x14ac:dyDescent="0.35">
      <c r="A92">
        <v>2.57889573012124E-2</v>
      </c>
      <c r="B92">
        <v>3.5352763805176303E-2</v>
      </c>
      <c r="C92">
        <v>3.4689577494526398E-2</v>
      </c>
      <c r="D92">
        <v>8.1492648352745594E-3</v>
      </c>
      <c r="E92" t="s">
        <v>1533</v>
      </c>
      <c r="F92" t="s">
        <v>1443</v>
      </c>
      <c r="G92">
        <v>52.42</v>
      </c>
      <c r="H92">
        <v>8.5618085618086592E-3</v>
      </c>
      <c r="I92">
        <v>55.253999999999998</v>
      </c>
      <c r="J92">
        <v>2.03111965470959E-3</v>
      </c>
      <c r="K92" t="s">
        <v>1022</v>
      </c>
      <c r="L92" t="s">
        <v>932</v>
      </c>
    </row>
    <row r="93" spans="1:12" x14ac:dyDescent="0.35">
      <c r="A93">
        <v>2.8170464275272301E-2</v>
      </c>
      <c r="B93">
        <v>2.5395981622951001E-2</v>
      </c>
      <c r="C93">
        <v>2.9547347848341E-2</v>
      </c>
      <c r="D93">
        <v>1.8368205985927599E-2</v>
      </c>
      <c r="E93" t="s">
        <v>1534</v>
      </c>
      <c r="F93" t="s">
        <v>1443</v>
      </c>
      <c r="G93">
        <v>52.802999999999997</v>
      </c>
      <c r="H93">
        <v>7.3063716138877001E-3</v>
      </c>
      <c r="I93">
        <v>55.506</v>
      </c>
      <c r="J93">
        <v>4.5607557823867896E-3</v>
      </c>
      <c r="K93" t="s">
        <v>1023</v>
      </c>
      <c r="L93" t="s">
        <v>932</v>
      </c>
    </row>
    <row r="94" spans="1:12" x14ac:dyDescent="0.35">
      <c r="A94">
        <v>2.40619409805858E-2</v>
      </c>
      <c r="B94">
        <v>9.9983702538513092E-3</v>
      </c>
      <c r="C94">
        <v>2.2073085991106502E-2</v>
      </c>
      <c r="D94">
        <v>3.0096377482488099E-2</v>
      </c>
      <c r="E94" t="s">
        <v>1535</v>
      </c>
      <c r="F94" t="s">
        <v>1443</v>
      </c>
      <c r="G94">
        <v>53.091999999999999</v>
      </c>
      <c r="H94">
        <v>5.4731738726967504E-3</v>
      </c>
      <c r="I94">
        <v>55.918999999999997</v>
      </c>
      <c r="J94">
        <v>7.4406370482469298E-3</v>
      </c>
      <c r="K94" t="s">
        <v>1024</v>
      </c>
      <c r="L94" t="s">
        <v>932</v>
      </c>
    </row>
    <row r="95" spans="1:12" x14ac:dyDescent="0.35">
      <c r="A95">
        <v>2.70873737268695E-2</v>
      </c>
      <c r="B95">
        <v>1.7716185249098602E-2</v>
      </c>
      <c r="C95">
        <v>2.3867747826854101E-2</v>
      </c>
      <c r="D95">
        <v>2.3524161594785199E-2</v>
      </c>
      <c r="E95" t="s">
        <v>1536</v>
      </c>
      <c r="F95" t="s">
        <v>1443</v>
      </c>
      <c r="G95">
        <v>53.405999999999999</v>
      </c>
      <c r="H95">
        <v>5.91426203571155E-3</v>
      </c>
      <c r="I95">
        <v>56.244999999999997</v>
      </c>
      <c r="J95">
        <v>5.8298610490172802E-3</v>
      </c>
      <c r="K95" t="s">
        <v>1025</v>
      </c>
      <c r="L95" t="s">
        <v>932</v>
      </c>
    </row>
    <row r="96" spans="1:12" x14ac:dyDescent="0.35">
      <c r="A96">
        <v>1.7542540867755401E-2</v>
      </c>
      <c r="B96">
        <v>2.9283418694515902E-2</v>
      </c>
      <c r="C96">
        <v>1.3096071782226999E-2</v>
      </c>
      <c r="D96">
        <v>4.0598599880798903E-3</v>
      </c>
      <c r="E96" t="s">
        <v>1537</v>
      </c>
      <c r="F96" t="s">
        <v>1443</v>
      </c>
      <c r="G96">
        <v>53.58</v>
      </c>
      <c r="H96">
        <v>3.2580608920345102E-3</v>
      </c>
      <c r="I96">
        <v>56.302</v>
      </c>
      <c r="J96">
        <v>1.01342341541466E-3</v>
      </c>
      <c r="K96" t="s">
        <v>1026</v>
      </c>
      <c r="L96" t="s">
        <v>932</v>
      </c>
    </row>
    <row r="97" spans="1:12" x14ac:dyDescent="0.35">
      <c r="A97">
        <v>2.3240038949048102E-2</v>
      </c>
      <c r="B97">
        <v>3.6370296177081797E-2</v>
      </c>
      <c r="C97">
        <v>2.0612838101556001E-2</v>
      </c>
      <c r="D97">
        <v>1.8816279960193898E-2</v>
      </c>
      <c r="E97" t="s">
        <v>1538</v>
      </c>
      <c r="F97" t="s">
        <v>1443</v>
      </c>
      <c r="G97">
        <v>53.853999999999999</v>
      </c>
      <c r="H97">
        <v>5.1138484509145599E-3</v>
      </c>
      <c r="I97">
        <v>56.564999999999998</v>
      </c>
      <c r="J97">
        <v>4.6712372562254202E-3</v>
      </c>
      <c r="K97" t="s">
        <v>1027</v>
      </c>
      <c r="L97" t="s">
        <v>932</v>
      </c>
    </row>
    <row r="98" spans="1:12" x14ac:dyDescent="0.35">
      <c r="A98">
        <v>1.4387423449919501E-2</v>
      </c>
      <c r="B98">
        <v>1.8449816517922799E-2</v>
      </c>
      <c r="C98">
        <v>3.3921123111567301E-2</v>
      </c>
      <c r="D98">
        <v>2.9526755688726598E-2</v>
      </c>
      <c r="E98" t="s">
        <v>1539</v>
      </c>
      <c r="F98" t="s">
        <v>1443</v>
      </c>
      <c r="G98">
        <v>54.305</v>
      </c>
      <c r="H98">
        <v>8.3744940023024999E-3</v>
      </c>
      <c r="I98">
        <v>56.978000000000002</v>
      </c>
      <c r="J98">
        <v>7.3013347476356101E-3</v>
      </c>
      <c r="K98" t="s">
        <v>1028</v>
      </c>
      <c r="L98" t="s">
        <v>932</v>
      </c>
    </row>
    <row r="99" spans="1:12" x14ac:dyDescent="0.35">
      <c r="A99">
        <v>2.2496438657089599E-2</v>
      </c>
      <c r="B99">
        <v>3.3991498444716703E-2</v>
      </c>
      <c r="C99">
        <v>2.3479894269272002E-2</v>
      </c>
      <c r="D99">
        <v>1.7453105874537699E-2</v>
      </c>
      <c r="E99" t="s">
        <v>1540</v>
      </c>
      <c r="F99" t="s">
        <v>1443</v>
      </c>
      <c r="G99">
        <v>54.621000000000002</v>
      </c>
      <c r="H99">
        <v>5.8189853604639899E-3</v>
      </c>
      <c r="I99">
        <v>57.225000000000001</v>
      </c>
      <c r="J99">
        <v>4.3350064937344203E-3</v>
      </c>
      <c r="K99" t="s">
        <v>1029</v>
      </c>
      <c r="L99" t="s">
        <v>932</v>
      </c>
    </row>
    <row r="100" spans="1:12" x14ac:dyDescent="0.35">
      <c r="A100">
        <v>2.90726218207682E-2</v>
      </c>
      <c r="B100">
        <v>2.3185974053502999E-2</v>
      </c>
      <c r="C100">
        <v>3.5391871305663798E-2</v>
      </c>
      <c r="D100">
        <v>3.5482240520336501E-2</v>
      </c>
      <c r="E100" t="s">
        <v>1541</v>
      </c>
      <c r="F100" t="s">
        <v>1443</v>
      </c>
      <c r="G100">
        <v>55.097999999999999</v>
      </c>
      <c r="H100">
        <v>8.7329049266764401E-3</v>
      </c>
      <c r="I100">
        <v>57.725999999999999</v>
      </c>
      <c r="J100">
        <v>8.7549148099605994E-3</v>
      </c>
      <c r="K100" t="s">
        <v>1030</v>
      </c>
      <c r="L100" t="s">
        <v>932</v>
      </c>
    </row>
    <row r="101" spans="1:12" x14ac:dyDescent="0.35">
      <c r="A101">
        <v>1.88663260541506E-2</v>
      </c>
      <c r="B101">
        <v>3.3254108726641599E-2</v>
      </c>
      <c r="C101">
        <v>3.4634574022881899E-2</v>
      </c>
      <c r="D101">
        <v>3.3748767658719397E-2</v>
      </c>
      <c r="E101" t="s">
        <v>1542</v>
      </c>
      <c r="F101" t="s">
        <v>1443</v>
      </c>
      <c r="G101">
        <v>55.569000000000003</v>
      </c>
      <c r="H101">
        <v>8.5484046607862095E-3</v>
      </c>
      <c r="I101">
        <v>58.207000000000001</v>
      </c>
      <c r="J101">
        <v>8.3324671725046907E-3</v>
      </c>
      <c r="K101" t="s">
        <v>1031</v>
      </c>
      <c r="L101" t="s">
        <v>932</v>
      </c>
    </row>
    <row r="102" spans="1:12" x14ac:dyDescent="0.35">
      <c r="A102">
        <v>1.9752209109685798E-2</v>
      </c>
      <c r="B102">
        <v>3.4122786590531799E-2</v>
      </c>
      <c r="C102">
        <v>1.8555272424330301E-2</v>
      </c>
      <c r="D102">
        <v>4.0528253340275301E-2</v>
      </c>
      <c r="E102" t="s">
        <v>1543</v>
      </c>
      <c r="F102" t="s">
        <v>1443</v>
      </c>
      <c r="G102">
        <v>55.825000000000003</v>
      </c>
      <c r="H102">
        <v>4.6068851337977001E-3</v>
      </c>
      <c r="I102">
        <v>58.787999999999997</v>
      </c>
      <c r="J102">
        <v>9.9816173312487991E-3</v>
      </c>
      <c r="K102" t="s">
        <v>1032</v>
      </c>
      <c r="L102" t="s">
        <v>932</v>
      </c>
    </row>
    <row r="103" spans="1:12" x14ac:dyDescent="0.35">
      <c r="A103">
        <v>2.3426148348960799E-2</v>
      </c>
      <c r="B103">
        <v>2.6924495262994098E-2</v>
      </c>
      <c r="C103">
        <v>3.10950653969519E-2</v>
      </c>
      <c r="D103">
        <v>2.8884969324625399E-2</v>
      </c>
      <c r="E103" t="s">
        <v>1544</v>
      </c>
      <c r="F103" t="s">
        <v>1443</v>
      </c>
      <c r="G103">
        <v>56.253999999999998</v>
      </c>
      <c r="H103">
        <v>7.6847290640393896E-3</v>
      </c>
      <c r="I103">
        <v>59.207999999999998</v>
      </c>
      <c r="J103">
        <v>7.1443151663605998E-3</v>
      </c>
      <c r="K103" t="s">
        <v>1033</v>
      </c>
      <c r="L103" t="s">
        <v>932</v>
      </c>
    </row>
    <row r="104" spans="1:12" x14ac:dyDescent="0.35">
      <c r="A104">
        <v>1.6481276503132601E-2</v>
      </c>
      <c r="B104">
        <v>2.0844963333619401E-2</v>
      </c>
      <c r="C104">
        <v>1.5303746558651399E-2</v>
      </c>
      <c r="D104">
        <v>2.2275298720186399E-2</v>
      </c>
      <c r="E104" t="s">
        <v>1545</v>
      </c>
      <c r="F104" t="s">
        <v>1443</v>
      </c>
      <c r="G104">
        <v>56.468000000000004</v>
      </c>
      <c r="H104">
        <v>3.8041739254097702E-3</v>
      </c>
      <c r="I104">
        <v>59.534999999999997</v>
      </c>
      <c r="J104">
        <v>5.5229023104985701E-3</v>
      </c>
      <c r="K104" t="s">
        <v>1034</v>
      </c>
      <c r="L104" t="s">
        <v>932</v>
      </c>
    </row>
    <row r="105" spans="1:12" x14ac:dyDescent="0.35">
      <c r="A105">
        <v>1.77105887350755E-2</v>
      </c>
      <c r="B105">
        <v>5.6392491810183902E-2</v>
      </c>
      <c r="C105">
        <v>1.3670147091618101E-2</v>
      </c>
      <c r="D105">
        <v>2.3245190160411201E-2</v>
      </c>
      <c r="E105" t="s">
        <v>1546</v>
      </c>
      <c r="F105" t="s">
        <v>1443</v>
      </c>
      <c r="G105">
        <v>56.66</v>
      </c>
      <c r="H105">
        <v>3.4001558404759299E-3</v>
      </c>
      <c r="I105">
        <v>59.878</v>
      </c>
      <c r="J105">
        <v>5.7613168724279804E-3</v>
      </c>
      <c r="K105" t="s">
        <v>1035</v>
      </c>
      <c r="L105" t="s">
        <v>932</v>
      </c>
    </row>
    <row r="106" spans="1:12" x14ac:dyDescent="0.35">
      <c r="A106">
        <v>2.24149830534284E-2</v>
      </c>
      <c r="B106">
        <v>9.43340099661172E-3</v>
      </c>
      <c r="C106">
        <v>4.4785324127958097E-2</v>
      </c>
      <c r="D106">
        <v>2.1616654614663E-2</v>
      </c>
      <c r="E106" t="s">
        <v>1547</v>
      </c>
      <c r="F106" t="s">
        <v>1443</v>
      </c>
      <c r="G106">
        <v>57.283999999999999</v>
      </c>
      <c r="H106">
        <v>1.1013060360042499E-2</v>
      </c>
      <c r="I106">
        <v>60.198999999999998</v>
      </c>
      <c r="J106">
        <v>5.3609004976786804E-3</v>
      </c>
      <c r="K106" t="s">
        <v>1036</v>
      </c>
      <c r="L106" t="s">
        <v>932</v>
      </c>
    </row>
    <row r="107" spans="1:12" x14ac:dyDescent="0.35">
      <c r="A107">
        <v>2.7006131410312901E-2</v>
      </c>
      <c r="B107">
        <v>-2.1272525988481301E-2</v>
      </c>
      <c r="C107">
        <v>5.7381634098421204E-3</v>
      </c>
      <c r="D107">
        <v>4.4593389946305803E-3</v>
      </c>
      <c r="E107" t="s">
        <v>1548</v>
      </c>
      <c r="F107" t="s">
        <v>1443</v>
      </c>
      <c r="G107">
        <v>57.366</v>
      </c>
      <c r="H107">
        <v>1.4314642832204999E-3</v>
      </c>
      <c r="I107">
        <v>60.265999999999998</v>
      </c>
      <c r="J107">
        <v>1.1129752985929999E-3</v>
      </c>
      <c r="K107" t="s">
        <v>1037</v>
      </c>
      <c r="L107" t="s">
        <v>932</v>
      </c>
    </row>
    <row r="108" spans="1:12" x14ac:dyDescent="0.35">
      <c r="A108">
        <v>1.7195373350960198E-2</v>
      </c>
      <c r="B108">
        <v>2.3444846886997699E-2</v>
      </c>
      <c r="C108">
        <v>2.6760970425558899E-2</v>
      </c>
      <c r="D108">
        <v>1.9993530620905801E-2</v>
      </c>
      <c r="E108" t="s">
        <v>1549</v>
      </c>
      <c r="F108" t="s">
        <v>1443</v>
      </c>
      <c r="G108">
        <v>57.746000000000002</v>
      </c>
      <c r="H108">
        <v>6.62413276156615E-3</v>
      </c>
      <c r="I108">
        <v>60.564999999999998</v>
      </c>
      <c r="J108">
        <v>4.9613380678989998E-3</v>
      </c>
      <c r="K108" t="s">
        <v>1038</v>
      </c>
      <c r="L108" t="s">
        <v>932</v>
      </c>
    </row>
    <row r="109" spans="1:12" x14ac:dyDescent="0.35">
      <c r="A109">
        <v>2.7544322225657499E-2</v>
      </c>
      <c r="B109">
        <v>1.3803868113502E-2</v>
      </c>
      <c r="C109">
        <v>3.2814056779429501E-2</v>
      </c>
      <c r="D109">
        <v>1.3007743413415899E-2</v>
      </c>
      <c r="E109" t="s">
        <v>1550</v>
      </c>
      <c r="F109" t="s">
        <v>1443</v>
      </c>
      <c r="G109">
        <v>58.213999999999999</v>
      </c>
      <c r="H109">
        <v>8.1044574515982699E-3</v>
      </c>
      <c r="I109">
        <v>60.761000000000003</v>
      </c>
      <c r="J109">
        <v>3.2361925204327201E-3</v>
      </c>
      <c r="K109" t="s">
        <v>1039</v>
      </c>
      <c r="L109" t="s">
        <v>932</v>
      </c>
    </row>
    <row r="110" spans="1:12" x14ac:dyDescent="0.35">
      <c r="A110">
        <v>1.7773223680601899E-2</v>
      </c>
      <c r="B110">
        <v>1.36962800731413E-2</v>
      </c>
      <c r="C110">
        <v>2.76992412803541E-2</v>
      </c>
      <c r="D110">
        <v>2.2772194889475902E-2</v>
      </c>
      <c r="E110" t="s">
        <v>1551</v>
      </c>
      <c r="F110" t="s">
        <v>1443</v>
      </c>
      <c r="G110">
        <v>58.613</v>
      </c>
      <c r="H110">
        <v>6.8540213694301402E-3</v>
      </c>
      <c r="I110">
        <v>61.103999999999999</v>
      </c>
      <c r="J110">
        <v>5.6450683826796402E-3</v>
      </c>
      <c r="K110" t="s">
        <v>1040</v>
      </c>
      <c r="L110" t="s">
        <v>932</v>
      </c>
    </row>
    <row r="111" spans="1:12" x14ac:dyDescent="0.35">
      <c r="A111">
        <v>1.0067171002752701E-2</v>
      </c>
      <c r="B111">
        <v>2.65913479501769E-2</v>
      </c>
      <c r="C111">
        <v>9.5884799897107999E-3</v>
      </c>
      <c r="D111">
        <v>2.7578432526699701E-2</v>
      </c>
      <c r="E111" t="s">
        <v>1552</v>
      </c>
      <c r="F111" t="s">
        <v>1443</v>
      </c>
      <c r="G111">
        <v>58.753</v>
      </c>
      <c r="H111">
        <v>2.3885486154948698E-3</v>
      </c>
      <c r="I111">
        <v>61.521000000000001</v>
      </c>
      <c r="J111">
        <v>6.8244304791831301E-3</v>
      </c>
      <c r="K111" t="s">
        <v>1041</v>
      </c>
      <c r="L111" t="s">
        <v>932</v>
      </c>
    </row>
    <row r="112" spans="1:12" x14ac:dyDescent="0.35">
      <c r="A112">
        <v>1.05839184448571E-2</v>
      </c>
      <c r="B112">
        <v>9.2223862003817398E-3</v>
      </c>
      <c r="C112">
        <v>1.9268623425193102E-2</v>
      </c>
      <c r="D112">
        <v>1.0181522541022199E-2</v>
      </c>
      <c r="E112" t="s">
        <v>1553</v>
      </c>
      <c r="F112" t="s">
        <v>1443</v>
      </c>
      <c r="G112">
        <v>59.033999999999999</v>
      </c>
      <c r="H112">
        <v>4.7827344986639498E-3</v>
      </c>
      <c r="I112">
        <v>61.677</v>
      </c>
      <c r="J112">
        <v>2.5357195104109801E-3</v>
      </c>
      <c r="K112" t="s">
        <v>1042</v>
      </c>
      <c r="L112" t="s">
        <v>932</v>
      </c>
    </row>
    <row r="113" spans="1:12" x14ac:dyDescent="0.35">
      <c r="A113">
        <v>1.26121897911931E-2</v>
      </c>
      <c r="B113">
        <v>2.8333969394931401E-2</v>
      </c>
      <c r="C113">
        <v>3.3061309623051399E-2</v>
      </c>
      <c r="D113">
        <v>2.5996696664996499E-2</v>
      </c>
      <c r="E113" t="s">
        <v>1554</v>
      </c>
      <c r="F113" t="s">
        <v>1443</v>
      </c>
      <c r="G113">
        <v>59.515999999999998</v>
      </c>
      <c r="H113">
        <v>8.1647863942813093E-3</v>
      </c>
      <c r="I113">
        <v>62.073999999999998</v>
      </c>
      <c r="J113">
        <v>6.4367592457479396E-3</v>
      </c>
      <c r="K113" t="s">
        <v>1043</v>
      </c>
      <c r="L113" t="s">
        <v>932</v>
      </c>
    </row>
    <row r="114" spans="1:12" x14ac:dyDescent="0.35">
      <c r="A114">
        <v>3.2090280398078302E-4</v>
      </c>
      <c r="B114">
        <v>-1.66473304304918E-2</v>
      </c>
      <c r="C114">
        <v>6.3326118015940604E-3</v>
      </c>
      <c r="D114">
        <v>1.3539104320199301E-3</v>
      </c>
      <c r="E114" t="s">
        <v>1555</v>
      </c>
      <c r="F114" t="s">
        <v>1443</v>
      </c>
      <c r="G114">
        <v>59.61</v>
      </c>
      <c r="H114">
        <v>1.57940721822714E-3</v>
      </c>
      <c r="I114">
        <v>62.094999999999999</v>
      </c>
      <c r="J114">
        <v>3.3830589296646201E-4</v>
      </c>
      <c r="K114" t="s">
        <v>1044</v>
      </c>
      <c r="L114" t="s">
        <v>932</v>
      </c>
    </row>
    <row r="115" spans="1:12" x14ac:dyDescent="0.35">
      <c r="A115">
        <v>7.2384308298694099E-3</v>
      </c>
      <c r="B115">
        <v>2.5981704959145799E-2</v>
      </c>
      <c r="C115">
        <v>2.14418814289523E-2</v>
      </c>
      <c r="D115">
        <v>2.5146473935451202E-3</v>
      </c>
      <c r="E115" t="s">
        <v>1556</v>
      </c>
      <c r="F115" t="s">
        <v>1443</v>
      </c>
      <c r="G115">
        <v>59.927</v>
      </c>
      <c r="H115">
        <v>5.3178996812615099E-3</v>
      </c>
      <c r="I115">
        <v>62.134</v>
      </c>
      <c r="J115">
        <v>6.2806989290598004E-4</v>
      </c>
      <c r="K115" t="s">
        <v>1045</v>
      </c>
      <c r="L115" t="s">
        <v>932</v>
      </c>
    </row>
    <row r="116" spans="1:12" x14ac:dyDescent="0.35">
      <c r="A116">
        <v>1.2387156771827E-2</v>
      </c>
      <c r="B116">
        <v>2.6407820145390601E-2</v>
      </c>
      <c r="C116">
        <v>3.1605845001569703E-2</v>
      </c>
      <c r="D116">
        <v>2.4885302644445099E-2</v>
      </c>
      <c r="E116" t="s">
        <v>1557</v>
      </c>
      <c r="F116" t="s">
        <v>1443</v>
      </c>
      <c r="G116">
        <v>60.395000000000003</v>
      </c>
      <c r="H116">
        <v>7.8095015602317498E-3</v>
      </c>
      <c r="I116">
        <v>62.517000000000003</v>
      </c>
      <c r="J116">
        <v>6.1640969517495802E-3</v>
      </c>
      <c r="K116" t="s">
        <v>1046</v>
      </c>
      <c r="L116" t="s">
        <v>932</v>
      </c>
    </row>
    <row r="117" spans="1:12" x14ac:dyDescent="0.35">
      <c r="A117">
        <v>1.0631455336088899E-2</v>
      </c>
      <c r="B117">
        <v>1.29075602616771E-2</v>
      </c>
      <c r="C117">
        <v>3.6519198475668799E-2</v>
      </c>
      <c r="D117">
        <v>2.2777873103542599E-2</v>
      </c>
      <c r="E117" t="s">
        <v>1558</v>
      </c>
      <c r="F117" t="s">
        <v>1443</v>
      </c>
      <c r="G117">
        <v>60.939</v>
      </c>
      <c r="H117">
        <v>9.0073681596158899E-3</v>
      </c>
      <c r="I117">
        <v>62.87</v>
      </c>
      <c r="J117">
        <v>5.6464641617479704E-3</v>
      </c>
      <c r="K117" t="s">
        <v>1047</v>
      </c>
      <c r="L117" t="s">
        <v>932</v>
      </c>
    </row>
    <row r="118" spans="1:12" x14ac:dyDescent="0.35">
      <c r="A118">
        <v>7.8778546175835001E-3</v>
      </c>
      <c r="B118">
        <v>1.19346323256166E-2</v>
      </c>
      <c r="C118">
        <v>3.4639204699016303E-2</v>
      </c>
      <c r="D118">
        <v>1.61297394114919E-2</v>
      </c>
      <c r="E118" t="s">
        <v>1559</v>
      </c>
      <c r="F118" t="s">
        <v>1443</v>
      </c>
      <c r="G118">
        <v>61.46</v>
      </c>
      <c r="H118">
        <v>8.5495331396971998E-3</v>
      </c>
      <c r="I118">
        <v>63.122</v>
      </c>
      <c r="J118">
        <v>4.0082710354700799E-3</v>
      </c>
      <c r="K118" t="s">
        <v>1048</v>
      </c>
      <c r="L118" t="s">
        <v>932</v>
      </c>
    </row>
    <row r="119" spans="1:12" x14ac:dyDescent="0.35">
      <c r="A119">
        <v>2.2971603454798002E-2</v>
      </c>
      <c r="B119">
        <v>3.4068264295770097E-2</v>
      </c>
      <c r="C119">
        <v>6.1370356227924201E-2</v>
      </c>
      <c r="D119">
        <v>2.99883116478201E-2</v>
      </c>
      <c r="E119" t="s">
        <v>1560</v>
      </c>
      <c r="F119" t="s">
        <v>1443</v>
      </c>
      <c r="G119">
        <v>62.381999999999998</v>
      </c>
      <c r="H119">
        <v>1.5001627074519901E-2</v>
      </c>
      <c r="I119">
        <v>63.59</v>
      </c>
      <c r="J119">
        <v>7.4142137448116596E-3</v>
      </c>
      <c r="K119" t="s">
        <v>1049</v>
      </c>
      <c r="L119" t="s">
        <v>932</v>
      </c>
    </row>
    <row r="120" spans="1:12" x14ac:dyDescent="0.35">
      <c r="A120">
        <v>2.21977740334749E-2</v>
      </c>
      <c r="B120">
        <v>3.6824162588046098E-2</v>
      </c>
      <c r="C120">
        <v>5.6562220210462498E-2</v>
      </c>
      <c r="D120">
        <v>1.6964868305367399E-2</v>
      </c>
      <c r="E120" t="s">
        <v>1561</v>
      </c>
      <c r="F120" t="s">
        <v>1443</v>
      </c>
      <c r="G120">
        <v>63.246000000000002</v>
      </c>
      <c r="H120">
        <v>1.3850149081466E-2</v>
      </c>
      <c r="I120">
        <v>63.857999999999997</v>
      </c>
      <c r="J120">
        <v>4.2144991350840898E-3</v>
      </c>
      <c r="K120" t="s">
        <v>1050</v>
      </c>
      <c r="L120" t="s">
        <v>932</v>
      </c>
    </row>
    <row r="121" spans="1:12" x14ac:dyDescent="0.35">
      <c r="A121">
        <v>2.4473399596212499E-2</v>
      </c>
      <c r="B121">
        <v>5.00811045761866E-2</v>
      </c>
      <c r="C121">
        <v>4.9726482376824199E-2</v>
      </c>
      <c r="D121">
        <v>3.4513513517111301E-2</v>
      </c>
      <c r="E121" t="s">
        <v>1562</v>
      </c>
      <c r="F121" t="s">
        <v>1443</v>
      </c>
      <c r="G121">
        <v>64.018000000000001</v>
      </c>
      <c r="H121">
        <v>1.2206305537109099E-2</v>
      </c>
      <c r="I121">
        <v>64.402000000000001</v>
      </c>
      <c r="J121">
        <v>8.5189013122866104E-3</v>
      </c>
      <c r="K121" t="s">
        <v>1051</v>
      </c>
      <c r="L121" t="s">
        <v>932</v>
      </c>
    </row>
    <row r="122" spans="1:12" x14ac:dyDescent="0.35">
      <c r="A122">
        <v>3.2886107964122897E-2</v>
      </c>
      <c r="B122">
        <v>3.9540884737924602E-2</v>
      </c>
      <c r="C122">
        <v>5.7040318663066601E-2</v>
      </c>
      <c r="D122">
        <v>3.2054289459933799E-2</v>
      </c>
      <c r="E122" t="s">
        <v>1563</v>
      </c>
      <c r="F122" t="s">
        <v>1443</v>
      </c>
      <c r="G122">
        <v>64.912000000000006</v>
      </c>
      <c r="H122">
        <v>1.3964822393701899E-2</v>
      </c>
      <c r="I122">
        <v>64.912000000000006</v>
      </c>
      <c r="J122">
        <v>7.9190087264371396E-3</v>
      </c>
      <c r="K122" t="s">
        <v>1052</v>
      </c>
      <c r="L122" t="s">
        <v>932</v>
      </c>
    </row>
    <row r="123" spans="1:12" x14ac:dyDescent="0.35">
      <c r="A123">
        <v>1.9193585341739101E-2</v>
      </c>
      <c r="B123">
        <v>1.5459188057563401E-2</v>
      </c>
      <c r="C123">
        <v>4.2438786901308999E-2</v>
      </c>
      <c r="D123">
        <v>4.6322155050911397E-2</v>
      </c>
      <c r="E123" t="s">
        <v>1564</v>
      </c>
      <c r="F123" t="s">
        <v>1443</v>
      </c>
      <c r="G123">
        <v>65.59</v>
      </c>
      <c r="H123">
        <v>1.0444910032043399E-2</v>
      </c>
      <c r="I123">
        <v>65.650999999999996</v>
      </c>
      <c r="J123">
        <v>1.13846438254868E-2</v>
      </c>
      <c r="K123" t="s">
        <v>1053</v>
      </c>
      <c r="L123" t="s">
        <v>932</v>
      </c>
    </row>
    <row r="124" spans="1:12" x14ac:dyDescent="0.35">
      <c r="A124">
        <v>2.6053548554263901E-2</v>
      </c>
      <c r="B124">
        <v>2.8949345820011199E-2</v>
      </c>
      <c r="C124">
        <v>4.7728620369875199E-2</v>
      </c>
      <c r="D124">
        <v>2.6457667912965801E-2</v>
      </c>
      <c r="E124" t="s">
        <v>1565</v>
      </c>
      <c r="F124" t="s">
        <v>1443</v>
      </c>
      <c r="G124">
        <v>66.358999999999995</v>
      </c>
      <c r="H124">
        <v>1.1724348223814501E-2</v>
      </c>
      <c r="I124">
        <v>66.081000000000003</v>
      </c>
      <c r="J124">
        <v>6.5497859895509202E-3</v>
      </c>
      <c r="K124" t="s">
        <v>1054</v>
      </c>
      <c r="L124" t="s">
        <v>932</v>
      </c>
    </row>
    <row r="125" spans="1:12" x14ac:dyDescent="0.35">
      <c r="A125">
        <v>2.2816932316492001E-2</v>
      </c>
      <c r="B125">
        <v>1.82242710503548E-2</v>
      </c>
      <c r="C125">
        <v>5.7499642478727998E-2</v>
      </c>
      <c r="D125">
        <v>2.3755596803619598E-2</v>
      </c>
      <c r="E125" t="s">
        <v>1566</v>
      </c>
      <c r="F125" t="s">
        <v>1443</v>
      </c>
      <c r="G125">
        <v>67.293000000000006</v>
      </c>
      <c r="H125">
        <v>1.40749559215783E-2</v>
      </c>
      <c r="I125">
        <v>66.47</v>
      </c>
      <c r="J125">
        <v>5.8867147894250396E-3</v>
      </c>
      <c r="K125" t="s">
        <v>1055</v>
      </c>
      <c r="L125" t="s">
        <v>932</v>
      </c>
    </row>
    <row r="126" spans="1:12" x14ac:dyDescent="0.35">
      <c r="A126">
        <v>2.9937016463394299E-2</v>
      </c>
      <c r="B126">
        <v>6.8223280329673397E-3</v>
      </c>
      <c r="C126">
        <v>5.4456520671492398E-2</v>
      </c>
      <c r="D126">
        <v>2.4902004743710501E-2</v>
      </c>
      <c r="E126" t="s">
        <v>1567</v>
      </c>
      <c r="F126" t="s">
        <v>1443</v>
      </c>
      <c r="G126">
        <v>68.191000000000003</v>
      </c>
      <c r="H126">
        <v>1.33446272272004E-2</v>
      </c>
      <c r="I126">
        <v>66.88</v>
      </c>
      <c r="J126">
        <v>6.16819617872721E-3</v>
      </c>
      <c r="K126" t="s">
        <v>1056</v>
      </c>
      <c r="L126" t="s">
        <v>932</v>
      </c>
    </row>
    <row r="127" spans="1:12" x14ac:dyDescent="0.35">
      <c r="A127">
        <v>1.8884884410707199E-2</v>
      </c>
      <c r="B127">
        <v>2.1198789662036002E-2</v>
      </c>
      <c r="C127">
        <v>1.7060457300781501E-2</v>
      </c>
      <c r="D127">
        <v>1.0326833438175601E-2</v>
      </c>
      <c r="E127" t="s">
        <v>1568</v>
      </c>
      <c r="F127" t="s">
        <v>1443</v>
      </c>
      <c r="G127">
        <v>68.48</v>
      </c>
      <c r="H127">
        <v>4.2380959364138899E-3</v>
      </c>
      <c r="I127">
        <v>67.052000000000007</v>
      </c>
      <c r="J127">
        <v>2.5717703349283898E-3</v>
      </c>
      <c r="K127" t="s">
        <v>1057</v>
      </c>
      <c r="L127" t="s">
        <v>932</v>
      </c>
    </row>
    <row r="128" spans="1:12" x14ac:dyDescent="0.35">
      <c r="A128">
        <v>2.0085104332627801E-3</v>
      </c>
      <c r="B128">
        <v>2.5873085754739799E-2</v>
      </c>
      <c r="C128">
        <v>1.0084643678167899E-2</v>
      </c>
      <c r="D128">
        <v>1.25865662000337E-2</v>
      </c>
      <c r="E128" t="s">
        <v>1569</v>
      </c>
      <c r="F128" t="s">
        <v>1443</v>
      </c>
      <c r="G128">
        <v>68.652000000000001</v>
      </c>
      <c r="H128">
        <v>2.5116822429906999E-3</v>
      </c>
      <c r="I128">
        <v>67.262</v>
      </c>
      <c r="J128">
        <v>3.1318976316887502E-3</v>
      </c>
      <c r="K128" t="s">
        <v>1058</v>
      </c>
      <c r="L128" t="s">
        <v>932</v>
      </c>
    </row>
    <row r="129" spans="1:12" x14ac:dyDescent="0.35">
      <c r="A129">
        <v>1.65597149400032E-3</v>
      </c>
      <c r="B129">
        <v>2.61448943379867E-2</v>
      </c>
      <c r="C129">
        <v>4.4939487008062197E-3</v>
      </c>
      <c r="D129">
        <v>2.16417401943385E-2</v>
      </c>
      <c r="E129" t="s">
        <v>1570</v>
      </c>
      <c r="F129" t="s">
        <v>1443</v>
      </c>
      <c r="G129">
        <v>68.728999999999999</v>
      </c>
      <c r="H129">
        <v>1.1215987880905901E-3</v>
      </c>
      <c r="I129">
        <v>67.623000000000005</v>
      </c>
      <c r="J129">
        <v>5.3670720466236803E-3</v>
      </c>
      <c r="K129" t="s">
        <v>1059</v>
      </c>
      <c r="L129" t="s">
        <v>932</v>
      </c>
    </row>
    <row r="130" spans="1:12" x14ac:dyDescent="0.35">
      <c r="A130">
        <v>8.0448095256371293E-3</v>
      </c>
      <c r="B130">
        <v>2.6192779718551499E-2</v>
      </c>
      <c r="C130">
        <v>2.6210777008154801E-2</v>
      </c>
      <c r="D130">
        <v>1.77439998941584E-2</v>
      </c>
      <c r="E130" t="s">
        <v>1571</v>
      </c>
      <c r="F130" t="s">
        <v>1443</v>
      </c>
      <c r="G130">
        <v>69.174999999999997</v>
      </c>
      <c r="H130">
        <v>6.4892548996784401E-3</v>
      </c>
      <c r="I130">
        <v>67.921000000000006</v>
      </c>
      <c r="J130">
        <v>4.4067846738535801E-3</v>
      </c>
      <c r="K130" t="s">
        <v>1060</v>
      </c>
      <c r="L130" t="s">
        <v>932</v>
      </c>
    </row>
    <row r="131" spans="1:12" x14ac:dyDescent="0.35">
      <c r="A131">
        <v>2.9998743908273201E-2</v>
      </c>
      <c r="B131">
        <v>3.8349371649444103E-2</v>
      </c>
      <c r="C131">
        <v>3.99637104830428E-2</v>
      </c>
      <c r="D131">
        <v>2.19088618142655E-2</v>
      </c>
      <c r="E131" t="s">
        <v>1572</v>
      </c>
      <c r="F131" t="s">
        <v>1443</v>
      </c>
      <c r="G131">
        <v>69.855999999999995</v>
      </c>
      <c r="H131">
        <v>9.8445970365015293E-3</v>
      </c>
      <c r="I131">
        <v>68.290000000000006</v>
      </c>
      <c r="J131">
        <v>5.4327822028532599E-3</v>
      </c>
      <c r="K131" t="s">
        <v>1061</v>
      </c>
      <c r="L131" t="s">
        <v>932</v>
      </c>
    </row>
    <row r="132" spans="1:12" x14ac:dyDescent="0.35">
      <c r="A132">
        <v>2.0869776308943801E-2</v>
      </c>
      <c r="B132">
        <v>3.4801584391165798E-2</v>
      </c>
      <c r="C132">
        <v>3.3157579483975103E-2</v>
      </c>
      <c r="D132">
        <v>1.23573378485025E-2</v>
      </c>
      <c r="E132" t="s">
        <v>1573</v>
      </c>
      <c r="F132" t="s">
        <v>1443</v>
      </c>
      <c r="G132">
        <v>70.427999999999997</v>
      </c>
      <c r="H132">
        <v>8.1882730187814393E-3</v>
      </c>
      <c r="I132">
        <v>68.5</v>
      </c>
      <c r="J132">
        <v>3.07512080831729E-3</v>
      </c>
      <c r="K132" t="s">
        <v>1062</v>
      </c>
      <c r="L132" t="s">
        <v>932</v>
      </c>
    </row>
    <row r="133" spans="1:12" x14ac:dyDescent="0.35">
      <c r="A133">
        <v>1.8806157080279301E-2</v>
      </c>
      <c r="B133">
        <v>7.6203068975526894E-2</v>
      </c>
      <c r="C133">
        <v>4.04120889716926E-2</v>
      </c>
      <c r="D133">
        <v>6.9083360828583497E-3</v>
      </c>
      <c r="E133" t="s">
        <v>1574</v>
      </c>
      <c r="F133" t="s">
        <v>1443</v>
      </c>
      <c r="G133">
        <v>71.129000000000005</v>
      </c>
      <c r="H133">
        <v>9.9534276140171903E-3</v>
      </c>
      <c r="I133">
        <v>68.617999999999995</v>
      </c>
      <c r="J133">
        <v>1.7226277372262E-3</v>
      </c>
      <c r="K133" t="s">
        <v>1063</v>
      </c>
      <c r="L133" t="s">
        <v>932</v>
      </c>
    </row>
    <row r="134" spans="1:12" x14ac:dyDescent="0.35">
      <c r="A134">
        <v>3.0939531110064901E-2</v>
      </c>
      <c r="B134">
        <v>4.5343406532494003E-2</v>
      </c>
      <c r="C134">
        <v>6.4192818314913899E-2</v>
      </c>
      <c r="D134">
        <v>3.35839967225895E-2</v>
      </c>
      <c r="E134" t="s">
        <v>1575</v>
      </c>
      <c r="F134" t="s">
        <v>1443</v>
      </c>
      <c r="G134">
        <v>72.244</v>
      </c>
      <c r="H134">
        <v>1.5675744070632099E-2</v>
      </c>
      <c r="I134">
        <v>69.186999999999998</v>
      </c>
      <c r="J134">
        <v>8.2922848232243104E-3</v>
      </c>
      <c r="K134" t="s">
        <v>1064</v>
      </c>
      <c r="L134" t="s">
        <v>932</v>
      </c>
    </row>
    <row r="135" spans="1:12" x14ac:dyDescent="0.35">
      <c r="A135">
        <v>4.0077661469082298E-3</v>
      </c>
      <c r="B135">
        <v>2.8726975579467701E-2</v>
      </c>
      <c r="C135">
        <v>2.60483280529056E-3</v>
      </c>
      <c r="D135">
        <v>4.1691340309692997E-3</v>
      </c>
      <c r="E135" t="s">
        <v>1576</v>
      </c>
      <c r="F135" t="s">
        <v>1443</v>
      </c>
      <c r="G135">
        <v>72.290999999999997</v>
      </c>
      <c r="H135">
        <v>6.5057305797022703E-4</v>
      </c>
      <c r="I135">
        <v>69.259</v>
      </c>
      <c r="J135">
        <v>1.0406579270672001E-3</v>
      </c>
      <c r="K135" t="s">
        <v>1065</v>
      </c>
      <c r="L135" t="s">
        <v>932</v>
      </c>
    </row>
    <row r="136" spans="1:12" x14ac:dyDescent="0.35">
      <c r="A136">
        <v>2.6637470683258401E-2</v>
      </c>
      <c r="B136">
        <v>3.6701160751028999E-2</v>
      </c>
      <c r="C136">
        <v>3.2537484109284899E-2</v>
      </c>
      <c r="D136">
        <v>5.0920666130191998E-3</v>
      </c>
      <c r="E136" t="s">
        <v>1577</v>
      </c>
      <c r="F136" t="s">
        <v>1443</v>
      </c>
      <c r="G136">
        <v>72.872</v>
      </c>
      <c r="H136">
        <v>8.0369617241426994E-3</v>
      </c>
      <c r="I136">
        <v>69.346999999999994</v>
      </c>
      <c r="J136">
        <v>1.2705929915244299E-3</v>
      </c>
      <c r="K136" t="s">
        <v>1066</v>
      </c>
      <c r="L136" t="s">
        <v>932</v>
      </c>
    </row>
    <row r="137" spans="1:12" x14ac:dyDescent="0.35">
      <c r="A137">
        <v>1.9809591582912799E-2</v>
      </c>
      <c r="B137">
        <v>3.0297839189273201E-2</v>
      </c>
      <c r="C137">
        <v>3.6723057880070603E-2</v>
      </c>
      <c r="D137">
        <v>1.11208187291489E-2</v>
      </c>
      <c r="E137" t="s">
        <v>1578</v>
      </c>
      <c r="F137" t="s">
        <v>1443</v>
      </c>
      <c r="G137">
        <v>73.531999999999996</v>
      </c>
      <c r="H137">
        <v>9.0569766165331505E-3</v>
      </c>
      <c r="I137">
        <v>69.539000000000001</v>
      </c>
      <c r="J137">
        <v>2.7686850188184402E-3</v>
      </c>
      <c r="K137" t="s">
        <v>1067</v>
      </c>
      <c r="L137" t="s">
        <v>932</v>
      </c>
    </row>
    <row r="138" spans="1:12" x14ac:dyDescent="0.35">
      <c r="A138">
        <v>3.1204615634115699E-2</v>
      </c>
      <c r="B138">
        <v>3.4471201135703997E-2</v>
      </c>
      <c r="C138">
        <v>5.7672124037001303E-2</v>
      </c>
      <c r="D138">
        <v>2.6313046913832801E-2</v>
      </c>
      <c r="E138" t="s">
        <v>1579</v>
      </c>
      <c r="F138" t="s">
        <v>1443</v>
      </c>
      <c r="G138">
        <v>74.569999999999993</v>
      </c>
      <c r="H138">
        <v>1.41163031061307E-2</v>
      </c>
      <c r="I138">
        <v>69.992000000000004</v>
      </c>
      <c r="J138">
        <v>6.5143300881520504E-3</v>
      </c>
      <c r="K138" t="s">
        <v>1068</v>
      </c>
      <c r="L138" t="s">
        <v>932</v>
      </c>
    </row>
    <row r="139" spans="1:12" x14ac:dyDescent="0.35">
      <c r="A139">
        <v>2.7200294389546201E-2</v>
      </c>
      <c r="B139">
        <v>3.5181669062461299E-2</v>
      </c>
      <c r="C139">
        <v>5.42271951092188E-2</v>
      </c>
      <c r="D139">
        <v>7.5544557477534205E-2</v>
      </c>
      <c r="E139" t="s">
        <v>1580</v>
      </c>
      <c r="F139" t="s">
        <v>1443</v>
      </c>
      <c r="G139">
        <v>75.561000000000007</v>
      </c>
      <c r="H139">
        <v>1.3289526619284101E-2</v>
      </c>
      <c r="I139">
        <v>71.278000000000006</v>
      </c>
      <c r="J139">
        <v>1.8373528403245999E-2</v>
      </c>
      <c r="K139" t="s">
        <v>1069</v>
      </c>
      <c r="L139" t="s">
        <v>932</v>
      </c>
    </row>
    <row r="140" spans="1:12" x14ac:dyDescent="0.35">
      <c r="A140">
        <v>1.9813936050087699E-2</v>
      </c>
      <c r="B140">
        <v>3.71188179062025E-2</v>
      </c>
      <c r="C140">
        <v>5.5705667373545202E-2</v>
      </c>
      <c r="D140">
        <v>0.112118604043563</v>
      </c>
      <c r="E140" t="s">
        <v>1581</v>
      </c>
      <c r="F140" t="s">
        <v>1443</v>
      </c>
      <c r="G140">
        <v>76.591999999999999</v>
      </c>
      <c r="H140">
        <v>1.3644605021108799E-2</v>
      </c>
      <c r="I140">
        <v>73.197000000000003</v>
      </c>
      <c r="J140">
        <v>2.6922753163668899E-2</v>
      </c>
      <c r="K140" t="s">
        <v>1070</v>
      </c>
      <c r="L140" t="s">
        <v>932</v>
      </c>
    </row>
    <row r="141" spans="1:12" x14ac:dyDescent="0.35">
      <c r="A141">
        <v>3.4620969363609901E-2</v>
      </c>
      <c r="B141">
        <v>3.9499400752586601E-2</v>
      </c>
      <c r="C141">
        <v>6.4048552869122796E-2</v>
      </c>
      <c r="D141">
        <v>9.9586266592777403E-2</v>
      </c>
      <c r="E141" t="s">
        <v>1582</v>
      </c>
      <c r="F141" t="s">
        <v>1443</v>
      </c>
      <c r="G141">
        <v>77.790000000000006</v>
      </c>
      <c r="H141">
        <v>1.5641320242323099E-2</v>
      </c>
      <c r="I141">
        <v>74.954999999999998</v>
      </c>
      <c r="J141">
        <v>2.4017377761383699E-2</v>
      </c>
      <c r="K141" t="s">
        <v>1071</v>
      </c>
      <c r="L141" t="s">
        <v>932</v>
      </c>
    </row>
    <row r="142" spans="1:12" x14ac:dyDescent="0.35">
      <c r="A142">
        <v>2.34535899973984E-2</v>
      </c>
      <c r="B142">
        <v>5.3706890981395999E-2</v>
      </c>
      <c r="C142">
        <v>3.69057460702173E-2</v>
      </c>
      <c r="D142">
        <v>3.4210597371460802E-2</v>
      </c>
      <c r="E142" t="s">
        <v>1583</v>
      </c>
      <c r="F142" t="s">
        <v>1443</v>
      </c>
      <c r="G142">
        <v>78.498000000000005</v>
      </c>
      <c r="H142">
        <v>9.1014269186271406E-3</v>
      </c>
      <c r="I142">
        <v>75.587999999999994</v>
      </c>
      <c r="J142">
        <v>8.4450670402240694E-3</v>
      </c>
      <c r="K142" t="s">
        <v>1072</v>
      </c>
      <c r="L142" t="s">
        <v>932</v>
      </c>
    </row>
    <row r="143" spans="1:12" x14ac:dyDescent="0.35">
      <c r="A143">
        <v>2.5499802950129401E-2</v>
      </c>
      <c r="B143">
        <v>3.6566859174503898E-2</v>
      </c>
      <c r="C143">
        <v>4.6392177019789503E-2</v>
      </c>
      <c r="D143">
        <v>7.7400259900339399E-2</v>
      </c>
      <c r="E143" t="s">
        <v>1584</v>
      </c>
      <c r="F143" t="s">
        <v>1443</v>
      </c>
      <c r="G143">
        <v>79.393000000000001</v>
      </c>
      <c r="H143">
        <v>1.14015643710668E-2</v>
      </c>
      <c r="I143">
        <v>77.010000000000005</v>
      </c>
      <c r="J143">
        <v>1.8812509922210102E-2</v>
      </c>
      <c r="K143" t="s">
        <v>1073</v>
      </c>
      <c r="L143" t="s">
        <v>932</v>
      </c>
    </row>
    <row r="144" spans="1:12" x14ac:dyDescent="0.35">
      <c r="A144">
        <v>4.3914132970667798E-2</v>
      </c>
      <c r="B144">
        <v>4.2425430776049898E-2</v>
      </c>
      <c r="C144">
        <v>5.93159029125543E-2</v>
      </c>
      <c r="D144">
        <v>9.2099438138909306E-2</v>
      </c>
      <c r="E144" t="s">
        <v>1585</v>
      </c>
      <c r="F144" t="s">
        <v>1443</v>
      </c>
      <c r="G144">
        <v>80.545000000000002</v>
      </c>
      <c r="H144">
        <v>1.45100953484565E-2</v>
      </c>
      <c r="I144">
        <v>78.724999999999994</v>
      </c>
      <c r="J144">
        <v>2.2269835086352399E-2</v>
      </c>
      <c r="K144" t="s">
        <v>1074</v>
      </c>
      <c r="L144" t="s">
        <v>932</v>
      </c>
    </row>
    <row r="145" spans="1:12" x14ac:dyDescent="0.35">
      <c r="A145">
        <v>3.2225013743436802E-2</v>
      </c>
      <c r="B145">
        <v>2.9052051363888599E-2</v>
      </c>
      <c r="C145">
        <v>6.9322056053448003E-2</v>
      </c>
      <c r="D145">
        <v>5.6967190258747399E-2</v>
      </c>
      <c r="E145" t="s">
        <v>1586</v>
      </c>
      <c r="F145" t="s">
        <v>1443</v>
      </c>
      <c r="G145">
        <v>81.906000000000006</v>
      </c>
      <c r="H145">
        <v>1.68973865541002E-2</v>
      </c>
      <c r="I145">
        <v>79.822999999999993</v>
      </c>
      <c r="J145">
        <v>1.39472848523341E-2</v>
      </c>
      <c r="K145" t="s">
        <v>1075</v>
      </c>
      <c r="L145" t="s">
        <v>932</v>
      </c>
    </row>
    <row r="146" spans="1:12" x14ac:dyDescent="0.35">
      <c r="A146">
        <v>2.0935342800184199E-2</v>
      </c>
      <c r="B146">
        <v>3.4093201961780999E-2</v>
      </c>
      <c r="C146">
        <v>2.9725271896635399E-2</v>
      </c>
      <c r="D146">
        <v>2.50876168066392E-2</v>
      </c>
      <c r="E146" t="s">
        <v>1587</v>
      </c>
      <c r="F146" t="s">
        <v>1443</v>
      </c>
      <c r="G146">
        <v>82.507999999999996</v>
      </c>
      <c r="H146">
        <v>7.3498888970282604E-3</v>
      </c>
      <c r="I146">
        <v>80.319000000000003</v>
      </c>
      <c r="J146">
        <v>6.2137479172670301E-3</v>
      </c>
      <c r="K146" t="s">
        <v>1076</v>
      </c>
      <c r="L146" t="s">
        <v>932</v>
      </c>
    </row>
    <row r="147" spans="1:12" x14ac:dyDescent="0.35">
      <c r="A147">
        <v>3.5555363218846101E-2</v>
      </c>
      <c r="B147">
        <v>2.8135458399094499E-2</v>
      </c>
      <c r="C147">
        <v>5.61203132204302E-2</v>
      </c>
      <c r="D147">
        <v>9.1105361450751501E-2</v>
      </c>
      <c r="E147" t="s">
        <v>1588</v>
      </c>
      <c r="F147" t="s">
        <v>1443</v>
      </c>
      <c r="G147">
        <v>83.641999999999996</v>
      </c>
      <c r="H147">
        <v>1.37441217821301E-2</v>
      </c>
      <c r="I147">
        <v>82.088999999999999</v>
      </c>
      <c r="J147">
        <v>2.20371269562618E-2</v>
      </c>
      <c r="K147" t="s">
        <v>1077</v>
      </c>
      <c r="L147" t="s">
        <v>932</v>
      </c>
    </row>
    <row r="148" spans="1:12" x14ac:dyDescent="0.35">
      <c r="A148">
        <v>2.9090990484891902E-2</v>
      </c>
      <c r="B148">
        <v>2.9966625510563099E-2</v>
      </c>
      <c r="C148">
        <v>3.6843754178801799E-2</v>
      </c>
      <c r="D148">
        <v>5.6869734933791702E-2</v>
      </c>
      <c r="E148" t="s">
        <v>1589</v>
      </c>
      <c r="F148" t="s">
        <v>1443</v>
      </c>
      <c r="G148">
        <v>84.402000000000001</v>
      </c>
      <c r="H148">
        <v>9.0863441811530592E-3</v>
      </c>
      <c r="I148">
        <v>83.231999999999999</v>
      </c>
      <c r="J148">
        <v>1.39239118517707E-2</v>
      </c>
      <c r="K148" t="s">
        <v>1078</v>
      </c>
      <c r="L148" t="s">
        <v>932</v>
      </c>
    </row>
    <row r="149" spans="1:12" x14ac:dyDescent="0.35">
      <c r="A149">
        <v>-6.5707467210734897E-3</v>
      </c>
      <c r="B149">
        <v>2.09838687014814E-2</v>
      </c>
      <c r="C149">
        <v>3.0338463665483501E-2</v>
      </c>
      <c r="D149">
        <v>9.7213617262259494E-2</v>
      </c>
      <c r="E149" t="s">
        <v>1590</v>
      </c>
      <c r="F149" t="s">
        <v>1443</v>
      </c>
      <c r="G149">
        <v>85.034999999999997</v>
      </c>
      <c r="H149">
        <v>7.4998222790929603E-3</v>
      </c>
      <c r="I149">
        <v>85.185000000000002</v>
      </c>
      <c r="J149">
        <v>2.34645328719723E-2</v>
      </c>
      <c r="K149" t="s">
        <v>1079</v>
      </c>
      <c r="L149" t="s">
        <v>932</v>
      </c>
    </row>
    <row r="150" spans="1:12" x14ac:dyDescent="0.35">
      <c r="A150">
        <v>3.7059917165470399E-2</v>
      </c>
      <c r="B150">
        <v>3.4651107406359301E-2</v>
      </c>
      <c r="C150">
        <v>7.2299496950969405E-2</v>
      </c>
      <c r="D150">
        <v>0.104792955269219</v>
      </c>
      <c r="E150" t="s">
        <v>1591</v>
      </c>
      <c r="F150" t="s">
        <v>1443</v>
      </c>
      <c r="G150">
        <v>86.531999999999996</v>
      </c>
      <c r="H150">
        <v>1.7604515787616799E-2</v>
      </c>
      <c r="I150">
        <v>87.334000000000003</v>
      </c>
      <c r="J150">
        <v>2.5227446146622E-2</v>
      </c>
      <c r="K150" t="s">
        <v>1080</v>
      </c>
      <c r="L150" t="s">
        <v>932</v>
      </c>
    </row>
    <row r="151" spans="1:12" x14ac:dyDescent="0.35">
      <c r="A151">
        <v>3.4406916686266602E-2</v>
      </c>
      <c r="B151">
        <v>3.2361806516408201E-2</v>
      </c>
      <c r="C151">
        <v>4.4022069506022297E-2</v>
      </c>
      <c r="D151">
        <v>4.2476788274359099E-2</v>
      </c>
      <c r="E151" t="s">
        <v>1592</v>
      </c>
      <c r="F151" t="s">
        <v>1443</v>
      </c>
      <c r="G151">
        <v>87.468999999999994</v>
      </c>
      <c r="H151">
        <v>1.0828364073406401E-2</v>
      </c>
      <c r="I151">
        <v>88.247</v>
      </c>
      <c r="J151">
        <v>1.0454118670849799E-2</v>
      </c>
      <c r="K151" t="s">
        <v>1081</v>
      </c>
      <c r="L151" t="s">
        <v>932</v>
      </c>
    </row>
    <row r="152" spans="1:12" x14ac:dyDescent="0.35">
      <c r="A152">
        <v>2.2795387185985401E-2</v>
      </c>
      <c r="B152">
        <v>2.78463672712683E-2</v>
      </c>
      <c r="C152">
        <v>4.5480126137950501E-2</v>
      </c>
      <c r="D152">
        <v>3.9088464000031499E-2</v>
      </c>
      <c r="E152" t="s">
        <v>1593</v>
      </c>
      <c r="F152" t="s">
        <v>1443</v>
      </c>
      <c r="G152">
        <v>88.447000000000003</v>
      </c>
      <c r="H152">
        <v>1.11811041626177E-2</v>
      </c>
      <c r="I152">
        <v>89.096999999999994</v>
      </c>
      <c r="J152">
        <v>9.6320554806394992E-3</v>
      </c>
      <c r="K152" t="s">
        <v>1082</v>
      </c>
      <c r="L152" t="s">
        <v>932</v>
      </c>
    </row>
    <row r="153" spans="1:12" x14ac:dyDescent="0.35">
      <c r="A153">
        <v>4.1308326629664098E-2</v>
      </c>
      <c r="B153">
        <v>3.2459146974833902E-2</v>
      </c>
      <c r="C153">
        <v>6.2039731527971001E-2</v>
      </c>
      <c r="D153">
        <v>4.7886506250196997E-2</v>
      </c>
      <c r="E153" t="s">
        <v>1594</v>
      </c>
      <c r="F153" t="s">
        <v>1443</v>
      </c>
      <c r="G153">
        <v>89.787999999999997</v>
      </c>
      <c r="H153">
        <v>1.51616222144335E-2</v>
      </c>
      <c r="I153">
        <v>90.144999999999996</v>
      </c>
      <c r="J153">
        <v>1.1762461137861099E-2</v>
      </c>
      <c r="K153" t="s">
        <v>1083</v>
      </c>
      <c r="L153" t="s">
        <v>932</v>
      </c>
    </row>
    <row r="154" spans="1:12" x14ac:dyDescent="0.35">
      <c r="A154">
        <v>3.2954987594988598E-2</v>
      </c>
      <c r="B154">
        <v>3.4144429632388298E-2</v>
      </c>
      <c r="C154">
        <v>7.23147883586404E-2</v>
      </c>
      <c r="D154">
        <v>3.8436409888859401E-2</v>
      </c>
      <c r="E154" t="s">
        <v>1595</v>
      </c>
      <c r="F154" t="s">
        <v>1443</v>
      </c>
      <c r="G154">
        <v>91.369</v>
      </c>
      <c r="H154">
        <v>1.7608143627210901E-2</v>
      </c>
      <c r="I154">
        <v>90.998999999999995</v>
      </c>
      <c r="J154">
        <v>9.4736258250596207E-3</v>
      </c>
      <c r="K154" t="s">
        <v>1084</v>
      </c>
      <c r="L154" t="s">
        <v>932</v>
      </c>
    </row>
    <row r="155" spans="1:12" x14ac:dyDescent="0.35">
      <c r="A155">
        <v>3.9493950261418401E-2</v>
      </c>
      <c r="B155">
        <v>4.1602053152730099E-2</v>
      </c>
      <c r="C155">
        <v>6.3263019462217004E-2</v>
      </c>
      <c r="D155">
        <v>3.1126430511134499E-2</v>
      </c>
      <c r="E155" t="s">
        <v>1596</v>
      </c>
      <c r="F155" t="s">
        <v>1443</v>
      </c>
      <c r="G155">
        <v>92.781000000000006</v>
      </c>
      <c r="H155">
        <v>1.5453819129026301E-2</v>
      </c>
      <c r="I155">
        <v>91.698999999999998</v>
      </c>
      <c r="J155">
        <v>7.6923922240903497E-3</v>
      </c>
      <c r="K155" t="s">
        <v>1085</v>
      </c>
      <c r="L155" t="s">
        <v>932</v>
      </c>
    </row>
    <row r="156" spans="1:12" x14ac:dyDescent="0.35">
      <c r="A156">
        <v>4.3386852489040402E-2</v>
      </c>
      <c r="B156">
        <v>3.03408157550791E-2</v>
      </c>
      <c r="C156">
        <v>5.52136316684275E-2</v>
      </c>
      <c r="D156">
        <v>5.2701497522020399E-2</v>
      </c>
      <c r="E156" t="s">
        <v>1597</v>
      </c>
      <c r="F156" t="s">
        <v>1443</v>
      </c>
      <c r="G156">
        <v>94.036000000000001</v>
      </c>
      <c r="H156">
        <v>1.35264763259719E-2</v>
      </c>
      <c r="I156">
        <v>92.884</v>
      </c>
      <c r="J156">
        <v>1.29227145334192E-2</v>
      </c>
      <c r="K156" t="s">
        <v>1086</v>
      </c>
      <c r="L156" t="s">
        <v>932</v>
      </c>
    </row>
    <row r="157" spans="1:12" x14ac:dyDescent="0.35">
      <c r="A157">
        <v>-6.2360196436278902E-2</v>
      </c>
      <c r="B157">
        <v>-1.8917326805224201E-2</v>
      </c>
      <c r="C157">
        <v>-7.4155067193705196E-2</v>
      </c>
      <c r="D157">
        <v>7.5335045349203197E-2</v>
      </c>
      <c r="E157" t="s">
        <v>1598</v>
      </c>
      <c r="F157" t="s">
        <v>1443</v>
      </c>
      <c r="G157">
        <v>92.242000000000004</v>
      </c>
      <c r="H157">
        <v>-1.9077799991492599E-2</v>
      </c>
      <c r="I157">
        <v>94.585999999999999</v>
      </c>
      <c r="J157">
        <v>1.8323930924594199E-2</v>
      </c>
      <c r="K157" t="s">
        <v>1087</v>
      </c>
      <c r="L157" t="s">
        <v>932</v>
      </c>
    </row>
    <row r="158" spans="1:12" x14ac:dyDescent="0.35">
      <c r="A158">
        <v>-2.6731212813050201E-2</v>
      </c>
      <c r="B158">
        <v>-3.3135327897025703E-2</v>
      </c>
      <c r="C158">
        <v>-6.8462037949067106E-2</v>
      </c>
      <c r="D158">
        <v>2.5185264843212301E-2</v>
      </c>
      <c r="E158" t="s">
        <v>1599</v>
      </c>
      <c r="F158" t="s">
        <v>1443</v>
      </c>
      <c r="G158">
        <v>90.620999999999995</v>
      </c>
      <c r="H158">
        <v>-1.7573339693415201E-2</v>
      </c>
      <c r="I158">
        <v>95.176000000000002</v>
      </c>
      <c r="J158">
        <v>6.2377095976149403E-3</v>
      </c>
      <c r="K158" t="s">
        <v>1088</v>
      </c>
      <c r="L158" t="s">
        <v>932</v>
      </c>
    </row>
    <row r="159" spans="1:12" x14ac:dyDescent="0.35">
      <c r="A159">
        <v>1.6004255010514602E-2</v>
      </c>
      <c r="B159">
        <v>7.2471101838833497E-4</v>
      </c>
      <c r="C159">
        <v>1.9832196265286098E-2</v>
      </c>
      <c r="D159">
        <v>-3.4674689642026801E-2</v>
      </c>
      <c r="E159" t="s">
        <v>1600</v>
      </c>
      <c r="F159" t="s">
        <v>1443</v>
      </c>
      <c r="G159">
        <v>91.066999999999993</v>
      </c>
      <c r="H159">
        <v>4.9215965394333603E-3</v>
      </c>
      <c r="I159">
        <v>94.34</v>
      </c>
      <c r="J159">
        <v>-8.7837269899974108E-3</v>
      </c>
      <c r="K159" t="s">
        <v>1089</v>
      </c>
      <c r="L159" t="s">
        <v>932</v>
      </c>
    </row>
    <row r="160" spans="1:12" x14ac:dyDescent="0.35">
      <c r="A160">
        <v>2.78350080421834E-2</v>
      </c>
      <c r="B160">
        <v>1.22854862155337E-2</v>
      </c>
      <c r="C160">
        <v>3.47933032481611E-2</v>
      </c>
      <c r="D160">
        <v>-3.55556982427905E-2</v>
      </c>
      <c r="E160" t="s">
        <v>1601</v>
      </c>
      <c r="F160" t="s">
        <v>1443</v>
      </c>
      <c r="G160">
        <v>91.849000000000004</v>
      </c>
      <c r="H160">
        <v>8.5870842346844594E-3</v>
      </c>
      <c r="I160">
        <v>93.49</v>
      </c>
      <c r="J160">
        <v>-9.0099639601441996E-3</v>
      </c>
      <c r="K160" t="s">
        <v>1090</v>
      </c>
      <c r="L160" t="s">
        <v>932</v>
      </c>
    </row>
    <row r="161" spans="1:12" x14ac:dyDescent="0.35">
      <c r="A161">
        <v>3.1240948480233E-2</v>
      </c>
      <c r="B161">
        <v>3.11127095791379E-2</v>
      </c>
      <c r="C161">
        <v>3.76238534925952E-2</v>
      </c>
      <c r="D161">
        <v>-3.0769865450653898E-3</v>
      </c>
      <c r="E161" t="s">
        <v>1602</v>
      </c>
      <c r="F161" t="s">
        <v>1443</v>
      </c>
      <c r="G161">
        <v>92.700999999999993</v>
      </c>
      <c r="H161">
        <v>9.2760944593843798E-3</v>
      </c>
      <c r="I161">
        <v>93.418000000000006</v>
      </c>
      <c r="J161">
        <v>-7.7013584340557305E-4</v>
      </c>
      <c r="K161" t="s">
        <v>1091</v>
      </c>
      <c r="L161" t="s">
        <v>932</v>
      </c>
    </row>
    <row r="162" spans="1:12" x14ac:dyDescent="0.35">
      <c r="A162">
        <v>1.5538458112328299E-2</v>
      </c>
      <c r="B162">
        <v>2.5706833981413501E-2</v>
      </c>
      <c r="C162">
        <v>4.6975487060338501E-2</v>
      </c>
      <c r="D162">
        <v>1.13952226394907E-2</v>
      </c>
      <c r="E162" t="s">
        <v>1603</v>
      </c>
      <c r="F162" t="s">
        <v>1443</v>
      </c>
      <c r="G162">
        <v>93.771000000000001</v>
      </c>
      <c r="H162">
        <v>1.15424860573241E-2</v>
      </c>
      <c r="I162">
        <v>93.683000000000007</v>
      </c>
      <c r="J162">
        <v>2.8367124108843499E-3</v>
      </c>
      <c r="K162" t="s">
        <v>1092</v>
      </c>
      <c r="L162" t="s">
        <v>932</v>
      </c>
    </row>
    <row r="163" spans="1:12" x14ac:dyDescent="0.35">
      <c r="A163">
        <v>6.2204942357442202E-3</v>
      </c>
      <c r="B163">
        <v>3.1017939025557401E-2</v>
      </c>
      <c r="C163">
        <v>2.9062361366274402E-2</v>
      </c>
      <c r="D163">
        <v>1.7491325837778699E-2</v>
      </c>
      <c r="E163" t="s">
        <v>1604</v>
      </c>
      <c r="F163" t="s">
        <v>1443</v>
      </c>
      <c r="G163">
        <v>94.444999999999993</v>
      </c>
      <c r="H163">
        <v>7.18772328331774E-3</v>
      </c>
      <c r="I163">
        <v>94.09</v>
      </c>
      <c r="J163">
        <v>4.3444381584705196E-3</v>
      </c>
      <c r="K163" t="s">
        <v>1093</v>
      </c>
      <c r="L163" t="s">
        <v>932</v>
      </c>
    </row>
    <row r="164" spans="1:12" x14ac:dyDescent="0.35">
      <c r="A164">
        <v>7.72594376628044E-3</v>
      </c>
      <c r="B164">
        <v>1.59750935835106E-2</v>
      </c>
      <c r="C164">
        <v>2.3067349052007899E-2</v>
      </c>
      <c r="D164">
        <v>1.2643202128826501E-2</v>
      </c>
      <c r="E164" t="s">
        <v>1605</v>
      </c>
      <c r="F164" t="s">
        <v>1443</v>
      </c>
      <c r="G164">
        <v>94.984999999999999</v>
      </c>
      <c r="H164">
        <v>5.7176134258034601E-3</v>
      </c>
      <c r="I164">
        <v>94.385999999999996</v>
      </c>
      <c r="J164">
        <v>3.1459241152087501E-3</v>
      </c>
      <c r="K164" t="s">
        <v>1094</v>
      </c>
      <c r="L164" t="s">
        <v>932</v>
      </c>
    </row>
    <row r="165" spans="1:12" x14ac:dyDescent="0.35">
      <c r="A165">
        <v>2.5862689650447499E-2</v>
      </c>
      <c r="B165">
        <v>3.29452826155043E-2</v>
      </c>
      <c r="C165">
        <v>3.7879756208726099E-2</v>
      </c>
      <c r="D165">
        <v>1.8090208281751299E-2</v>
      </c>
      <c r="E165" t="s">
        <v>1606</v>
      </c>
      <c r="F165" t="s">
        <v>1443</v>
      </c>
      <c r="G165">
        <v>95.872</v>
      </c>
      <c r="H165">
        <v>9.3383165763014607E-3</v>
      </c>
      <c r="I165">
        <v>94.81</v>
      </c>
      <c r="J165">
        <v>4.4921916385904899E-3</v>
      </c>
      <c r="K165" t="s">
        <v>1095</v>
      </c>
      <c r="L165" t="s">
        <v>932</v>
      </c>
    </row>
    <row r="166" spans="1:12" x14ac:dyDescent="0.35">
      <c r="A166">
        <v>3.4016266815046298E-2</v>
      </c>
      <c r="B166">
        <v>3.64259738306612E-2</v>
      </c>
      <c r="C166">
        <v>4.5137017344844002E-2</v>
      </c>
      <c r="D166">
        <v>2.4394704867924499E-2</v>
      </c>
      <c r="E166" t="s">
        <v>1607</v>
      </c>
      <c r="F166" t="s">
        <v>1443</v>
      </c>
      <c r="G166">
        <v>96.936000000000007</v>
      </c>
      <c r="H166">
        <v>1.10981308411215E-2</v>
      </c>
      <c r="I166">
        <v>95.382999999999996</v>
      </c>
      <c r="J166">
        <v>6.0436662799281402E-3</v>
      </c>
      <c r="K166" t="s">
        <v>1096</v>
      </c>
      <c r="L166" t="s">
        <v>932</v>
      </c>
    </row>
    <row r="167" spans="1:12" x14ac:dyDescent="0.35">
      <c r="A167">
        <v>3.9906323464895102E-2</v>
      </c>
      <c r="B167">
        <v>3.6682670107609103E-2</v>
      </c>
      <c r="C167">
        <v>5.0829697512543702E-2</v>
      </c>
      <c r="D167">
        <v>4.1043493786856698E-2</v>
      </c>
      <c r="E167" t="s">
        <v>1608</v>
      </c>
      <c r="F167" t="s">
        <v>1443</v>
      </c>
      <c r="G167">
        <v>98.144999999999996</v>
      </c>
      <c r="H167">
        <v>1.24721465709332E-2</v>
      </c>
      <c r="I167">
        <v>96.346999999999994</v>
      </c>
      <c r="J167">
        <v>1.01066227734501E-2</v>
      </c>
      <c r="K167" t="s">
        <v>1097</v>
      </c>
      <c r="L167" t="s">
        <v>932</v>
      </c>
    </row>
    <row r="168" spans="1:12" x14ac:dyDescent="0.35">
      <c r="A168">
        <v>1.8640626124373699E-2</v>
      </c>
      <c r="B168">
        <v>1.39908352832361E-2</v>
      </c>
      <c r="C168">
        <v>1.5247657751557699E-2</v>
      </c>
      <c r="D168">
        <v>4.5983903903995101E-2</v>
      </c>
      <c r="E168" t="s">
        <v>1609</v>
      </c>
      <c r="F168" t="s">
        <v>1443</v>
      </c>
      <c r="G168">
        <v>98.516999999999996</v>
      </c>
      <c r="H168">
        <v>3.7903102552345699E-3</v>
      </c>
      <c r="I168">
        <v>97.436000000000007</v>
      </c>
      <c r="J168">
        <v>1.13028947450362E-2</v>
      </c>
      <c r="K168" t="s">
        <v>1098</v>
      </c>
      <c r="L168" t="s">
        <v>932</v>
      </c>
    </row>
    <row r="169" spans="1:12" x14ac:dyDescent="0.35">
      <c r="A169">
        <v>1.32561299755005E-2</v>
      </c>
      <c r="B169">
        <v>-5.33618345022691E-3</v>
      </c>
      <c r="C169">
        <v>-1.40950235359611E-2</v>
      </c>
      <c r="D169">
        <v>3.8137779822804398E-2</v>
      </c>
      <c r="E169" t="s">
        <v>1610</v>
      </c>
      <c r="F169" t="s">
        <v>1443</v>
      </c>
      <c r="G169">
        <v>98.168000000000006</v>
      </c>
      <c r="H169">
        <v>-3.54253580600294E-3</v>
      </c>
      <c r="I169">
        <v>98.352000000000004</v>
      </c>
      <c r="J169">
        <v>9.4010427357444897E-3</v>
      </c>
      <c r="K169" t="s">
        <v>1099</v>
      </c>
      <c r="L169" t="s">
        <v>932</v>
      </c>
    </row>
    <row r="170" spans="1:12" x14ac:dyDescent="0.35">
      <c r="A170">
        <v>2.6761481120787502E-2</v>
      </c>
      <c r="B170">
        <v>1.39201532997375E-2</v>
      </c>
      <c r="C170">
        <v>5.4116713606157101E-2</v>
      </c>
      <c r="D170">
        <v>3.0312571909831599E-2</v>
      </c>
      <c r="E170" t="s">
        <v>1611</v>
      </c>
      <c r="F170" t="s">
        <v>1443</v>
      </c>
      <c r="G170">
        <v>99.47</v>
      </c>
      <c r="H170">
        <v>1.32629777524242E-2</v>
      </c>
      <c r="I170">
        <v>99.088999999999999</v>
      </c>
      <c r="J170">
        <v>7.4934927606962196E-3</v>
      </c>
      <c r="K170" t="s">
        <v>1100</v>
      </c>
      <c r="L170" t="s">
        <v>932</v>
      </c>
    </row>
    <row r="171" spans="1:12" x14ac:dyDescent="0.35">
      <c r="A171">
        <v>9.7203652064314899E-3</v>
      </c>
      <c r="B171">
        <v>8.8550245823753003E-3</v>
      </c>
      <c r="C171">
        <v>-6.9787462524018001E-3</v>
      </c>
      <c r="D171">
        <v>3.2273930792219303E-2</v>
      </c>
      <c r="E171" t="s">
        <v>1612</v>
      </c>
      <c r="F171" t="s">
        <v>1443</v>
      </c>
      <c r="G171">
        <v>99.296000000000006</v>
      </c>
      <c r="H171">
        <v>-1.7492711370261599E-3</v>
      </c>
      <c r="I171">
        <v>99.879000000000005</v>
      </c>
      <c r="J171">
        <v>7.9726306653615797E-3</v>
      </c>
      <c r="K171" t="s">
        <v>1101</v>
      </c>
      <c r="L171" t="s">
        <v>932</v>
      </c>
    </row>
    <row r="172" spans="1:12" x14ac:dyDescent="0.35">
      <c r="A172">
        <v>1.1676944984941699E-2</v>
      </c>
      <c r="B172">
        <v>7.7077122555302396E-3</v>
      </c>
      <c r="C172">
        <v>2.44311343320835E-2</v>
      </c>
      <c r="D172">
        <v>2.17207841742009E-2</v>
      </c>
      <c r="E172" t="s">
        <v>1613</v>
      </c>
      <c r="F172" t="s">
        <v>1443</v>
      </c>
      <c r="G172">
        <v>99.897000000000006</v>
      </c>
      <c r="H172">
        <v>6.0526103770543998E-3</v>
      </c>
      <c r="I172">
        <v>100.417</v>
      </c>
      <c r="J172">
        <v>5.3865176864005297E-3</v>
      </c>
      <c r="K172" t="s">
        <v>1102</v>
      </c>
      <c r="L172" t="s">
        <v>932</v>
      </c>
    </row>
    <row r="173" spans="1:12" x14ac:dyDescent="0.35">
      <c r="A173">
        <v>2.2614716677978E-2</v>
      </c>
      <c r="B173">
        <v>4.9632662336496196E-3</v>
      </c>
      <c r="C173">
        <v>5.8918140200379103E-2</v>
      </c>
      <c r="D173">
        <v>7.9104688711333394E-3</v>
      </c>
      <c r="E173" t="s">
        <v>1614</v>
      </c>
      <c r="F173" t="s">
        <v>1443</v>
      </c>
      <c r="G173">
        <v>101.337</v>
      </c>
      <c r="H173">
        <v>1.4414847292711501E-2</v>
      </c>
      <c r="I173">
        <v>100.61499999999999</v>
      </c>
      <c r="J173">
        <v>1.9717776870449301E-3</v>
      </c>
      <c r="K173" t="s">
        <v>1103</v>
      </c>
      <c r="L173" t="s">
        <v>932</v>
      </c>
    </row>
    <row r="174" spans="1:12" x14ac:dyDescent="0.35">
      <c r="A174">
        <v>1.45079389824292E-2</v>
      </c>
      <c r="B174">
        <v>-1.9949826125076301E-4</v>
      </c>
      <c r="C174">
        <v>5.3376513955371498E-2</v>
      </c>
      <c r="D174">
        <v>1.6319173615011201E-2</v>
      </c>
      <c r="E174" t="s">
        <v>1615</v>
      </c>
      <c r="F174" t="s">
        <v>1443</v>
      </c>
      <c r="G174">
        <v>102.663</v>
      </c>
      <c r="H174">
        <v>1.3085052843482501E-2</v>
      </c>
      <c r="I174">
        <v>101.023</v>
      </c>
      <c r="J174">
        <v>4.05506137255873E-3</v>
      </c>
      <c r="K174" t="s">
        <v>1104</v>
      </c>
      <c r="L174" t="s">
        <v>932</v>
      </c>
    </row>
    <row r="175" spans="1:12" x14ac:dyDescent="0.35">
      <c r="A175">
        <v>2.8548469670495202E-3</v>
      </c>
      <c r="B175">
        <v>7.9245575399269404E-3</v>
      </c>
      <c r="C175">
        <v>2.14833879994034E-2</v>
      </c>
      <c r="D175">
        <v>2.0547855013869399E-2</v>
      </c>
      <c r="E175" t="s">
        <v>1616</v>
      </c>
      <c r="F175" t="s">
        <v>1443</v>
      </c>
      <c r="G175">
        <v>103.21</v>
      </c>
      <c r="H175">
        <v>5.3281123676494103E-3</v>
      </c>
      <c r="I175">
        <v>101.538</v>
      </c>
      <c r="J175">
        <v>5.0978490046820202E-3</v>
      </c>
      <c r="K175" t="s">
        <v>1105</v>
      </c>
      <c r="L175" t="s">
        <v>932</v>
      </c>
    </row>
    <row r="176" spans="1:12" x14ac:dyDescent="0.35">
      <c r="A176">
        <v>1.6326843500240801E-2</v>
      </c>
      <c r="B176">
        <v>1.3006397529373E-2</v>
      </c>
      <c r="C176">
        <v>3.4225885044726997E-2</v>
      </c>
      <c r="D176">
        <v>2.1723337040250802E-2</v>
      </c>
      <c r="E176" t="s">
        <v>1617</v>
      </c>
      <c r="F176" t="s">
        <v>1443</v>
      </c>
      <c r="G176">
        <v>104.08199999999999</v>
      </c>
      <c r="H176">
        <v>8.4487937215385108E-3</v>
      </c>
      <c r="I176">
        <v>102.08499999999999</v>
      </c>
      <c r="J176">
        <v>5.3871456991470001E-3</v>
      </c>
      <c r="K176" t="s">
        <v>1106</v>
      </c>
      <c r="L176" t="s">
        <v>932</v>
      </c>
    </row>
    <row r="177" spans="1:12" x14ac:dyDescent="0.35">
      <c r="A177">
        <v>1.6859105016114002E-2</v>
      </c>
      <c r="B177">
        <v>6.2259222369993199E-2</v>
      </c>
      <c r="C177">
        <v>2.1461497744286601E-2</v>
      </c>
      <c r="D177">
        <v>3.0554089712781E-2</v>
      </c>
      <c r="E177" t="s">
        <v>1618</v>
      </c>
      <c r="F177" t="s">
        <v>1443</v>
      </c>
      <c r="G177">
        <v>104.636</v>
      </c>
      <c r="H177">
        <v>5.3227263119464104E-3</v>
      </c>
      <c r="I177">
        <v>102.85599999999999</v>
      </c>
      <c r="J177">
        <v>7.55252975461618E-3</v>
      </c>
      <c r="K177" t="s">
        <v>1107</v>
      </c>
      <c r="L177" t="s">
        <v>932</v>
      </c>
    </row>
    <row r="178" spans="1:12" x14ac:dyDescent="0.35">
      <c r="A178">
        <v>1.93744928521071E-2</v>
      </c>
      <c r="B178">
        <v>-1.02831916231174E-2</v>
      </c>
      <c r="C178">
        <v>3.4027993671362999E-2</v>
      </c>
      <c r="D178">
        <v>2.27077607090642E-2</v>
      </c>
      <c r="E178" t="s">
        <v>1619</v>
      </c>
      <c r="F178" t="s">
        <v>1443</v>
      </c>
      <c r="G178">
        <v>105.515</v>
      </c>
      <c r="H178">
        <v>8.4005504797584098E-3</v>
      </c>
      <c r="I178">
        <v>103.435</v>
      </c>
      <c r="J178">
        <v>5.6292292136579398E-3</v>
      </c>
      <c r="K178" t="s">
        <v>1108</v>
      </c>
      <c r="L178" t="s">
        <v>932</v>
      </c>
    </row>
    <row r="179" spans="1:12" x14ac:dyDescent="0.35">
      <c r="A179">
        <v>2.0192934056340501E-2</v>
      </c>
      <c r="B179">
        <v>1.7798477087045E-2</v>
      </c>
      <c r="C179">
        <v>1.2683683496116101E-2</v>
      </c>
      <c r="D179">
        <v>1.8378329285591199E-2</v>
      </c>
      <c r="E179" t="s">
        <v>1620</v>
      </c>
      <c r="F179" t="s">
        <v>1443</v>
      </c>
      <c r="G179">
        <v>105.848</v>
      </c>
      <c r="H179">
        <v>3.1559493910817702E-3</v>
      </c>
      <c r="I179">
        <v>103.907</v>
      </c>
      <c r="J179">
        <v>4.5632522840430801E-3</v>
      </c>
      <c r="K179" t="s">
        <v>1109</v>
      </c>
      <c r="L179" t="s">
        <v>932</v>
      </c>
    </row>
    <row r="180" spans="1:12" x14ac:dyDescent="0.35">
      <c r="A180">
        <v>1.13601398604235E-2</v>
      </c>
      <c r="B180">
        <v>1.8827452214838801E-2</v>
      </c>
      <c r="C180">
        <v>2.3098181930942801E-2</v>
      </c>
      <c r="D180">
        <v>1.94654703730235E-2</v>
      </c>
      <c r="E180" t="s">
        <v>1621</v>
      </c>
      <c r="F180" t="s">
        <v>1443</v>
      </c>
      <c r="G180">
        <v>106.45399999999999</v>
      </c>
      <c r="H180">
        <v>5.7251908396946903E-3</v>
      </c>
      <c r="I180">
        <v>104.40900000000001</v>
      </c>
      <c r="J180">
        <v>4.8312433233566E-3</v>
      </c>
      <c r="K180" t="s">
        <v>1110</v>
      </c>
      <c r="L180" t="s">
        <v>932</v>
      </c>
    </row>
    <row r="181" spans="1:12" x14ac:dyDescent="0.35">
      <c r="A181">
        <v>-4.6048768205230201E-3</v>
      </c>
      <c r="B181">
        <v>5.3720415632923001E-3</v>
      </c>
      <c r="C181">
        <v>-3.1150724387948299E-3</v>
      </c>
      <c r="D181">
        <v>7.0678568534106E-3</v>
      </c>
      <c r="E181" t="s">
        <v>1622</v>
      </c>
      <c r="F181" t="s">
        <v>1443</v>
      </c>
      <c r="G181">
        <v>106.371</v>
      </c>
      <c r="H181">
        <v>-7.7967948597512703E-4</v>
      </c>
      <c r="I181">
        <v>104.593</v>
      </c>
      <c r="J181">
        <v>1.76230018484991E-3</v>
      </c>
      <c r="K181" t="s">
        <v>1111</v>
      </c>
      <c r="L181" t="s">
        <v>932</v>
      </c>
    </row>
    <row r="182" spans="1:12" x14ac:dyDescent="0.35">
      <c r="A182">
        <v>-1.65067373701384E-2</v>
      </c>
      <c r="B182">
        <v>-6.4248737444822001E-3</v>
      </c>
      <c r="C182">
        <v>-3.9305105462135198E-2</v>
      </c>
      <c r="D182">
        <v>-1.18502082280647E-3</v>
      </c>
      <c r="E182" t="s">
        <v>1623</v>
      </c>
      <c r="F182" t="s">
        <v>1443</v>
      </c>
      <c r="G182">
        <v>105.31</v>
      </c>
      <c r="H182">
        <v>-9.9745231313045392E-3</v>
      </c>
      <c r="I182">
        <v>104.562</v>
      </c>
      <c r="J182">
        <v>-2.9638694750133698E-4</v>
      </c>
      <c r="K182" t="s">
        <v>1112</v>
      </c>
      <c r="L182" t="s">
        <v>932</v>
      </c>
    </row>
    <row r="183" spans="1:12" x14ac:dyDescent="0.35">
      <c r="A183">
        <v>1.9548766403745001E-2</v>
      </c>
      <c r="B183">
        <v>7.87290366046434E-3</v>
      </c>
      <c r="C183">
        <v>2.82887807392058E-2</v>
      </c>
      <c r="D183">
        <v>1.76749178700988E-2</v>
      </c>
      <c r="E183" t="s">
        <v>1624</v>
      </c>
      <c r="F183" t="s">
        <v>1443</v>
      </c>
      <c r="G183">
        <v>106.047</v>
      </c>
      <c r="H183">
        <v>6.9983857183553199E-3</v>
      </c>
      <c r="I183">
        <v>105.021</v>
      </c>
      <c r="J183">
        <v>4.3897400585299904E-3</v>
      </c>
      <c r="K183" t="s">
        <v>1113</v>
      </c>
      <c r="L183" t="s">
        <v>932</v>
      </c>
    </row>
    <row r="184" spans="1:12" x14ac:dyDescent="0.35">
      <c r="A184">
        <v>9.6917092109320997E-3</v>
      </c>
      <c r="B184">
        <v>6.1419866574232698E-3</v>
      </c>
      <c r="C184">
        <v>2.4162101667697402E-3</v>
      </c>
      <c r="D184">
        <v>1.1398511762960899E-2</v>
      </c>
      <c r="E184" t="s">
        <v>1625</v>
      </c>
      <c r="F184" t="s">
        <v>1443</v>
      </c>
      <c r="G184">
        <v>106.111</v>
      </c>
      <c r="H184">
        <v>6.0350599262592997E-4</v>
      </c>
      <c r="I184">
        <v>105.319</v>
      </c>
      <c r="J184">
        <v>2.8375277325487498E-3</v>
      </c>
      <c r="K184" t="s">
        <v>1114</v>
      </c>
      <c r="L184" t="s">
        <v>932</v>
      </c>
    </row>
    <row r="185" spans="1:12" x14ac:dyDescent="0.35">
      <c r="A185">
        <v>-3.9403871252573497E-3</v>
      </c>
      <c r="B185">
        <v>-3.1716537268759999E-3</v>
      </c>
      <c r="C185">
        <v>-1.5664221695060501E-2</v>
      </c>
      <c r="D185">
        <v>-2.2010123911118101E-3</v>
      </c>
      <c r="E185" t="s">
        <v>1626</v>
      </c>
      <c r="F185" t="s">
        <v>1443</v>
      </c>
      <c r="G185">
        <v>105.693</v>
      </c>
      <c r="H185">
        <v>-3.9392711405981098E-3</v>
      </c>
      <c r="I185">
        <v>105.261</v>
      </c>
      <c r="J185">
        <v>-5.5070784948596497E-4</v>
      </c>
      <c r="K185" t="s">
        <v>1115</v>
      </c>
      <c r="L185" t="s">
        <v>932</v>
      </c>
    </row>
    <row r="186" spans="1:12" x14ac:dyDescent="0.35">
      <c r="A186">
        <v>2.1316685833889801E-3</v>
      </c>
      <c r="B186">
        <v>-9.9615046560082004E-3</v>
      </c>
      <c r="C186">
        <v>-3.3665208430493802E-2</v>
      </c>
      <c r="D186">
        <v>-9.6550430027560995E-3</v>
      </c>
      <c r="E186" t="s">
        <v>1627</v>
      </c>
      <c r="F186" t="s">
        <v>1443</v>
      </c>
      <c r="G186">
        <v>104.792</v>
      </c>
      <c r="H186">
        <v>-8.5246894307096106E-3</v>
      </c>
      <c r="I186">
        <v>105.006</v>
      </c>
      <c r="J186">
        <v>-2.4225496622680702E-3</v>
      </c>
      <c r="K186" t="s">
        <v>1116</v>
      </c>
      <c r="L186" t="s">
        <v>932</v>
      </c>
    </row>
    <row r="187" spans="1:12" x14ac:dyDescent="0.35">
      <c r="A187">
        <v>2.5357857709627601E-2</v>
      </c>
      <c r="B187">
        <v>2.1698746196001199E-2</v>
      </c>
      <c r="C187">
        <v>3.0770998377488399E-2</v>
      </c>
      <c r="D187">
        <v>3.3008554152673703E-2</v>
      </c>
      <c r="E187" t="s">
        <v>1628</v>
      </c>
      <c r="F187" t="s">
        <v>1443</v>
      </c>
      <c r="G187">
        <v>105.589</v>
      </c>
      <c r="H187">
        <v>7.6055424078174099E-3</v>
      </c>
      <c r="I187">
        <v>105.86199999999999</v>
      </c>
      <c r="J187">
        <v>8.1519151286593202E-3</v>
      </c>
      <c r="K187" t="s">
        <v>1117</v>
      </c>
      <c r="L187" t="s">
        <v>932</v>
      </c>
    </row>
    <row r="188" spans="1:12" x14ac:dyDescent="0.35">
      <c r="A188">
        <v>1.5085753101185199E-2</v>
      </c>
      <c r="B188">
        <v>1.5625918949128799E-2</v>
      </c>
      <c r="C188">
        <v>1.5469326265677499E-2</v>
      </c>
      <c r="D188">
        <v>3.0262315011426702E-3</v>
      </c>
      <c r="E188" t="s">
        <v>1629</v>
      </c>
      <c r="F188" t="s">
        <v>1443</v>
      </c>
      <c r="G188">
        <v>105.995</v>
      </c>
      <c r="H188">
        <v>3.8450975006867299E-3</v>
      </c>
      <c r="I188">
        <v>105.94199999999999</v>
      </c>
      <c r="J188">
        <v>7.5570081804610101E-4</v>
      </c>
      <c r="K188" t="s">
        <v>1118</v>
      </c>
      <c r="L188" t="s">
        <v>932</v>
      </c>
    </row>
    <row r="189" spans="1:12" x14ac:dyDescent="0.35">
      <c r="A189">
        <v>1.9065277405527499E-2</v>
      </c>
      <c r="B189">
        <v>1.9426037707255001E-2</v>
      </c>
      <c r="C189">
        <v>1.98067429774604E-2</v>
      </c>
      <c r="D189">
        <v>1.9471921944120799E-2</v>
      </c>
      <c r="E189" t="s">
        <v>1630</v>
      </c>
      <c r="F189" t="s">
        <v>1443</v>
      </c>
      <c r="G189">
        <v>106.51600000000001</v>
      </c>
      <c r="H189">
        <v>4.9153261946317502E-3</v>
      </c>
      <c r="I189">
        <v>106.45399999999999</v>
      </c>
      <c r="J189">
        <v>4.8328330595985803E-3</v>
      </c>
      <c r="K189" t="s">
        <v>1119</v>
      </c>
      <c r="L189" t="s">
        <v>932</v>
      </c>
    </row>
    <row r="190" spans="1:12" x14ac:dyDescent="0.35">
      <c r="A190">
        <v>2.3896314746341098E-2</v>
      </c>
      <c r="B190">
        <v>1.9409885132803301E-2</v>
      </c>
      <c r="C190">
        <v>3.9514900887574103E-2</v>
      </c>
      <c r="D190">
        <v>2.7099611156277601E-2</v>
      </c>
      <c r="E190" t="s">
        <v>1631</v>
      </c>
      <c r="F190" t="s">
        <v>1443</v>
      </c>
      <c r="G190">
        <v>107.53400000000001</v>
      </c>
      <c r="H190">
        <v>9.5572496150813108E-3</v>
      </c>
      <c r="I190">
        <v>107.188</v>
      </c>
      <c r="J190">
        <v>6.8949969000695601E-3</v>
      </c>
      <c r="K190" t="s">
        <v>1120</v>
      </c>
      <c r="L190" t="s">
        <v>932</v>
      </c>
    </row>
    <row r="191" spans="1:12" x14ac:dyDescent="0.35">
      <c r="A191">
        <v>9.9328007831764892E-3</v>
      </c>
      <c r="B191">
        <v>1.3103273651826199E-2</v>
      </c>
      <c r="C191">
        <v>9.0306358829268501E-3</v>
      </c>
      <c r="D191">
        <v>2.1521193573355E-2</v>
      </c>
      <c r="E191" t="s">
        <v>1632</v>
      </c>
      <c r="F191" t="s">
        <v>1443</v>
      </c>
      <c r="G191">
        <v>107.80200000000001</v>
      </c>
      <c r="H191">
        <v>2.49223501404217E-3</v>
      </c>
      <c r="I191">
        <v>107.712</v>
      </c>
      <c r="J191">
        <v>4.8886069336120403E-3</v>
      </c>
      <c r="K191" t="s">
        <v>1121</v>
      </c>
      <c r="L191" t="s">
        <v>932</v>
      </c>
    </row>
    <row r="192" spans="1:12" x14ac:dyDescent="0.35">
      <c r="A192">
        <v>1.4603017582518699E-2</v>
      </c>
      <c r="B192">
        <v>1.7788818797953999E-2</v>
      </c>
      <c r="C192">
        <v>3.6635495652026999E-2</v>
      </c>
      <c r="D192">
        <v>3.6311211479282998E-2</v>
      </c>
      <c r="E192" t="s">
        <v>1633</v>
      </c>
      <c r="F192" t="s">
        <v>1443</v>
      </c>
      <c r="G192">
        <v>108.785</v>
      </c>
      <c r="H192">
        <v>9.1185692287711895E-3</v>
      </c>
      <c r="I192">
        <v>108.676</v>
      </c>
      <c r="J192">
        <v>8.94979203802726E-3</v>
      </c>
      <c r="K192" t="s">
        <v>1122</v>
      </c>
      <c r="L192" t="s">
        <v>932</v>
      </c>
    </row>
    <row r="193" spans="1:12" x14ac:dyDescent="0.35">
      <c r="A193">
        <v>2.5719713356744601E-2</v>
      </c>
      <c r="B193">
        <v>2.90667642529692E-2</v>
      </c>
      <c r="C193">
        <v>5.7042627848445E-2</v>
      </c>
      <c r="D193">
        <v>2.3197124388088401E-2</v>
      </c>
      <c r="E193" t="s">
        <v>1634</v>
      </c>
      <c r="F193" t="s">
        <v>1443</v>
      </c>
      <c r="G193">
        <v>110.252</v>
      </c>
      <c r="H193">
        <v>1.3485315071011699E-2</v>
      </c>
      <c r="I193">
        <v>109.285</v>
      </c>
      <c r="J193">
        <v>5.6038131694209304E-3</v>
      </c>
      <c r="K193" t="s">
        <v>1123</v>
      </c>
      <c r="L193" t="s">
        <v>932</v>
      </c>
    </row>
    <row r="194" spans="1:12" x14ac:dyDescent="0.35">
      <c r="A194">
        <v>2.9147369447939799E-2</v>
      </c>
      <c r="B194">
        <v>4.11537159385129E-2</v>
      </c>
      <c r="C194">
        <v>5.2316315130779299E-2</v>
      </c>
      <c r="D194">
        <v>3.8107075575473298E-2</v>
      </c>
      <c r="E194" t="s">
        <v>1635</v>
      </c>
      <c r="F194" t="s">
        <v>1443</v>
      </c>
      <c r="G194">
        <v>111.627</v>
      </c>
      <c r="H194">
        <v>1.24714290897217E-2</v>
      </c>
      <c r="I194">
        <v>110.291</v>
      </c>
      <c r="J194">
        <v>9.2052889234570702E-3</v>
      </c>
      <c r="K194" t="s">
        <v>1124</v>
      </c>
      <c r="L194" t="s">
        <v>932</v>
      </c>
    </row>
    <row r="195" spans="1:12" x14ac:dyDescent="0.35">
      <c r="A195">
        <v>2.1663179127611398E-2</v>
      </c>
      <c r="B195">
        <v>2.95524402709311E-2</v>
      </c>
      <c r="C195">
        <v>4.1414814571916599E-2</v>
      </c>
      <c r="D195">
        <v>5.71493007542314E-2</v>
      </c>
      <c r="E195" t="s">
        <v>1636</v>
      </c>
      <c r="F195" t="s">
        <v>1443</v>
      </c>
      <c r="G195">
        <v>112.81100000000001</v>
      </c>
      <c r="H195">
        <v>1.06067528465337E-2</v>
      </c>
      <c r="I195">
        <v>111.736</v>
      </c>
      <c r="J195">
        <v>1.3101703674824E-2</v>
      </c>
      <c r="K195" t="s">
        <v>1125</v>
      </c>
      <c r="L195" t="s">
        <v>932</v>
      </c>
    </row>
    <row r="196" spans="1:12" x14ac:dyDescent="0.35">
      <c r="A196">
        <v>1.4350946991545E-2</v>
      </c>
      <c r="B196">
        <v>2.3387558006987101E-2</v>
      </c>
      <c r="C196">
        <v>3.8836746328921902E-2</v>
      </c>
      <c r="D196">
        <v>2.9745006586506799E-2</v>
      </c>
      <c r="E196" t="s">
        <v>1637</v>
      </c>
      <c r="F196" t="s">
        <v>1443</v>
      </c>
      <c r="G196">
        <v>113.875</v>
      </c>
      <c r="H196">
        <v>9.4317043550717905E-3</v>
      </c>
      <c r="I196">
        <v>112.542</v>
      </c>
      <c r="J196">
        <v>7.2134316603422698E-3</v>
      </c>
      <c r="K196" t="s">
        <v>1126</v>
      </c>
      <c r="L196" t="s">
        <v>932</v>
      </c>
    </row>
    <row r="197" spans="1:12" x14ac:dyDescent="0.35">
      <c r="A197">
        <v>1.51565091171486E-2</v>
      </c>
      <c r="B197">
        <v>2.9652502701153601E-2</v>
      </c>
      <c r="C197">
        <v>1.6036274889288799E-2</v>
      </c>
      <c r="D197">
        <v>4.1912016313216102E-2</v>
      </c>
      <c r="E197" t="s">
        <v>1638</v>
      </c>
      <c r="F197" t="s">
        <v>1443</v>
      </c>
      <c r="G197">
        <v>114.43899999999999</v>
      </c>
      <c r="H197">
        <v>4.9527991218440998E-3</v>
      </c>
      <c r="I197">
        <v>113.715</v>
      </c>
      <c r="J197">
        <v>1.0422775497147801E-2</v>
      </c>
      <c r="K197" t="s">
        <v>1127</v>
      </c>
      <c r="L197" t="s">
        <v>932</v>
      </c>
    </row>
    <row r="198" spans="1:12" x14ac:dyDescent="0.35">
      <c r="A198">
        <v>8.3593342288621492E-3</v>
      </c>
      <c r="B198">
        <v>4.3357912415273203E-2</v>
      </c>
      <c r="C198">
        <v>-1.6750426853228501E-2</v>
      </c>
      <c r="D198">
        <v>1.5721372171975601E-2</v>
      </c>
      <c r="E198" t="s">
        <v>1639</v>
      </c>
      <c r="F198" t="s">
        <v>1443</v>
      </c>
      <c r="G198">
        <v>113.98</v>
      </c>
      <c r="H198">
        <v>-4.0108704200489996E-3</v>
      </c>
      <c r="I198">
        <v>114.175</v>
      </c>
      <c r="J198">
        <v>4.0452007211009304E-3</v>
      </c>
      <c r="K198" t="s">
        <v>1128</v>
      </c>
      <c r="L198" t="s">
        <v>932</v>
      </c>
    </row>
    <row r="199" spans="1:12" x14ac:dyDescent="0.35">
      <c r="A199">
        <v>2.4734353401226102E-2</v>
      </c>
      <c r="B199">
        <v>-2.6343933972632301E-2</v>
      </c>
      <c r="C199">
        <v>2.5813818283005E-2</v>
      </c>
      <c r="D199">
        <v>4.8037769815769002E-2</v>
      </c>
      <c r="E199" t="s">
        <v>1640</v>
      </c>
      <c r="F199" t="s">
        <v>1443</v>
      </c>
      <c r="G199">
        <v>114.758</v>
      </c>
      <c r="H199">
        <v>6.8257589050710896E-3</v>
      </c>
      <c r="I199">
        <v>115.41800000000001</v>
      </c>
      <c r="J199">
        <v>1.0886796584191E-2</v>
      </c>
      <c r="K199" t="s">
        <v>1129</v>
      </c>
      <c r="L199" t="s">
        <v>932</v>
      </c>
    </row>
    <row r="200" spans="1:12" x14ac:dyDescent="0.35">
      <c r="A200">
        <v>1.0490970472330399E-2</v>
      </c>
      <c r="B200">
        <v>1.0018821110834301E-2</v>
      </c>
      <c r="C200">
        <v>8.6124156242581903E-3</v>
      </c>
      <c r="D200">
        <v>1.9083730667159401E-2</v>
      </c>
      <c r="E200" t="s">
        <v>1641</v>
      </c>
      <c r="F200" t="s">
        <v>1443</v>
      </c>
      <c r="G200">
        <v>114.919</v>
      </c>
      <c r="H200">
        <v>1.40295229962173E-3</v>
      </c>
      <c r="I200">
        <v>115.982</v>
      </c>
      <c r="J200">
        <v>4.8865861477411796E-3</v>
      </c>
      <c r="K200" t="s">
        <v>1130</v>
      </c>
      <c r="L200" t="s">
        <v>932</v>
      </c>
    </row>
    <row r="201" spans="1:12" x14ac:dyDescent="0.35">
      <c r="A201">
        <v>1.45690487077856E-2</v>
      </c>
      <c r="B201">
        <v>1.6245763277308499E-2</v>
      </c>
      <c r="C201">
        <v>1.6996215944869601E-2</v>
      </c>
      <c r="D201">
        <v>5.8979339636946503E-3</v>
      </c>
      <c r="E201" t="s">
        <v>1642</v>
      </c>
      <c r="F201" t="s">
        <v>1443</v>
      </c>
      <c r="G201">
        <v>115.285</v>
      </c>
      <c r="H201">
        <v>3.1848519391919298E-3</v>
      </c>
      <c r="I201">
        <v>116.167</v>
      </c>
      <c r="J201">
        <v>1.59507509785994E-3</v>
      </c>
      <c r="K201" t="s">
        <v>1131</v>
      </c>
      <c r="L201" t="s">
        <v>932</v>
      </c>
    </row>
    <row r="202" spans="1:12" x14ac:dyDescent="0.35">
      <c r="A202">
        <v>1.46624987744557E-2</v>
      </c>
      <c r="B202">
        <v>1.3591255249432201E-2</v>
      </c>
      <c r="C202">
        <v>5.0660572456327199E-2</v>
      </c>
      <c r="D202">
        <v>1.0418465412080901E-2</v>
      </c>
      <c r="E202" t="s">
        <v>1643</v>
      </c>
      <c r="F202" t="s">
        <v>1443</v>
      </c>
      <c r="G202">
        <v>116.54600000000001</v>
      </c>
      <c r="H202">
        <v>1.09381099015484E-2</v>
      </c>
      <c r="I202">
        <v>116.5</v>
      </c>
      <c r="J202">
        <v>2.86656279322006E-3</v>
      </c>
      <c r="K202" t="s">
        <v>1132</v>
      </c>
      <c r="L202" t="s">
        <v>932</v>
      </c>
    </row>
    <row r="203" spans="1:12" x14ac:dyDescent="0.35">
      <c r="A203">
        <v>-1.7940859457881899E-2</v>
      </c>
      <c r="B203">
        <v>3.31045118831508E-3</v>
      </c>
      <c r="C203">
        <v>-1.06133933402519E-3</v>
      </c>
      <c r="D203">
        <v>-7.65559802497651E-3</v>
      </c>
      <c r="E203" t="s">
        <v>1644</v>
      </c>
      <c r="F203" t="s">
        <v>1443</v>
      </c>
      <c r="G203">
        <v>116.072</v>
      </c>
      <c r="H203">
        <v>-4.0670636486881398E-3</v>
      </c>
      <c r="I203">
        <v>116.19499999999999</v>
      </c>
      <c r="J203">
        <v>-2.61802575107306E-3</v>
      </c>
      <c r="K203" t="s">
        <v>1133</v>
      </c>
      <c r="L203" t="s">
        <v>932</v>
      </c>
    </row>
    <row r="204" spans="1:12" x14ac:dyDescent="0.35">
      <c r="A204">
        <v>3.3775526155126898E-2</v>
      </c>
      <c r="B204">
        <v>2.5959727144998501E-2</v>
      </c>
      <c r="C204">
        <v>3.4596703938155803E-2</v>
      </c>
      <c r="D204">
        <v>4.1355015452944698E-2</v>
      </c>
      <c r="E204" t="s">
        <v>1645</v>
      </c>
      <c r="F204" t="s">
        <v>1443</v>
      </c>
      <c r="G204">
        <v>116.51900000000001</v>
      </c>
      <c r="H204">
        <v>3.8510579640223001E-3</v>
      </c>
      <c r="I204">
        <v>117.285</v>
      </c>
      <c r="J204">
        <v>9.3807823056069103E-3</v>
      </c>
      <c r="K204" t="s">
        <v>1134</v>
      </c>
      <c r="L204" t="s">
        <v>932</v>
      </c>
    </row>
    <row r="205" spans="1:12" x14ac:dyDescent="0.35">
      <c r="A205">
        <v>1.6442937470855502E-2</v>
      </c>
      <c r="B205">
        <v>2.4447407360365301E-2</v>
      </c>
      <c r="C205">
        <v>5.1547958936444697E-2</v>
      </c>
      <c r="D205">
        <v>1.8415186976738801E-2</v>
      </c>
      <c r="E205" t="s">
        <v>1646</v>
      </c>
      <c r="F205" t="s">
        <v>1443</v>
      </c>
      <c r="G205">
        <v>117.593</v>
      </c>
      <c r="H205">
        <v>9.2173808563409398E-3</v>
      </c>
      <c r="I205">
        <v>117.706</v>
      </c>
      <c r="J205">
        <v>3.5895468303705999E-3</v>
      </c>
      <c r="K205" t="s">
        <v>1135</v>
      </c>
      <c r="L205" t="s">
        <v>932</v>
      </c>
    </row>
    <row r="206" spans="1:12" x14ac:dyDescent="0.35">
      <c r="A206">
        <v>4.5025943450948999E-2</v>
      </c>
      <c r="B206">
        <v>4.0827649049089101E-2</v>
      </c>
      <c r="C206">
        <v>9.2834286401326696E-2</v>
      </c>
      <c r="D206">
        <v>6.4160755006020101E-2</v>
      </c>
      <c r="E206" t="s">
        <v>1647</v>
      </c>
      <c r="F206" t="s">
        <v>1443</v>
      </c>
      <c r="G206">
        <v>119.419</v>
      </c>
      <c r="H206">
        <v>1.5528135178114201E-2</v>
      </c>
      <c r="I206">
        <v>119.416</v>
      </c>
      <c r="J206">
        <v>1.45277216114725E-2</v>
      </c>
      <c r="K206" t="s">
        <v>1136</v>
      </c>
      <c r="L206" t="s">
        <v>932</v>
      </c>
    </row>
    <row r="207" spans="1:12" x14ac:dyDescent="0.35">
      <c r="A207">
        <v>6.4441802743663304E-2</v>
      </c>
      <c r="B207">
        <v>4.1247362410053098E-2</v>
      </c>
      <c r="C207">
        <v>8.0575514620662397E-2</v>
      </c>
      <c r="D207">
        <v>0.104589902157439</v>
      </c>
      <c r="E207" t="s">
        <v>1648</v>
      </c>
      <c r="F207" t="s">
        <v>1443</v>
      </c>
      <c r="G207">
        <v>121.425</v>
      </c>
      <c r="H207">
        <v>1.6797996968656699E-2</v>
      </c>
      <c r="I207">
        <v>122.101</v>
      </c>
      <c r="J207">
        <v>2.24844241977624E-2</v>
      </c>
      <c r="K207" t="s">
        <v>1137</v>
      </c>
      <c r="L207" t="s">
        <v>932</v>
      </c>
    </row>
    <row r="208" spans="1:12" x14ac:dyDescent="0.35">
      <c r="A208">
        <v>5.5998846943190198E-2</v>
      </c>
      <c r="B208">
        <v>4.40178580952795E-2</v>
      </c>
      <c r="C208">
        <v>6.4680375979367696E-2</v>
      </c>
      <c r="D208">
        <v>9.3631239224950299E-2</v>
      </c>
      <c r="E208" t="s">
        <v>1649</v>
      </c>
      <c r="F208" t="s">
        <v>1443</v>
      </c>
      <c r="G208">
        <v>123.291</v>
      </c>
      <c r="H208">
        <v>1.53675108091413E-2</v>
      </c>
      <c r="I208">
        <v>124.71</v>
      </c>
      <c r="J208">
        <v>2.13675563672697E-2</v>
      </c>
      <c r="K208" t="s">
        <v>1138</v>
      </c>
      <c r="L208" t="s">
        <v>932</v>
      </c>
    </row>
    <row r="209" spans="1:12" x14ac:dyDescent="0.35">
      <c r="A209">
        <v>6.1859650545573498E-2</v>
      </c>
      <c r="B209">
        <v>4.34322998250962E-2</v>
      </c>
      <c r="C209">
        <v>8.4136934840178798E-2</v>
      </c>
      <c r="D209">
        <v>0.12124821634027599</v>
      </c>
      <c r="E209" t="s">
        <v>1650</v>
      </c>
      <c r="F209" t="s">
        <v>1443</v>
      </c>
      <c r="G209">
        <v>125.712</v>
      </c>
      <c r="H209">
        <v>1.96364698153151E-2</v>
      </c>
      <c r="I209">
        <v>128.44900000000001</v>
      </c>
      <c r="J209">
        <v>2.9981557212733798E-2</v>
      </c>
      <c r="K209" t="s">
        <v>1139</v>
      </c>
      <c r="L209" t="s">
        <v>932</v>
      </c>
    </row>
    <row r="210" spans="1:12" x14ac:dyDescent="0.35">
      <c r="A210">
        <v>7.4784916271317198E-2</v>
      </c>
      <c r="B210">
        <v>5.6798579453040801E-2</v>
      </c>
      <c r="C210">
        <v>0.10120576467409099</v>
      </c>
      <c r="D210">
        <v>0.12687792670398401</v>
      </c>
      <c r="E210" t="s">
        <v>1651</v>
      </c>
      <c r="F210" t="s">
        <v>1443</v>
      </c>
      <c r="G210">
        <v>129</v>
      </c>
      <c r="H210">
        <v>2.6155021000381799E-2</v>
      </c>
      <c r="I210">
        <v>132.33099999999999</v>
      </c>
      <c r="J210">
        <v>3.0222111499505398E-2</v>
      </c>
      <c r="K210" t="s">
        <v>1140</v>
      </c>
      <c r="L210" t="s">
        <v>932</v>
      </c>
    </row>
    <row r="211" spans="1:12" x14ac:dyDescent="0.35">
      <c r="A211">
        <v>7.2922192171477093E-2</v>
      </c>
      <c r="B211">
        <v>5.9959109255099501E-2</v>
      </c>
      <c r="C211">
        <v>0.15221841372862299</v>
      </c>
      <c r="D211">
        <v>0.13796693794697101</v>
      </c>
      <c r="E211" t="s">
        <v>1652</v>
      </c>
      <c r="F211" t="s">
        <v>1443</v>
      </c>
      <c r="G211">
        <v>133.62100000000001</v>
      </c>
      <c r="H211">
        <v>3.5821705426356799E-2</v>
      </c>
      <c r="I211">
        <v>136.69900000000001</v>
      </c>
      <c r="J211">
        <v>3.3008138682546297E-2</v>
      </c>
      <c r="K211" t="s">
        <v>1141</v>
      </c>
      <c r="L211" t="s">
        <v>932</v>
      </c>
    </row>
    <row r="212" spans="1:12" x14ac:dyDescent="0.35">
      <c r="A212">
        <v>4.1796200977757901E-2</v>
      </c>
      <c r="B212">
        <v>4.8377032065661102E-2</v>
      </c>
      <c r="C212">
        <v>8.9811228034972802E-3</v>
      </c>
      <c r="D212">
        <v>8.9581033951388098E-2</v>
      </c>
      <c r="E212" t="s">
        <v>1653</v>
      </c>
      <c r="F212" t="s">
        <v>1443</v>
      </c>
      <c r="H212">
        <v>1.10762503071244E-2</v>
      </c>
      <c r="J212">
        <v>1.10762503071244E-2</v>
      </c>
      <c r="K212" t="s">
        <v>1142</v>
      </c>
      <c r="L212" t="s">
        <v>1143</v>
      </c>
    </row>
    <row r="213" spans="1:12" x14ac:dyDescent="0.35">
      <c r="A213">
        <v>2.7447616796656402E-2</v>
      </c>
      <c r="B213">
        <v>2.3249618404576101E-2</v>
      </c>
      <c r="C213">
        <v>3.8298767461848897E-2</v>
      </c>
      <c r="D213">
        <v>3.8298767461848897E-2</v>
      </c>
      <c r="E213" t="s">
        <v>1654</v>
      </c>
      <c r="F213" t="s">
        <v>1655</v>
      </c>
      <c r="H213">
        <v>9.4401732935755992E-3</v>
      </c>
      <c r="J213">
        <v>9.4401732935755992E-3</v>
      </c>
      <c r="K213" t="s">
        <v>1144</v>
      </c>
      <c r="L213" t="s">
        <v>1143</v>
      </c>
    </row>
    <row r="214" spans="1:12" x14ac:dyDescent="0.35">
      <c r="A214">
        <v>2.49173870638888E-2</v>
      </c>
      <c r="B214">
        <v>2.1715756912072299E-2</v>
      </c>
      <c r="C214">
        <v>3.6085750781477598E-2</v>
      </c>
      <c r="D214">
        <v>3.6085750781477598E-2</v>
      </c>
      <c r="E214" t="s">
        <v>1656</v>
      </c>
      <c r="F214" t="s">
        <v>1655</v>
      </c>
      <c r="H214">
        <v>8.9018658885664497E-3</v>
      </c>
      <c r="J214">
        <v>8.9018658885664497E-3</v>
      </c>
      <c r="K214" t="s">
        <v>1145</v>
      </c>
      <c r="L214" t="s">
        <v>1143</v>
      </c>
    </row>
    <row r="215" spans="1:12" x14ac:dyDescent="0.35">
      <c r="A215">
        <v>2.33440010578361E-2</v>
      </c>
      <c r="B215">
        <v>2.1485909848918801E-2</v>
      </c>
      <c r="C215">
        <v>3.2005284910624002E-2</v>
      </c>
      <c r="D215">
        <v>3.2005284910624002E-2</v>
      </c>
      <c r="E215" t="s">
        <v>1657</v>
      </c>
      <c r="F215" t="s">
        <v>1655</v>
      </c>
      <c r="H215">
        <v>7.9070438771131606E-3</v>
      </c>
      <c r="J215">
        <v>7.9070438771131606E-3</v>
      </c>
      <c r="K215" t="s">
        <v>1146</v>
      </c>
      <c r="L215" t="s">
        <v>1143</v>
      </c>
    </row>
    <row r="216" spans="1:12" x14ac:dyDescent="0.35">
      <c r="A216">
        <v>2.2676579457354702E-2</v>
      </c>
      <c r="B216">
        <v>2.1729771469873E-2</v>
      </c>
      <c r="C216">
        <v>2.9538555790939999E-2</v>
      </c>
      <c r="D216">
        <v>2.9538555790939999E-2</v>
      </c>
      <c r="E216" t="s">
        <v>1658</v>
      </c>
      <c r="F216" t="s">
        <v>1655</v>
      </c>
      <c r="H216">
        <v>7.3042210756391101E-3</v>
      </c>
      <c r="J216">
        <v>7.3042210756391101E-3</v>
      </c>
      <c r="K216" t="s">
        <v>1147</v>
      </c>
      <c r="L216" t="s">
        <v>1143</v>
      </c>
    </row>
    <row r="217" spans="1:12" x14ac:dyDescent="0.35">
      <c r="A217">
        <v>2.2178287431426899E-2</v>
      </c>
      <c r="B217">
        <v>2.22727407121028E-2</v>
      </c>
      <c r="C217">
        <v>2.8512142036472E-2</v>
      </c>
      <c r="D217">
        <v>2.8512142036472E-2</v>
      </c>
      <c r="E217" t="s">
        <v>1659</v>
      </c>
      <c r="F217" t="s">
        <v>1655</v>
      </c>
      <c r="H217">
        <v>7.0530654325617901E-3</v>
      </c>
      <c r="J217">
        <v>7.0530654325617901E-3</v>
      </c>
      <c r="K217" t="s">
        <v>1148</v>
      </c>
      <c r="L217" t="s">
        <v>1143</v>
      </c>
    </row>
    <row r="218" spans="1:12" x14ac:dyDescent="0.35">
      <c r="A218">
        <v>2.1434276652948898E-2</v>
      </c>
      <c r="B218">
        <v>2.23623952750127E-2</v>
      </c>
      <c r="C218">
        <v>2.8283584176253401E-2</v>
      </c>
      <c r="D218">
        <v>2.8283584176253401E-2</v>
      </c>
      <c r="E218" t="s">
        <v>1660</v>
      </c>
      <c r="F218" t="s">
        <v>1655</v>
      </c>
      <c r="H218">
        <v>6.9971134735056202E-3</v>
      </c>
      <c r="J218">
        <v>6.9971134735056202E-3</v>
      </c>
      <c r="K218" t="s">
        <v>1149</v>
      </c>
      <c r="L218" t="s">
        <v>1143</v>
      </c>
    </row>
    <row r="219" spans="1:12" x14ac:dyDescent="0.35">
      <c r="A219">
        <v>2.10072065089228E-2</v>
      </c>
      <c r="B219">
        <v>2.2496789219665199E-2</v>
      </c>
      <c r="C219">
        <v>2.7654852328046001E-2</v>
      </c>
      <c r="D219">
        <v>2.7654852328046001E-2</v>
      </c>
      <c r="E219" t="s">
        <v>1661</v>
      </c>
      <c r="F219" t="s">
        <v>1655</v>
      </c>
      <c r="H219">
        <v>6.8431490448084302E-3</v>
      </c>
      <c r="J219">
        <v>6.8431490448084302E-3</v>
      </c>
      <c r="K219" t="s">
        <v>1150</v>
      </c>
      <c r="L219" t="s">
        <v>1143</v>
      </c>
    </row>
    <row r="220" spans="1:12" x14ac:dyDescent="0.35">
      <c r="A220">
        <v>2.0591622707038602E-2</v>
      </c>
      <c r="B220">
        <v>2.25123599902981E-2</v>
      </c>
      <c r="C220">
        <v>2.7753662335143502E-2</v>
      </c>
      <c r="D220">
        <v>2.7753662335143502E-2</v>
      </c>
      <c r="E220" t="s">
        <v>1662</v>
      </c>
      <c r="F220" t="s">
        <v>1655</v>
      </c>
      <c r="H220">
        <v>6.8673504076357502E-3</v>
      </c>
      <c r="J220">
        <v>6.8673504076357502E-3</v>
      </c>
      <c r="K220" t="s">
        <v>1151</v>
      </c>
      <c r="L220" t="s">
        <v>1143</v>
      </c>
    </row>
    <row r="221" spans="1:12" x14ac:dyDescent="0.35">
      <c r="A221">
        <v>2.0347186911993099E-2</v>
      </c>
      <c r="B221">
        <v>2.2891901714989799E-2</v>
      </c>
      <c r="C221">
        <v>2.8110399323646899E-2</v>
      </c>
      <c r="D221">
        <v>2.8110399323646899E-2</v>
      </c>
      <c r="E221" t="s">
        <v>1663</v>
      </c>
      <c r="F221" t="s">
        <v>1655</v>
      </c>
      <c r="H221">
        <v>6.9547108559351303E-3</v>
      </c>
      <c r="J221">
        <v>6.9547108559351303E-3</v>
      </c>
      <c r="K221" t="s">
        <v>1152</v>
      </c>
      <c r="L221" t="s">
        <v>1143</v>
      </c>
    </row>
    <row r="222" spans="1:12" x14ac:dyDescent="0.35">
      <c r="A222">
        <v>2.03844462174123E-2</v>
      </c>
      <c r="B222">
        <v>2.2688598137850801E-2</v>
      </c>
      <c r="C222">
        <v>2.89673943247446E-2</v>
      </c>
      <c r="D222">
        <v>2.89673943247446E-2</v>
      </c>
      <c r="E222" t="s">
        <v>1664</v>
      </c>
      <c r="F222" t="s">
        <v>1655</v>
      </c>
      <c r="H222">
        <v>7.1644853940870902E-3</v>
      </c>
      <c r="J222">
        <v>7.1644853940870902E-3</v>
      </c>
      <c r="K222" t="s">
        <v>1153</v>
      </c>
      <c r="L222" t="s">
        <v>1143</v>
      </c>
    </row>
    <row r="223" spans="1:12" x14ac:dyDescent="0.35">
      <c r="A223">
        <v>2.02121429685698E-2</v>
      </c>
      <c r="B223">
        <v>2.2861927422401802E-2</v>
      </c>
      <c r="C223">
        <v>2.97171972862664E-2</v>
      </c>
      <c r="D223">
        <v>2.97171972862664E-2</v>
      </c>
      <c r="E223" t="s">
        <v>1665</v>
      </c>
      <c r="F223" t="s">
        <v>1655</v>
      </c>
      <c r="H223">
        <v>7.3479141028771596E-3</v>
      </c>
      <c r="J223">
        <v>7.3479141028771596E-3</v>
      </c>
      <c r="K223" t="s">
        <v>1154</v>
      </c>
      <c r="L223" t="s">
        <v>1143</v>
      </c>
    </row>
    <row r="224" spans="1:12" x14ac:dyDescent="0.35">
      <c r="A224">
        <v>2.00951255413373E-2</v>
      </c>
      <c r="B224">
        <v>2.2789213164977801E-2</v>
      </c>
      <c r="C224">
        <v>2.9972823640437098E-2</v>
      </c>
      <c r="D224">
        <v>2.9972823640437098E-2</v>
      </c>
      <c r="E224" t="s">
        <v>1666</v>
      </c>
      <c r="F224" t="s">
        <v>1655</v>
      </c>
      <c r="H224">
        <v>7.4104265836887296E-3</v>
      </c>
      <c r="J224">
        <v>7.4104265836887296E-3</v>
      </c>
      <c r="K224" t="s">
        <v>1155</v>
      </c>
      <c r="L224" t="s">
        <v>1143</v>
      </c>
    </row>
    <row r="225" spans="1:12" x14ac:dyDescent="0.35">
      <c r="A225">
        <v>2.0005533751415599E-2</v>
      </c>
      <c r="B225">
        <v>2.30067515754304E-2</v>
      </c>
      <c r="C225">
        <v>3.0378543432117301E-2</v>
      </c>
      <c r="D225">
        <v>3.0378543432117301E-2</v>
      </c>
      <c r="E225" t="s">
        <v>1667</v>
      </c>
      <c r="F225" t="s">
        <v>1655</v>
      </c>
      <c r="H225">
        <v>7.5096199742570296E-3</v>
      </c>
      <c r="J225">
        <v>7.5096199742570296E-3</v>
      </c>
      <c r="K225" t="s">
        <v>1156</v>
      </c>
      <c r="L225" t="s">
        <v>1143</v>
      </c>
    </row>
    <row r="226" spans="1:12" x14ac:dyDescent="0.35">
      <c r="A226">
        <v>1.9992497685795502E-2</v>
      </c>
      <c r="B226">
        <v>2.28689196510703E-2</v>
      </c>
      <c r="C226">
        <v>3.0384347471833498E-2</v>
      </c>
      <c r="D226">
        <v>3.0384347471833498E-2</v>
      </c>
      <c r="E226" t="s">
        <v>1668</v>
      </c>
      <c r="F226" t="s">
        <v>1655</v>
      </c>
      <c r="H226">
        <v>7.5110387764860701E-3</v>
      </c>
      <c r="J226">
        <v>7.5110387764860701E-3</v>
      </c>
      <c r="K226" t="s">
        <v>1157</v>
      </c>
      <c r="L226" t="s">
        <v>1143</v>
      </c>
    </row>
    <row r="227" spans="1:12" x14ac:dyDescent="0.35">
      <c r="A227">
        <v>1.99491524210023E-2</v>
      </c>
      <c r="B227">
        <v>2.2952518060170599E-2</v>
      </c>
      <c r="C227">
        <v>3.0780667439755299E-2</v>
      </c>
      <c r="D227">
        <v>3.0780667439755299E-2</v>
      </c>
      <c r="E227" t="s">
        <v>1669</v>
      </c>
      <c r="F227" t="s">
        <v>1655</v>
      </c>
      <c r="H227">
        <v>7.6079053396602703E-3</v>
      </c>
      <c r="J227">
        <v>7.6079053396602703E-3</v>
      </c>
      <c r="K227" t="s">
        <v>1158</v>
      </c>
      <c r="L227" t="s">
        <v>1143</v>
      </c>
    </row>
    <row r="228" spans="1:12" x14ac:dyDescent="0.35">
      <c r="A228">
        <v>1.99785657506244E-2</v>
      </c>
      <c r="B228">
        <v>2.3092018308592099E-2</v>
      </c>
      <c r="C228">
        <v>3.09234356698747E-2</v>
      </c>
      <c r="D228">
        <v>3.09234356698747E-2</v>
      </c>
      <c r="E228" t="s">
        <v>1670</v>
      </c>
      <c r="F228" t="s">
        <v>1655</v>
      </c>
      <c r="H228">
        <v>7.6427931995954896E-3</v>
      </c>
      <c r="J228">
        <v>7.6427931995954896E-3</v>
      </c>
      <c r="K228" t="s">
        <v>1159</v>
      </c>
      <c r="L228" t="s">
        <v>1143</v>
      </c>
    </row>
    <row r="229" spans="1:12" x14ac:dyDescent="0.35">
      <c r="A229">
        <v>1.9973482507164499E-2</v>
      </c>
      <c r="B229">
        <v>2.29188557927167E-2</v>
      </c>
      <c r="C229">
        <v>3.0940126349132901E-2</v>
      </c>
      <c r="D229">
        <v>3.0940126349132901E-2</v>
      </c>
      <c r="E229" t="s">
        <v>1671</v>
      </c>
      <c r="F229" t="s">
        <v>1655</v>
      </c>
      <c r="H229">
        <v>7.6468716160857904E-3</v>
      </c>
      <c r="J229">
        <v>7.6468716160857904E-3</v>
      </c>
      <c r="K229" t="s">
        <v>1160</v>
      </c>
      <c r="L229" t="s">
        <v>1143</v>
      </c>
    </row>
    <row r="230" spans="1:12" x14ac:dyDescent="0.35">
      <c r="A230">
        <v>2.00262569988248E-2</v>
      </c>
      <c r="B230">
        <v>2.34219478386497E-2</v>
      </c>
      <c r="C230">
        <v>3.08963138434795E-2</v>
      </c>
      <c r="D230">
        <v>3.08963138434795E-2</v>
      </c>
      <c r="E230" t="s">
        <v>1672</v>
      </c>
      <c r="F230" t="s">
        <v>1655</v>
      </c>
      <c r="H230">
        <v>7.6361657960506398E-3</v>
      </c>
      <c r="J230">
        <v>7.6361657960506398E-3</v>
      </c>
      <c r="K230" t="s">
        <v>1161</v>
      </c>
      <c r="L230" t="s">
        <v>1143</v>
      </c>
    </row>
    <row r="231" spans="1:12" x14ac:dyDescent="0.35">
      <c r="A231">
        <v>2.0068184200822601E-2</v>
      </c>
      <c r="B231">
        <v>2.29559923804479E-2</v>
      </c>
      <c r="C231">
        <v>3.1171169586274899E-2</v>
      </c>
      <c r="D231">
        <v>3.1171169586274899E-2</v>
      </c>
      <c r="E231" t="s">
        <v>1673</v>
      </c>
      <c r="F231" t="s">
        <v>1655</v>
      </c>
      <c r="H231">
        <v>7.7033226228278E-3</v>
      </c>
      <c r="J231">
        <v>7.7033226228278E-3</v>
      </c>
      <c r="K231" t="s">
        <v>1162</v>
      </c>
      <c r="L231" t="s">
        <v>1143</v>
      </c>
    </row>
    <row r="232" spans="1:12" x14ac:dyDescent="0.35">
      <c r="A232">
        <v>2.00733299513789E-2</v>
      </c>
      <c r="B232">
        <v>2.3089907346120601E-2</v>
      </c>
      <c r="C232">
        <v>3.11290252355114E-2</v>
      </c>
      <c r="D232">
        <v>3.11290252355114E-2</v>
      </c>
      <c r="E232" t="s">
        <v>1674</v>
      </c>
      <c r="F232" t="s">
        <v>1655</v>
      </c>
      <c r="H232">
        <v>7.6930261622452098E-3</v>
      </c>
      <c r="J232">
        <v>7.6930261622452098E-3</v>
      </c>
      <c r="K232" t="s">
        <v>1163</v>
      </c>
      <c r="L232" t="s">
        <v>1143</v>
      </c>
    </row>
    <row r="233" spans="1:12" x14ac:dyDescent="0.35">
      <c r="A233">
        <v>2.00833471581769E-2</v>
      </c>
      <c r="B233">
        <v>2.2986135275529802E-2</v>
      </c>
      <c r="C233">
        <v>3.12799263503531E-2</v>
      </c>
      <c r="D233">
        <v>3.12799263503531E-2</v>
      </c>
      <c r="E233" t="s">
        <v>1675</v>
      </c>
      <c r="F233" t="s">
        <v>1655</v>
      </c>
      <c r="H233">
        <v>7.72989197946106E-3</v>
      </c>
      <c r="J233">
        <v>7.72989197946106E-3</v>
      </c>
      <c r="K233" t="s">
        <v>1164</v>
      </c>
      <c r="L233" t="s">
        <v>1143</v>
      </c>
    </row>
    <row r="234" spans="1:12" x14ac:dyDescent="0.35">
      <c r="A234">
        <v>2.0140093939852201E-2</v>
      </c>
      <c r="B234">
        <v>2.31414769468055E-2</v>
      </c>
      <c r="C234">
        <v>3.1432246791632999E-2</v>
      </c>
      <c r="D234">
        <v>3.1432246791632999E-2</v>
      </c>
      <c r="E234" t="s">
        <v>1676</v>
      </c>
      <c r="F234" t="s">
        <v>1655</v>
      </c>
      <c r="H234">
        <v>7.76710044167461E-3</v>
      </c>
      <c r="J234">
        <v>7.76710044167461E-3</v>
      </c>
      <c r="K234" t="s">
        <v>1165</v>
      </c>
      <c r="L234" t="s">
        <v>1143</v>
      </c>
    </row>
    <row r="235" spans="1:12" x14ac:dyDescent="0.35">
      <c r="A235">
        <v>2.02021592909249E-2</v>
      </c>
      <c r="B235">
        <v>2.2984714477401601E-2</v>
      </c>
      <c r="C235">
        <v>3.1205847095053599E-2</v>
      </c>
      <c r="D235">
        <v>3.1205847095053599E-2</v>
      </c>
      <c r="E235" t="s">
        <v>1677</v>
      </c>
      <c r="F235" t="s">
        <v>1655</v>
      </c>
      <c r="H235">
        <v>7.7117945916846996E-3</v>
      </c>
      <c r="J235">
        <v>7.7117945916846996E-3</v>
      </c>
      <c r="K235" t="s">
        <v>1166</v>
      </c>
      <c r="L235" t="s">
        <v>1143</v>
      </c>
    </row>
    <row r="236" spans="1:12" x14ac:dyDescent="0.35">
      <c r="A236">
        <v>2.0211898969260102E-2</v>
      </c>
      <c r="B236">
        <v>2.2913195171825301E-2</v>
      </c>
      <c r="C236">
        <v>3.14110402970686E-2</v>
      </c>
      <c r="D236">
        <v>3.14110402970686E-2</v>
      </c>
      <c r="E236" t="s">
        <v>1678</v>
      </c>
      <c r="F236" t="s">
        <v>1655</v>
      </c>
      <c r="H236">
        <v>7.7619204183672101E-3</v>
      </c>
      <c r="J236">
        <v>7.7619204183672101E-3</v>
      </c>
      <c r="K236" t="s">
        <v>1167</v>
      </c>
      <c r="L236" t="s">
        <v>1143</v>
      </c>
    </row>
    <row r="237" spans="1:12" x14ac:dyDescent="0.35">
      <c r="A237">
        <v>2.0290430669000999E-2</v>
      </c>
      <c r="B237">
        <v>2.29758501503456E-2</v>
      </c>
      <c r="C237">
        <v>3.1565029186180898E-2</v>
      </c>
      <c r="D237">
        <v>3.1565029186180898E-2</v>
      </c>
      <c r="E237" t="s">
        <v>1679</v>
      </c>
      <c r="F237" t="s">
        <v>1655</v>
      </c>
      <c r="H237">
        <v>7.7995328359632401E-3</v>
      </c>
      <c r="J237">
        <v>7.7995328359632401E-3</v>
      </c>
      <c r="K237" t="s">
        <v>1168</v>
      </c>
      <c r="L237" t="s">
        <v>1143</v>
      </c>
    </row>
    <row r="238" spans="1:12" x14ac:dyDescent="0.35">
      <c r="A238">
        <v>2.0308808571870299E-2</v>
      </c>
      <c r="B238">
        <v>2.2824531954790599E-2</v>
      </c>
      <c r="C238">
        <v>3.1531274423854297E-2</v>
      </c>
      <c r="D238">
        <v>3.1531274423854297E-2</v>
      </c>
      <c r="E238" t="s">
        <v>1680</v>
      </c>
      <c r="F238" t="s">
        <v>1655</v>
      </c>
      <c r="H238">
        <v>7.7912884572341997E-3</v>
      </c>
      <c r="J238">
        <v>7.7912884572341997E-3</v>
      </c>
      <c r="K238" t="s">
        <v>1169</v>
      </c>
      <c r="L238" t="s">
        <v>1143</v>
      </c>
    </row>
    <row r="239" spans="1:12" x14ac:dyDescent="0.35">
      <c r="A239">
        <v>2.03080060292413E-2</v>
      </c>
      <c r="B239">
        <v>2.2972481063801901E-2</v>
      </c>
      <c r="C239">
        <v>3.1542996473644003E-2</v>
      </c>
      <c r="D239">
        <v>3.1542996473644003E-2</v>
      </c>
      <c r="E239" t="s">
        <v>1681</v>
      </c>
      <c r="F239" t="s">
        <v>1655</v>
      </c>
      <c r="H239">
        <v>7.7941515137436301E-3</v>
      </c>
      <c r="J239">
        <v>7.7941515137436301E-3</v>
      </c>
      <c r="K239" t="s">
        <v>1170</v>
      </c>
      <c r="L239" t="s">
        <v>1143</v>
      </c>
    </row>
    <row r="240" spans="1:12" x14ac:dyDescent="0.35">
      <c r="A240">
        <v>2.0323983720006399E-2</v>
      </c>
      <c r="B240">
        <v>2.2824566637221998E-2</v>
      </c>
      <c r="C240">
        <v>3.1855243350590097E-2</v>
      </c>
      <c r="D240">
        <v>3.1855243350590097E-2</v>
      </c>
      <c r="E240" t="s">
        <v>1682</v>
      </c>
      <c r="F240" t="s">
        <v>1655</v>
      </c>
      <c r="H240">
        <v>7.8704073905595494E-3</v>
      </c>
      <c r="J240">
        <v>7.8704073905595494E-3</v>
      </c>
      <c r="K240" t="s">
        <v>1171</v>
      </c>
      <c r="L240" t="s">
        <v>1143</v>
      </c>
    </row>
    <row r="241" spans="1:12" x14ac:dyDescent="0.35">
      <c r="A241">
        <v>2.0325704902500501E-2</v>
      </c>
      <c r="B241">
        <v>2.2886555231629101E-2</v>
      </c>
      <c r="C241">
        <v>3.1708818720508798E-2</v>
      </c>
      <c r="D241">
        <v>3.1708818720508798E-2</v>
      </c>
      <c r="E241" t="s">
        <v>1683</v>
      </c>
      <c r="F241" t="s">
        <v>1655</v>
      </c>
      <c r="H241">
        <v>7.8346502176538397E-3</v>
      </c>
      <c r="J241">
        <v>7.8346502176538397E-3</v>
      </c>
      <c r="K241" t="s">
        <v>1172</v>
      </c>
      <c r="L241" t="s">
        <v>1143</v>
      </c>
    </row>
    <row r="242" spans="1:12" x14ac:dyDescent="0.35">
      <c r="A242">
        <v>2.0305041683886599E-2</v>
      </c>
      <c r="B242">
        <v>2.29465623765257E-2</v>
      </c>
      <c r="C242">
        <v>3.1893508731351002E-2</v>
      </c>
      <c r="D242">
        <v>3.1893508731351002E-2</v>
      </c>
      <c r="E242" t="s">
        <v>1684</v>
      </c>
      <c r="F242" t="s">
        <v>1655</v>
      </c>
      <c r="H242">
        <v>7.8797512420421007E-3</v>
      </c>
      <c r="J242">
        <v>7.8797512420421007E-3</v>
      </c>
      <c r="K242" t="s">
        <v>1173</v>
      </c>
      <c r="L242" t="s">
        <v>1143</v>
      </c>
    </row>
    <row r="243" spans="1:12" x14ac:dyDescent="0.35">
      <c r="A243">
        <v>2.0287096358251301E-2</v>
      </c>
      <c r="B243">
        <v>2.2798980065175601E-2</v>
      </c>
      <c r="C243">
        <v>3.1810408581062898E-2</v>
      </c>
      <c r="D243">
        <v>3.1810408581062898E-2</v>
      </c>
      <c r="E243" t="s">
        <v>1685</v>
      </c>
      <c r="F243" t="s">
        <v>1655</v>
      </c>
      <c r="H243">
        <v>7.8594590588953999E-3</v>
      </c>
      <c r="J243">
        <v>7.8594590588953999E-3</v>
      </c>
      <c r="K243" t="s">
        <v>1174</v>
      </c>
      <c r="L243" t="s">
        <v>1143</v>
      </c>
    </row>
    <row r="244" spans="1:12" x14ac:dyDescent="0.35">
      <c r="A244">
        <v>2.0271579331879098E-2</v>
      </c>
      <c r="B244">
        <v>2.2857567238674801E-2</v>
      </c>
      <c r="C244">
        <v>3.1611362599311098E-2</v>
      </c>
      <c r="D244">
        <v>3.1611362599311098E-2</v>
      </c>
      <c r="E244" t="s">
        <v>1686</v>
      </c>
      <c r="F244" t="s">
        <v>1655</v>
      </c>
      <c r="H244">
        <v>7.8108491379678098E-3</v>
      </c>
      <c r="J244">
        <v>7.8108491379678098E-3</v>
      </c>
      <c r="K244" t="s">
        <v>1175</v>
      </c>
      <c r="L244" t="s">
        <v>1143</v>
      </c>
    </row>
    <row r="245" spans="1:12" x14ac:dyDescent="0.35">
      <c r="A245">
        <v>2.0226750918557398E-2</v>
      </c>
      <c r="B245">
        <v>2.30078651102898E-2</v>
      </c>
      <c r="C245">
        <v>3.1895036638032601E-2</v>
      </c>
      <c r="D245">
        <v>3.1895036638032601E-2</v>
      </c>
      <c r="E245" t="s">
        <v>1687</v>
      </c>
      <c r="F245" t="s">
        <v>1655</v>
      </c>
      <c r="H245">
        <v>7.8801243293176206E-3</v>
      </c>
      <c r="J245">
        <v>7.8801243293176206E-3</v>
      </c>
      <c r="K245" t="s">
        <v>1176</v>
      </c>
      <c r="L245" t="s">
        <v>1143</v>
      </c>
    </row>
    <row r="246" spans="1:12" x14ac:dyDescent="0.35">
      <c r="A246">
        <v>2.0229639632362201E-2</v>
      </c>
      <c r="B246">
        <v>2.2755662461575201E-2</v>
      </c>
      <c r="C246">
        <v>3.1906732152356301E-2</v>
      </c>
      <c r="D246">
        <v>3.1906732152356301E-2</v>
      </c>
      <c r="E246" t="s">
        <v>1688</v>
      </c>
      <c r="F246" t="s">
        <v>1655</v>
      </c>
      <c r="H246">
        <v>7.88298014941358E-3</v>
      </c>
      <c r="J246">
        <v>7.88298014941358E-3</v>
      </c>
      <c r="K246" t="s">
        <v>1177</v>
      </c>
      <c r="L246" t="s">
        <v>1143</v>
      </c>
    </row>
    <row r="247" spans="1:12" x14ac:dyDescent="0.35">
      <c r="A247">
        <v>2.0196749252488402E-2</v>
      </c>
      <c r="B247">
        <v>2.2817811468051102E-2</v>
      </c>
      <c r="C247">
        <v>3.1666344390047098E-2</v>
      </c>
      <c r="D247">
        <v>3.1666344390047098E-2</v>
      </c>
      <c r="E247" t="s">
        <v>1689</v>
      </c>
      <c r="F247" t="s">
        <v>1655</v>
      </c>
      <c r="H247">
        <v>7.8242771932854893E-3</v>
      </c>
      <c r="J247">
        <v>7.8242771932854893E-3</v>
      </c>
      <c r="K247" t="s">
        <v>1178</v>
      </c>
      <c r="L247" t="s">
        <v>1143</v>
      </c>
    </row>
    <row r="248" spans="1:12" x14ac:dyDescent="0.35">
      <c r="A248">
        <v>2.0138226913895701E-2</v>
      </c>
      <c r="B248">
        <v>2.3174738681931199E-2</v>
      </c>
      <c r="C248">
        <v>3.1749922428638201E-2</v>
      </c>
      <c r="D248">
        <v>3.1749922428638201E-2</v>
      </c>
      <c r="E248" t="s">
        <v>1690</v>
      </c>
      <c r="F248" t="s">
        <v>1655</v>
      </c>
      <c r="H248">
        <v>7.8446882055194199E-3</v>
      </c>
      <c r="J248">
        <v>7.8446882055194199E-3</v>
      </c>
      <c r="K248" t="s">
        <v>1179</v>
      </c>
      <c r="L248" t="s">
        <v>1143</v>
      </c>
    </row>
    <row r="249" spans="1:12" x14ac:dyDescent="0.35">
      <c r="A249">
        <v>2.0129535533826501E-2</v>
      </c>
      <c r="B249">
        <v>2.27379267080541E-2</v>
      </c>
      <c r="C249">
        <v>3.1908648163189397E-2</v>
      </c>
      <c r="D249">
        <v>3.1908648163189397E-2</v>
      </c>
      <c r="E249" t="s">
        <v>1691</v>
      </c>
      <c r="F249" t="s">
        <v>1655</v>
      </c>
      <c r="H249">
        <v>7.8834480001659397E-3</v>
      </c>
      <c r="J249">
        <v>7.8834480001659397E-3</v>
      </c>
      <c r="K249" t="s">
        <v>1180</v>
      </c>
      <c r="L249" t="s">
        <v>1143</v>
      </c>
    </row>
    <row r="250" spans="1:12" x14ac:dyDescent="0.35">
      <c r="A250">
        <v>2.0106884793451098E-2</v>
      </c>
      <c r="B250">
        <v>2.3093327603912001E-2</v>
      </c>
      <c r="C250">
        <v>3.1692204125751702E-2</v>
      </c>
      <c r="D250">
        <v>3.1692204125751702E-2</v>
      </c>
      <c r="E250" t="s">
        <v>1692</v>
      </c>
      <c r="F250" t="s">
        <v>1655</v>
      </c>
      <c r="H250">
        <v>7.8305926616084598E-3</v>
      </c>
      <c r="J250">
        <v>7.8305926616084598E-3</v>
      </c>
      <c r="K250" t="s">
        <v>1181</v>
      </c>
      <c r="L250" t="s">
        <v>1143</v>
      </c>
    </row>
    <row r="251" spans="1:12" x14ac:dyDescent="0.35">
      <c r="A251">
        <v>2.0037252982960399E-2</v>
      </c>
      <c r="B251">
        <v>2.2853757020905099E-2</v>
      </c>
      <c r="C251">
        <v>3.1763978164364597E-2</v>
      </c>
      <c r="D251">
        <v>3.1763978164364597E-2</v>
      </c>
      <c r="E251" t="s">
        <v>1693</v>
      </c>
      <c r="F251" t="s">
        <v>1655</v>
      </c>
      <c r="H251">
        <v>7.8481207054677E-3</v>
      </c>
      <c r="J251">
        <v>7.8481207054677E-3</v>
      </c>
      <c r="K251" t="s">
        <v>1182</v>
      </c>
      <c r="L251" t="s">
        <v>1143</v>
      </c>
    </row>
    <row r="252" spans="1:12" x14ac:dyDescent="0.35">
      <c r="A252">
        <v>2.0056022895238401E-2</v>
      </c>
      <c r="B252">
        <v>2.2713969923905002E-2</v>
      </c>
      <c r="C252">
        <v>3.17278315390737E-2</v>
      </c>
      <c r="D252">
        <v>3.17278315390737E-2</v>
      </c>
      <c r="E252" t="s">
        <v>1694</v>
      </c>
      <c r="F252" t="s">
        <v>1655</v>
      </c>
      <c r="H252">
        <v>7.8392933990876195E-3</v>
      </c>
      <c r="J252">
        <v>7.8392933990876195E-3</v>
      </c>
      <c r="K252" t="s">
        <v>1183</v>
      </c>
      <c r="L252" t="s">
        <v>1143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1"/>
  <sheetViews>
    <sheetView zoomScale="109" workbookViewId="0">
      <selection activeCell="I9" sqref="I9"/>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46" t="s">
        <v>85</v>
      </c>
      <c r="B1" s="46" t="s">
        <v>86</v>
      </c>
      <c r="C1" s="46" t="s">
        <v>87</v>
      </c>
      <c r="D1" s="46" t="s">
        <v>88</v>
      </c>
      <c r="E1" s="46" t="s">
        <v>89</v>
      </c>
      <c r="F1" s="46" t="s">
        <v>90</v>
      </c>
    </row>
    <row r="2" spans="1:11" x14ac:dyDescent="0.35">
      <c r="C2" s="42" t="str">
        <f>'Haver Pivoted'!A1</f>
        <v>name</v>
      </c>
      <c r="D2" s="47" t="s">
        <v>1944</v>
      </c>
      <c r="E2" s="47" t="s">
        <v>1945</v>
      </c>
      <c r="F2" s="47"/>
      <c r="H2" s="48"/>
    </row>
    <row r="3" spans="1:11" x14ac:dyDescent="0.35">
      <c r="B3" s="42" t="s">
        <v>91</v>
      </c>
      <c r="C3" s="42" t="str">
        <f>'Haver Pivoted'!A2</f>
        <v>gdp</v>
      </c>
      <c r="D3">
        <v>27610.1</v>
      </c>
      <c r="E3" s="42">
        <f>'Haver Pivoted'!HH2</f>
        <v>27610.1</v>
      </c>
      <c r="F3" s="42">
        <f>E3-D3</f>
        <v>0</v>
      </c>
      <c r="G3" s="49">
        <f>F3/D3</f>
        <v>0</v>
      </c>
      <c r="H3" s="50"/>
    </row>
    <row r="4" spans="1:11" x14ac:dyDescent="0.35">
      <c r="B4" s="42" t="s">
        <v>92</v>
      </c>
      <c r="C4" s="42" t="str">
        <f>'Haver Pivoted'!A3</f>
        <v>gdph</v>
      </c>
      <c r="D4">
        <v>22490.7</v>
      </c>
      <c r="E4" s="42">
        <f>'Haver Pivoted'!HH3</f>
        <v>22490.7</v>
      </c>
      <c r="F4" s="42">
        <f t="shared" ref="F4:F67" si="0">E4-D4</f>
        <v>0</v>
      </c>
      <c r="G4" s="49">
        <f t="shared" ref="G4:G67" si="1">F4/D4</f>
        <v>0</v>
      </c>
      <c r="H4" s="50"/>
    </row>
    <row r="5" spans="1:11" x14ac:dyDescent="0.35">
      <c r="B5" s="42" t="s">
        <v>93</v>
      </c>
      <c r="C5" s="42" t="str">
        <f>'Haver Pivoted'!A4</f>
        <v>jgdp</v>
      </c>
      <c r="D5">
        <v>122.792</v>
      </c>
      <c r="E5" s="42">
        <f>'Haver Pivoted'!HH4</f>
        <v>122.792</v>
      </c>
      <c r="F5" s="42">
        <f t="shared" si="0"/>
        <v>0</v>
      </c>
      <c r="G5" s="49">
        <f t="shared" si="1"/>
        <v>0</v>
      </c>
      <c r="H5" s="51"/>
    </row>
    <row r="6" spans="1:11" x14ac:dyDescent="0.35">
      <c r="B6" s="42" t="s">
        <v>94</v>
      </c>
      <c r="C6" s="42" t="str">
        <f>'Haver Pivoted'!A5</f>
        <v>c</v>
      </c>
      <c r="D6">
        <v>18679.5</v>
      </c>
      <c r="E6" s="42">
        <f>'Haver Pivoted'!HH5</f>
        <v>18679.5</v>
      </c>
      <c r="F6" s="42">
        <f t="shared" si="0"/>
        <v>0</v>
      </c>
      <c r="G6" s="49">
        <f t="shared" si="1"/>
        <v>0</v>
      </c>
    </row>
    <row r="7" spans="1:11" x14ac:dyDescent="0.35">
      <c r="B7" s="42" t="s">
        <v>95</v>
      </c>
      <c r="C7" s="42" t="str">
        <f>'Haver Pivoted'!A6</f>
        <v>ch</v>
      </c>
      <c r="D7">
        <v>15461.4</v>
      </c>
      <c r="E7" s="42">
        <f>'Haver Pivoted'!HH6</f>
        <v>15461.4</v>
      </c>
      <c r="F7" s="42">
        <f t="shared" si="0"/>
        <v>0</v>
      </c>
      <c r="G7" s="49">
        <f t="shared" si="1"/>
        <v>0</v>
      </c>
      <c r="K7" s="51"/>
    </row>
    <row r="8" spans="1:11" x14ac:dyDescent="0.35">
      <c r="B8" s="42" t="s">
        <v>96</v>
      </c>
      <c r="C8" s="42" t="str">
        <f>'Haver Pivoted'!A7</f>
        <v>jc</v>
      </c>
      <c r="D8">
        <v>120.81399999999999</v>
      </c>
      <c r="E8" s="42">
        <f>'Haver Pivoted'!HH7</f>
        <v>120.81399999999999</v>
      </c>
      <c r="F8" s="42">
        <f t="shared" si="0"/>
        <v>0</v>
      </c>
      <c r="G8" s="49">
        <f t="shared" si="1"/>
        <v>0</v>
      </c>
    </row>
    <row r="9" spans="1:11" x14ac:dyDescent="0.35">
      <c r="B9" s="42" t="s">
        <v>97</v>
      </c>
      <c r="C9" s="42" t="str">
        <f>'Haver Pivoted'!A8</f>
        <v>jgf</v>
      </c>
      <c r="D9">
        <v>120.09699999999999</v>
      </c>
      <c r="E9" s="42">
        <f>'Haver Pivoted'!HH8</f>
        <v>120.09699999999999</v>
      </c>
      <c r="F9" s="42">
        <f t="shared" si="0"/>
        <v>0</v>
      </c>
      <c r="G9" s="49">
        <f t="shared" si="1"/>
        <v>0</v>
      </c>
    </row>
    <row r="10" spans="1:11" x14ac:dyDescent="0.35">
      <c r="B10" s="42" t="s">
        <v>98</v>
      </c>
      <c r="C10" s="42" t="str">
        <f>'Haver Pivoted'!A9</f>
        <v>jgs</v>
      </c>
      <c r="D10">
        <v>127.717</v>
      </c>
      <c r="E10" s="42">
        <f>'Haver Pivoted'!HH9</f>
        <v>127.717</v>
      </c>
      <c r="F10" s="42">
        <f t="shared" si="0"/>
        <v>0</v>
      </c>
      <c r="G10" s="49">
        <f t="shared" si="1"/>
        <v>0</v>
      </c>
    </row>
    <row r="11" spans="1:11" x14ac:dyDescent="0.35">
      <c r="B11" s="42" t="s">
        <v>99</v>
      </c>
      <c r="C11" s="42" t="str">
        <f>'Haver Pivoted'!A10</f>
        <v>jgse</v>
      </c>
      <c r="D11">
        <v>127.176</v>
      </c>
      <c r="E11" s="42">
        <f>'Haver Pivoted'!HH10</f>
        <v>127.176</v>
      </c>
      <c r="F11" s="42">
        <f t="shared" si="0"/>
        <v>0</v>
      </c>
      <c r="G11" s="49">
        <f t="shared" si="1"/>
        <v>0</v>
      </c>
    </row>
    <row r="12" spans="1:11" x14ac:dyDescent="0.35">
      <c r="B12" s="42" t="s">
        <v>100</v>
      </c>
      <c r="C12" s="42" t="str">
        <f>'Haver Pivoted'!A11</f>
        <v>jgsi</v>
      </c>
      <c r="D12">
        <v>130.56700000000001</v>
      </c>
      <c r="E12" s="42">
        <f>'Haver Pivoted'!HH11</f>
        <v>130.56700000000001</v>
      </c>
      <c r="F12" s="42">
        <f t="shared" si="0"/>
        <v>0</v>
      </c>
      <c r="G12" s="49">
        <f t="shared" si="1"/>
        <v>0</v>
      </c>
    </row>
    <row r="13" spans="1:11" x14ac:dyDescent="0.35">
      <c r="A13" s="42" t="s">
        <v>55</v>
      </c>
      <c r="B13" s="42" t="s">
        <v>55</v>
      </c>
      <c r="C13" s="42" t="str">
        <f>'Haver Pivoted'!A12</f>
        <v>yptmr</v>
      </c>
      <c r="D13">
        <v>946.3</v>
      </c>
      <c r="E13" s="42">
        <f>'Haver Pivoted'!HH12</f>
        <v>946.3</v>
      </c>
      <c r="F13" s="42">
        <f t="shared" si="0"/>
        <v>0</v>
      </c>
      <c r="G13" s="49">
        <f t="shared" si="1"/>
        <v>0</v>
      </c>
      <c r="I13" s="52"/>
    </row>
    <row r="14" spans="1:11" x14ac:dyDescent="0.35">
      <c r="A14" s="42" t="s">
        <v>54</v>
      </c>
      <c r="B14" s="42" t="s">
        <v>101</v>
      </c>
      <c r="C14" s="42" t="str">
        <f>'Haver Pivoted'!A13</f>
        <v>yptmd</v>
      </c>
      <c r="D14">
        <v>880.6</v>
      </c>
      <c r="E14" s="42">
        <f>'Haver Pivoted'!HH13</f>
        <v>880.6</v>
      </c>
      <c r="F14" s="42">
        <f t="shared" si="0"/>
        <v>0</v>
      </c>
      <c r="G14" s="49">
        <f t="shared" si="1"/>
        <v>0</v>
      </c>
    </row>
    <row r="15" spans="1:11" x14ac:dyDescent="0.35">
      <c r="A15" s="42" t="s">
        <v>53</v>
      </c>
      <c r="B15" s="42" t="s">
        <v>102</v>
      </c>
      <c r="C15" s="42" t="str">
        <f>'Haver Pivoted'!A14</f>
        <v>yptu</v>
      </c>
      <c r="D15">
        <v>21</v>
      </c>
      <c r="E15" s="42">
        <f>'Haver Pivoted'!HH14</f>
        <v>21</v>
      </c>
      <c r="F15" s="42">
        <f t="shared" si="0"/>
        <v>0</v>
      </c>
      <c r="G15" s="49">
        <f t="shared" si="1"/>
        <v>0</v>
      </c>
    </row>
    <row r="16" spans="1:11" x14ac:dyDescent="0.35">
      <c r="B16" s="42" t="s">
        <v>57</v>
      </c>
      <c r="C16" s="42" t="str">
        <f>'Haver Pivoted'!A15</f>
        <v>gtfp</v>
      </c>
      <c r="D16">
        <v>3987.8</v>
      </c>
      <c r="E16" s="42">
        <f>'Haver Pivoted'!HH15</f>
        <v>3987.8</v>
      </c>
      <c r="F16" s="42">
        <f t="shared" si="0"/>
        <v>0</v>
      </c>
      <c r="G16" s="49">
        <f t="shared" si="1"/>
        <v>0</v>
      </c>
    </row>
    <row r="17" spans="1:7" x14ac:dyDescent="0.35">
      <c r="B17" s="42" t="s">
        <v>103</v>
      </c>
      <c r="C17" s="42" t="str">
        <f>'Haver Pivoted'!A16</f>
        <v>ypog</v>
      </c>
      <c r="D17">
        <v>131.19999999999999</v>
      </c>
      <c r="E17" s="42">
        <f>'Haver Pivoted'!HH16</f>
        <v>131.19999999999999</v>
      </c>
      <c r="F17" s="42">
        <f t="shared" si="0"/>
        <v>0</v>
      </c>
      <c r="G17" s="49">
        <f t="shared" si="1"/>
        <v>0</v>
      </c>
    </row>
    <row r="18" spans="1:7" x14ac:dyDescent="0.35">
      <c r="B18" s="42" t="s">
        <v>104</v>
      </c>
      <c r="C18" s="42" t="str">
        <f>'Haver Pivoted'!A17</f>
        <v>yptx</v>
      </c>
      <c r="D18">
        <v>2765.3</v>
      </c>
      <c r="E18" s="42">
        <f>'Haver Pivoted'!HH17</f>
        <v>2765.3</v>
      </c>
      <c r="F18" s="42">
        <f t="shared" si="0"/>
        <v>0</v>
      </c>
      <c r="G18" s="49">
        <f t="shared" si="1"/>
        <v>0</v>
      </c>
    </row>
    <row r="19" spans="1:7" x14ac:dyDescent="0.35">
      <c r="B19" s="42" t="s">
        <v>105</v>
      </c>
      <c r="C19" s="42" t="str">
        <f>'Haver Pivoted'!A18</f>
        <v>ytpi</v>
      </c>
      <c r="D19">
        <v>1830.7</v>
      </c>
      <c r="E19" s="42">
        <f>'Haver Pivoted'!HH18</f>
        <v>1830.7</v>
      </c>
      <c r="F19" s="42">
        <f t="shared" si="0"/>
        <v>0</v>
      </c>
      <c r="G19" s="49">
        <f t="shared" si="1"/>
        <v>0</v>
      </c>
    </row>
    <row r="20" spans="1:7" x14ac:dyDescent="0.35">
      <c r="B20" s="42" t="s">
        <v>106</v>
      </c>
      <c r="C20" s="42" t="str">
        <f>'Haver Pivoted'!A19</f>
        <v>yctlg</v>
      </c>
      <c r="D20">
        <v>566.70000000000005</v>
      </c>
      <c r="E20" s="42">
        <f>'Haver Pivoted'!HH19</f>
        <v>566.70000000000005</v>
      </c>
      <c r="F20" s="42">
        <f t="shared" si="0"/>
        <v>0</v>
      </c>
      <c r="G20" s="49">
        <f t="shared" si="1"/>
        <v>0</v>
      </c>
    </row>
    <row r="21" spans="1:7" x14ac:dyDescent="0.35">
      <c r="B21" s="42" t="s">
        <v>107</v>
      </c>
      <c r="C21" s="42" t="str">
        <f>'Haver Pivoted'!A20</f>
        <v>g</v>
      </c>
      <c r="D21">
        <v>4794.8</v>
      </c>
      <c r="E21" s="42">
        <f>'Haver Pivoted'!HH20</f>
        <v>4794.8</v>
      </c>
      <c r="F21" s="42">
        <f t="shared" si="0"/>
        <v>0</v>
      </c>
      <c r="G21" s="49">
        <f t="shared" si="1"/>
        <v>0</v>
      </c>
    </row>
    <row r="22" spans="1:7" x14ac:dyDescent="0.35">
      <c r="B22" s="42" t="s">
        <v>108</v>
      </c>
      <c r="C22" s="42" t="str">
        <f>'Haver Pivoted'!A21</f>
        <v>grcsi</v>
      </c>
      <c r="D22">
        <v>1823.3</v>
      </c>
      <c r="E22" s="42">
        <f>'Haver Pivoted'!HH21</f>
        <v>1823.3</v>
      </c>
      <c r="F22" s="42">
        <f t="shared" si="0"/>
        <v>0</v>
      </c>
      <c r="G22" s="49">
        <f t="shared" si="1"/>
        <v>0</v>
      </c>
    </row>
    <row r="23" spans="1:7" x14ac:dyDescent="0.35">
      <c r="B23" s="42" t="s">
        <v>96</v>
      </c>
      <c r="C23" s="42" t="str">
        <f>'Haver Pivoted'!A22</f>
        <v>dc</v>
      </c>
      <c r="D23">
        <v>120.81399999999999</v>
      </c>
      <c r="E23" s="42">
        <f>'Haver Pivoted'!HH22</f>
        <v>120.81399999999999</v>
      </c>
      <c r="F23" s="42">
        <f t="shared" si="0"/>
        <v>0</v>
      </c>
      <c r="G23" s="49">
        <f t="shared" si="1"/>
        <v>0</v>
      </c>
    </row>
    <row r="24" spans="1:7" x14ac:dyDescent="0.35">
      <c r="A24" s="42" t="s">
        <v>109</v>
      </c>
      <c r="B24" s="42" t="s">
        <v>110</v>
      </c>
      <c r="C24" s="42" t="str">
        <f>'Haver Pivoted'!A23</f>
        <v>gf</v>
      </c>
      <c r="D24">
        <v>1791.9</v>
      </c>
      <c r="E24" s="42">
        <f>'Haver Pivoted'!HH23</f>
        <v>1791.9</v>
      </c>
      <c r="F24" s="42">
        <f t="shared" si="0"/>
        <v>0</v>
      </c>
      <c r="G24" s="49">
        <f t="shared" si="1"/>
        <v>0</v>
      </c>
    </row>
    <row r="25" spans="1:7" x14ac:dyDescent="0.35">
      <c r="A25" s="42" t="s">
        <v>109</v>
      </c>
      <c r="B25" s="42" t="s">
        <v>111</v>
      </c>
      <c r="C25" s="42" t="str">
        <f>'Haver Pivoted'!A24</f>
        <v>gs</v>
      </c>
      <c r="D25">
        <v>3002.9</v>
      </c>
      <c r="E25" s="42">
        <f>'Haver Pivoted'!HH24</f>
        <v>3002.9</v>
      </c>
      <c r="F25" s="42">
        <f t="shared" si="0"/>
        <v>0</v>
      </c>
      <c r="G25" s="49">
        <f t="shared" si="1"/>
        <v>0</v>
      </c>
    </row>
    <row r="26" spans="1:7" x14ac:dyDescent="0.35">
      <c r="B26" s="42" t="s">
        <v>112</v>
      </c>
      <c r="C26" s="42" t="str">
        <f>'Haver Pivoted'!A25</f>
        <v>gfh</v>
      </c>
      <c r="D26">
        <v>1492.3</v>
      </c>
      <c r="E26" s="42">
        <f>'Haver Pivoted'!HH25</f>
        <v>1492.3</v>
      </c>
      <c r="F26" s="42">
        <f t="shared" si="0"/>
        <v>0</v>
      </c>
      <c r="G26" s="49">
        <f t="shared" si="1"/>
        <v>0</v>
      </c>
    </row>
    <row r="27" spans="1:7" x14ac:dyDescent="0.35">
      <c r="B27" s="42" t="s">
        <v>113</v>
      </c>
      <c r="C27" s="42" t="str">
        <f>'Haver Pivoted'!A26</f>
        <v>gsh</v>
      </c>
      <c r="D27">
        <v>2351.4</v>
      </c>
      <c r="E27" s="42">
        <f>'Haver Pivoted'!HH26</f>
        <v>2351.4</v>
      </c>
      <c r="F27" s="42">
        <f t="shared" si="0"/>
        <v>0</v>
      </c>
      <c r="G27" s="49">
        <f t="shared" si="1"/>
        <v>0</v>
      </c>
    </row>
    <row r="28" spans="1:7" x14ac:dyDescent="0.35">
      <c r="A28" s="42" t="s">
        <v>58</v>
      </c>
      <c r="B28" s="42" t="s">
        <v>114</v>
      </c>
      <c r="C28" s="42" t="s">
        <v>115</v>
      </c>
      <c r="D28">
        <v>2188.6999999999998</v>
      </c>
      <c r="E28" s="42">
        <f>'Haver Pivoted'!HH27</f>
        <v>2188.6999999999998</v>
      </c>
      <c r="F28" s="42">
        <f t="shared" si="0"/>
        <v>0</v>
      </c>
      <c r="G28" s="49">
        <f t="shared" si="1"/>
        <v>0</v>
      </c>
    </row>
    <row r="29" spans="1:7" x14ac:dyDescent="0.35">
      <c r="A29" s="42" t="s">
        <v>58</v>
      </c>
      <c r="B29" s="42" t="s">
        <v>116</v>
      </c>
      <c r="C29" s="42" t="s">
        <v>117</v>
      </c>
      <c r="D29">
        <v>171.6</v>
      </c>
      <c r="E29" s="42">
        <f>'Haver Pivoted'!HH28</f>
        <v>171.6</v>
      </c>
      <c r="F29" s="42">
        <f t="shared" si="0"/>
        <v>0</v>
      </c>
      <c r="G29" s="49">
        <f t="shared" si="1"/>
        <v>0</v>
      </c>
    </row>
    <row r="30" spans="1:7" x14ac:dyDescent="0.35">
      <c r="A30" s="42" t="s">
        <v>58</v>
      </c>
      <c r="B30" s="42" t="s">
        <v>118</v>
      </c>
      <c r="C30" s="42" t="s">
        <v>119</v>
      </c>
      <c r="D30">
        <v>418</v>
      </c>
      <c r="E30" s="42">
        <f>'Haver Pivoted'!HH29</f>
        <v>418</v>
      </c>
      <c r="F30" s="42">
        <f t="shared" si="0"/>
        <v>0</v>
      </c>
      <c r="G30" s="49">
        <f t="shared" si="1"/>
        <v>0</v>
      </c>
    </row>
    <row r="31" spans="1:7" x14ac:dyDescent="0.35">
      <c r="A31" s="42" t="s">
        <v>58</v>
      </c>
      <c r="B31" s="42" t="s">
        <v>120</v>
      </c>
      <c r="C31" s="42" t="s">
        <v>121</v>
      </c>
      <c r="D31">
        <v>1801.4</v>
      </c>
      <c r="E31" s="42">
        <f>'Haver Pivoted'!HH30</f>
        <v>1801.4</v>
      </c>
      <c r="F31" s="42">
        <f t="shared" si="0"/>
        <v>0</v>
      </c>
      <c r="G31" s="49">
        <f t="shared" si="1"/>
        <v>0</v>
      </c>
    </row>
    <row r="32" spans="1:7" x14ac:dyDescent="0.35">
      <c r="A32" s="42" t="s">
        <v>122</v>
      </c>
      <c r="B32" s="42" t="s">
        <v>123</v>
      </c>
      <c r="C32" s="42" t="str">
        <f>'Haver Pivoted'!A31</f>
        <v>gftfp</v>
      </c>
      <c r="D32">
        <v>2930.1</v>
      </c>
      <c r="E32" s="42">
        <f>'Haver Pivoted'!HH31</f>
        <v>2930.1</v>
      </c>
      <c r="F32" s="42">
        <f t="shared" si="0"/>
        <v>0</v>
      </c>
      <c r="G32" s="49">
        <f t="shared" si="1"/>
        <v>0</v>
      </c>
    </row>
    <row r="33" spans="1:10" x14ac:dyDescent="0.35">
      <c r="A33" s="42" t="s">
        <v>51</v>
      </c>
      <c r="B33" s="41" t="s">
        <v>124</v>
      </c>
      <c r="C33" s="42" t="str">
        <f>'Haver Pivoted'!A32</f>
        <v>gfeg</v>
      </c>
      <c r="D33">
        <v>918.5</v>
      </c>
      <c r="E33" s="42">
        <f>'Haver Pivoted'!HH32</f>
        <v>918.5</v>
      </c>
      <c r="F33" s="42">
        <f t="shared" si="0"/>
        <v>0</v>
      </c>
      <c r="G33" s="49">
        <f t="shared" si="1"/>
        <v>0</v>
      </c>
    </row>
    <row r="34" spans="1:10" x14ac:dyDescent="0.35">
      <c r="A34" s="42" t="s">
        <v>58</v>
      </c>
      <c r="B34" s="42" t="s">
        <v>125</v>
      </c>
      <c r="C34" s="42" t="str">
        <f>'Haver Pivoted'!A33</f>
        <v>gsrpt</v>
      </c>
      <c r="D34">
        <v>576.6</v>
      </c>
      <c r="E34" s="42">
        <f>'Haver Pivoted'!HH33</f>
        <v>576.6</v>
      </c>
      <c r="F34" s="42">
        <f t="shared" si="0"/>
        <v>0</v>
      </c>
      <c r="G34" s="49">
        <f t="shared" si="1"/>
        <v>0</v>
      </c>
    </row>
    <row r="35" spans="1:10" x14ac:dyDescent="0.35">
      <c r="A35" s="42" t="s">
        <v>58</v>
      </c>
      <c r="B35" s="42" t="s">
        <v>126</v>
      </c>
      <c r="C35" s="42" t="str">
        <f>'Haver Pivoted'!A34</f>
        <v>gsrpri</v>
      </c>
      <c r="D35">
        <v>1659.2</v>
      </c>
      <c r="E35" s="42">
        <f>'Haver Pivoted'!HH34</f>
        <v>1659.2</v>
      </c>
      <c r="F35" s="42">
        <f t="shared" si="0"/>
        <v>0</v>
      </c>
      <c r="G35" s="49">
        <f t="shared" si="1"/>
        <v>0</v>
      </c>
    </row>
    <row r="36" spans="1:10" x14ac:dyDescent="0.35">
      <c r="A36" s="42" t="s">
        <v>58</v>
      </c>
      <c r="B36" s="42" t="s">
        <v>127</v>
      </c>
      <c r="C36" s="42" t="str">
        <f>'Haver Pivoted'!A35</f>
        <v>gsrcp</v>
      </c>
      <c r="D36">
        <v>148.69999999999999</v>
      </c>
      <c r="E36" s="42">
        <f>'Haver Pivoted'!HH35</f>
        <v>148.69999999999999</v>
      </c>
      <c r="F36" s="42">
        <f t="shared" si="0"/>
        <v>0</v>
      </c>
      <c r="G36" s="49">
        <f t="shared" si="1"/>
        <v>0</v>
      </c>
    </row>
    <row r="37" spans="1:10" x14ac:dyDescent="0.35">
      <c r="A37" s="42" t="s">
        <v>58</v>
      </c>
      <c r="B37" s="42" t="s">
        <v>128</v>
      </c>
      <c r="C37" s="42" t="str">
        <f>'Haver Pivoted'!A36</f>
        <v>gsrs</v>
      </c>
      <c r="D37">
        <v>21.9</v>
      </c>
      <c r="E37" s="42">
        <f>'Haver Pivoted'!HH36</f>
        <v>21.9</v>
      </c>
      <c r="F37" s="42">
        <f t="shared" si="0"/>
        <v>0</v>
      </c>
      <c r="G37" s="49">
        <f t="shared" si="1"/>
        <v>0</v>
      </c>
    </row>
    <row r="38" spans="1:10" x14ac:dyDescent="0.35">
      <c r="A38" s="42" t="s">
        <v>57</v>
      </c>
      <c r="B38" s="42" t="s">
        <v>129</v>
      </c>
      <c r="C38" s="42" t="str">
        <f>'Haver Pivoted'!A37</f>
        <v>gstfp</v>
      </c>
      <c r="D38">
        <v>1057.5999999999999</v>
      </c>
      <c r="E38" s="42">
        <f>'Haver Pivoted'!HH37</f>
        <v>1057.5999999999999</v>
      </c>
      <c r="F38" s="42">
        <f t="shared" si="0"/>
        <v>0</v>
      </c>
      <c r="G38" s="49">
        <f t="shared" si="1"/>
        <v>0</v>
      </c>
    </row>
    <row r="39" spans="1:10" x14ac:dyDescent="0.35">
      <c r="B39" s="42" t="s">
        <v>130</v>
      </c>
      <c r="C39" s="42" t="str">
        <f>'Haver Pivoted'!A38</f>
        <v>gset</v>
      </c>
      <c r="D39">
        <v>3985.3</v>
      </c>
      <c r="E39" s="42">
        <f>'Haver Pivoted'!HH38</f>
        <v>3985.3</v>
      </c>
      <c r="F39" s="42">
        <f t="shared" si="0"/>
        <v>0</v>
      </c>
      <c r="G39" s="49">
        <f t="shared" si="1"/>
        <v>0</v>
      </c>
    </row>
    <row r="40" spans="1:10" x14ac:dyDescent="0.35">
      <c r="B40" s="42" t="s">
        <v>131</v>
      </c>
      <c r="C40" s="42" t="str">
        <f>'Haver Pivoted'!A39</f>
        <v>gfeghhx</v>
      </c>
      <c r="D40">
        <v>622.95699999999999</v>
      </c>
      <c r="E40" s="42">
        <f>'Haver Pivoted'!HH39</f>
        <v>622.95699999999999</v>
      </c>
      <c r="F40" s="42">
        <f t="shared" si="0"/>
        <v>0</v>
      </c>
      <c r="G40" s="49">
        <f t="shared" si="1"/>
        <v>0</v>
      </c>
    </row>
    <row r="41" spans="1:10" x14ac:dyDescent="0.35">
      <c r="A41" s="42" t="s">
        <v>132</v>
      </c>
      <c r="B41" s="42" t="s">
        <v>133</v>
      </c>
      <c r="C41" s="42" t="str">
        <f>'Haver Pivoted'!A40</f>
        <v>gfeghdx</v>
      </c>
      <c r="D41">
        <v>590.947</v>
      </c>
      <c r="E41" s="42">
        <f>'Haver Pivoted'!HH40</f>
        <v>590.947</v>
      </c>
      <c r="F41" s="42">
        <f t="shared" si="0"/>
        <v>0</v>
      </c>
      <c r="G41" s="49">
        <f t="shared" si="1"/>
        <v>0</v>
      </c>
    </row>
    <row r="42" spans="1:10" x14ac:dyDescent="0.35">
      <c r="A42" s="42" t="s">
        <v>51</v>
      </c>
      <c r="B42" s="42" t="s">
        <v>134</v>
      </c>
      <c r="C42" s="42" t="str">
        <f>'Haver Pivoted'!A41</f>
        <v>gfeigx</v>
      </c>
      <c r="D42">
        <v>90.495000000000005</v>
      </c>
      <c r="E42" s="42">
        <f>'Haver Pivoted'!HH41</f>
        <v>90.495000000000005</v>
      </c>
      <c r="F42" s="42">
        <f t="shared" si="0"/>
        <v>0</v>
      </c>
      <c r="G42" s="49">
        <f t="shared" si="1"/>
        <v>0</v>
      </c>
    </row>
    <row r="43" spans="1:10" x14ac:dyDescent="0.35">
      <c r="B43" s="42" t="s">
        <v>135</v>
      </c>
      <c r="C43" s="42" t="str">
        <f>'Haver Pivoted'!A42</f>
        <v>gfsub</v>
      </c>
      <c r="D43">
        <v>102.4</v>
      </c>
      <c r="E43" s="42">
        <f>'Haver Pivoted'!HH42</f>
        <v>102.4</v>
      </c>
      <c r="F43" s="42">
        <f t="shared" si="0"/>
        <v>0</v>
      </c>
      <c r="G43" s="49">
        <f t="shared" si="1"/>
        <v>0</v>
      </c>
      <c r="I43" s="53"/>
      <c r="J43" s="50"/>
    </row>
    <row r="44" spans="1:10" x14ac:dyDescent="0.35">
      <c r="B44" s="42" t="s">
        <v>136</v>
      </c>
      <c r="C44" s="42" t="str">
        <f>'Haver Pivoted'!A43</f>
        <v>gssub</v>
      </c>
      <c r="D44">
        <v>0.7</v>
      </c>
      <c r="E44" s="42">
        <f>'Haver Pivoted'!HH43</f>
        <v>0.7</v>
      </c>
      <c r="F44" s="42">
        <f t="shared" si="0"/>
        <v>0</v>
      </c>
      <c r="G44" s="49">
        <f t="shared" si="1"/>
        <v>0</v>
      </c>
      <c r="I44" s="43"/>
      <c r="J44" s="50"/>
    </row>
    <row r="45" spans="1:10" x14ac:dyDescent="0.35">
      <c r="B45" s="42" t="s">
        <v>52</v>
      </c>
      <c r="C45" s="42" t="str">
        <f>'Haver Pivoted'!A44</f>
        <v>gsub</v>
      </c>
      <c r="D45">
        <v>103.1</v>
      </c>
      <c r="E45" s="42">
        <f>'Haver Pivoted'!HH44</f>
        <v>103.1</v>
      </c>
      <c r="F45" s="42">
        <f t="shared" si="0"/>
        <v>0</v>
      </c>
      <c r="G45" s="49">
        <f t="shared" si="1"/>
        <v>0</v>
      </c>
      <c r="I45" s="43"/>
      <c r="J45" s="51"/>
    </row>
    <row r="46" spans="1:10" x14ac:dyDescent="0.35">
      <c r="A46" s="42" t="s">
        <v>56</v>
      </c>
      <c r="B46" s="42" t="s">
        <v>56</v>
      </c>
      <c r="C46" s="42" t="str">
        <f>'Haver Pivoted'!A45</f>
        <v>gftfpe</v>
      </c>
      <c r="D46">
        <v>0</v>
      </c>
      <c r="E46" s="42">
        <f>'Haver Pivoted'!HH45</f>
        <v>0</v>
      </c>
      <c r="F46" s="42">
        <f t="shared" si="0"/>
        <v>0</v>
      </c>
      <c r="G46" s="49" t="e">
        <f t="shared" si="1"/>
        <v>#DIV/0!</v>
      </c>
      <c r="I46" s="43"/>
      <c r="J46" s="51"/>
    </row>
    <row r="47" spans="1:10" x14ac:dyDescent="0.35">
      <c r="B47" s="42" t="s">
        <v>137</v>
      </c>
      <c r="C47" s="42" t="str">
        <f>'Haver Pivoted'!A46</f>
        <v>gftfpr</v>
      </c>
      <c r="D47">
        <v>0</v>
      </c>
      <c r="E47" s="42">
        <f>'Haver Pivoted'!HH46</f>
        <v>0</v>
      </c>
      <c r="F47" s="42">
        <f t="shared" si="0"/>
        <v>0</v>
      </c>
      <c r="G47" s="49" t="e">
        <f t="shared" si="1"/>
        <v>#DIV/0!</v>
      </c>
      <c r="I47" s="43"/>
      <c r="J47" s="51"/>
    </row>
    <row r="48" spans="1:10" x14ac:dyDescent="0.35">
      <c r="A48" s="42" t="s">
        <v>50</v>
      </c>
      <c r="B48" s="42" t="s">
        <v>138</v>
      </c>
      <c r="C48" s="42" t="str">
        <f>'Haver Pivoted'!A47</f>
        <v>gftfpp</v>
      </c>
      <c r="D48">
        <v>0</v>
      </c>
      <c r="E48" s="42">
        <f>'Haver Pivoted'!HH47</f>
        <v>0</v>
      </c>
      <c r="F48" s="42">
        <f t="shared" si="0"/>
        <v>0</v>
      </c>
      <c r="G48" s="49" t="e">
        <f t="shared" si="1"/>
        <v>#DIV/0!</v>
      </c>
      <c r="J48" s="51"/>
    </row>
    <row r="49" spans="1:9" x14ac:dyDescent="0.35">
      <c r="A49" s="42" t="s">
        <v>49</v>
      </c>
      <c r="B49" s="42" t="s">
        <v>139</v>
      </c>
      <c r="C49" s="42" t="str">
        <f>'Haver Pivoted'!A48</f>
        <v>gftfpv</v>
      </c>
      <c r="D49">
        <v>0</v>
      </c>
      <c r="E49" s="42">
        <f>'Haver Pivoted'!HH48</f>
        <v>0</v>
      </c>
      <c r="F49" s="42">
        <f t="shared" si="0"/>
        <v>0</v>
      </c>
      <c r="G49" s="49" t="e">
        <f t="shared" si="1"/>
        <v>#DIV/0!</v>
      </c>
      <c r="H49" s="44"/>
      <c r="I49" s="44"/>
    </row>
    <row r="50" spans="1:9" x14ac:dyDescent="0.35">
      <c r="A50" s="42" t="s">
        <v>140</v>
      </c>
      <c r="B50" s="39" t="s">
        <v>141</v>
      </c>
      <c r="C50" s="42" t="str">
        <f>'Haver Pivoted'!A49</f>
        <v>gfsubp</v>
      </c>
      <c r="D50">
        <v>0</v>
      </c>
      <c r="E50" s="42">
        <f>'Haver Pivoted'!HH49</f>
        <v>0</v>
      </c>
      <c r="F50" s="42">
        <f t="shared" si="0"/>
        <v>0</v>
      </c>
      <c r="G50" s="49" t="e">
        <f t="shared" si="1"/>
        <v>#DIV/0!</v>
      </c>
      <c r="H50" s="35"/>
      <c r="I50" s="36"/>
    </row>
    <row r="51" spans="1:9" x14ac:dyDescent="0.35">
      <c r="A51" s="42" t="s">
        <v>52</v>
      </c>
      <c r="B51" s="39" t="s">
        <v>142</v>
      </c>
      <c r="C51" s="42" t="str">
        <f>'Haver Pivoted'!A50</f>
        <v>gfsubg</v>
      </c>
      <c r="D51">
        <v>0</v>
      </c>
      <c r="E51" s="42">
        <f>'Haver Pivoted'!HH50</f>
        <v>0</v>
      </c>
      <c r="F51" s="42">
        <f t="shared" si="0"/>
        <v>0</v>
      </c>
      <c r="G51" s="49" t="e">
        <f t="shared" si="1"/>
        <v>#DIV/0!</v>
      </c>
      <c r="H51" s="55"/>
      <c r="I51" s="54"/>
    </row>
    <row r="52" spans="1:9" x14ac:dyDescent="0.35">
      <c r="A52" s="42" t="s">
        <v>52</v>
      </c>
      <c r="B52" s="39" t="s">
        <v>143</v>
      </c>
      <c r="C52" s="42" t="str">
        <f>'Haver Pivoted'!A51</f>
        <v>gfsube</v>
      </c>
      <c r="D52">
        <v>0</v>
      </c>
      <c r="E52" s="42">
        <f>'Haver Pivoted'!HH51</f>
        <v>0</v>
      </c>
      <c r="F52" s="42">
        <f t="shared" si="0"/>
        <v>0</v>
      </c>
      <c r="G52" s="49" t="e">
        <f t="shared" si="1"/>
        <v>#DIV/0!</v>
      </c>
      <c r="H52" s="38"/>
      <c r="I52" s="36"/>
    </row>
    <row r="53" spans="1:9" x14ac:dyDescent="0.35">
      <c r="A53" s="42" t="s">
        <v>52</v>
      </c>
      <c r="B53" s="39" t="s">
        <v>144</v>
      </c>
      <c r="C53" s="42" t="str">
        <f>'Haver Pivoted'!A52</f>
        <v>gfsubs</v>
      </c>
      <c r="D53">
        <v>0</v>
      </c>
      <c r="E53" s="42">
        <f>'Haver Pivoted'!HH52</f>
        <v>0</v>
      </c>
      <c r="F53" s="42">
        <f t="shared" si="0"/>
        <v>0</v>
      </c>
      <c r="G53" s="49" t="e">
        <f t="shared" si="1"/>
        <v>#DIV/0!</v>
      </c>
      <c r="H53" s="38"/>
      <c r="I53" s="36"/>
    </row>
    <row r="54" spans="1:9" x14ac:dyDescent="0.35">
      <c r="A54" s="42" t="s">
        <v>52</v>
      </c>
      <c r="B54" s="39" t="s">
        <v>145</v>
      </c>
      <c r="C54" s="42" t="str">
        <f>'Haver Pivoted'!A53</f>
        <v>gfsubf</v>
      </c>
      <c r="D54">
        <v>0</v>
      </c>
      <c r="E54" s="42">
        <f>'Haver Pivoted'!HH53</f>
        <v>0</v>
      </c>
      <c r="F54" s="42">
        <f t="shared" si="0"/>
        <v>0</v>
      </c>
      <c r="G54" s="49" t="e">
        <f t="shared" si="1"/>
        <v>#DIV/0!</v>
      </c>
      <c r="H54" s="35"/>
      <c r="I54" s="36"/>
    </row>
    <row r="55" spans="1:9" x14ac:dyDescent="0.35">
      <c r="A55" s="42" t="s">
        <v>146</v>
      </c>
      <c r="B55" s="39" t="s">
        <v>147</v>
      </c>
      <c r="C55" s="42" t="str">
        <f>'Haver Pivoted'!A54</f>
        <v>gfsubv</v>
      </c>
      <c r="D55">
        <v>0</v>
      </c>
      <c r="E55" s="42">
        <f>'Haver Pivoted'!HH54</f>
        <v>0</v>
      </c>
      <c r="F55" s="42">
        <f t="shared" si="0"/>
        <v>0</v>
      </c>
      <c r="G55" s="49" t="e">
        <f t="shared" si="1"/>
        <v>#DIV/0!</v>
      </c>
    </row>
    <row r="56" spans="1:9" x14ac:dyDescent="0.35">
      <c r="A56" s="42" t="s">
        <v>52</v>
      </c>
      <c r="B56" s="39" t="s">
        <v>148</v>
      </c>
      <c r="C56" s="42" t="str">
        <f>'Haver Pivoted'!A55</f>
        <v>gfsubk</v>
      </c>
      <c r="D56">
        <v>0</v>
      </c>
      <c r="E56" s="42">
        <f>'Haver Pivoted'!HH55</f>
        <v>0</v>
      </c>
      <c r="F56" s="42">
        <f t="shared" si="0"/>
        <v>0</v>
      </c>
      <c r="G56" s="49" t="e">
        <f t="shared" si="1"/>
        <v>#DIV/0!</v>
      </c>
      <c r="H56" s="35"/>
      <c r="I56" s="36"/>
    </row>
    <row r="57" spans="1:9" x14ac:dyDescent="0.35">
      <c r="A57" s="42" t="s">
        <v>51</v>
      </c>
      <c r="B57" s="41" t="s">
        <v>149</v>
      </c>
      <c r="C57" s="42" t="str">
        <f>'Haver Pivoted'!A56</f>
        <v>gfegc</v>
      </c>
      <c r="D57">
        <v>0</v>
      </c>
      <c r="E57" s="42">
        <f>'Haver Pivoted'!HH56</f>
        <v>0</v>
      </c>
      <c r="F57" s="42">
        <f t="shared" si="0"/>
        <v>0</v>
      </c>
      <c r="G57" s="49"/>
      <c r="H57" s="35"/>
      <c r="I57" s="36"/>
    </row>
    <row r="58" spans="1:9" x14ac:dyDescent="0.35">
      <c r="A58" s="42" t="s">
        <v>51</v>
      </c>
      <c r="B58" s="41" t="s">
        <v>150</v>
      </c>
      <c r="C58" s="42" t="str">
        <f>'Haver Pivoted'!A57</f>
        <v>gfege</v>
      </c>
      <c r="D58">
        <v>0</v>
      </c>
      <c r="E58" s="42">
        <f>'Haver Pivoted'!HH57</f>
        <v>0</v>
      </c>
      <c r="F58" s="42">
        <f t="shared" si="0"/>
        <v>0</v>
      </c>
      <c r="G58" s="49" t="e">
        <f t="shared" si="1"/>
        <v>#DIV/0!</v>
      </c>
      <c r="H58" s="35"/>
      <c r="I58" s="36"/>
    </row>
    <row r="59" spans="1:9" x14ac:dyDescent="0.35">
      <c r="A59" s="42" t="s">
        <v>151</v>
      </c>
      <c r="B59" s="41" t="s">
        <v>152</v>
      </c>
      <c r="C59" s="42" t="str">
        <f>'Haver Pivoted'!A58</f>
        <v>gfegv</v>
      </c>
      <c r="D59">
        <v>0</v>
      </c>
      <c r="E59" s="42">
        <f>'Haver Pivoted'!HH58</f>
        <v>0</v>
      </c>
      <c r="F59" s="42">
        <f t="shared" si="0"/>
        <v>0</v>
      </c>
      <c r="G59" s="49" t="e">
        <f t="shared" si="1"/>
        <v>#DIV/0!</v>
      </c>
    </row>
    <row r="60" spans="1:9" x14ac:dyDescent="0.35">
      <c r="A60" s="42" t="s">
        <v>53</v>
      </c>
      <c r="B60" s="42" t="s">
        <v>153</v>
      </c>
      <c r="C60" s="42" t="str">
        <f>'Haver Pivoted'!A59</f>
        <v>yptue</v>
      </c>
      <c r="D60">
        <v>0</v>
      </c>
      <c r="E60" s="42">
        <f>'Haver Pivoted'!HH59</f>
        <v>0</v>
      </c>
      <c r="F60" s="42">
        <f t="shared" si="0"/>
        <v>0</v>
      </c>
      <c r="G60" s="49" t="e">
        <f t="shared" si="1"/>
        <v>#DIV/0!</v>
      </c>
    </row>
    <row r="61" spans="1:9" x14ac:dyDescent="0.35">
      <c r="A61" s="42" t="s">
        <v>53</v>
      </c>
      <c r="B61" s="42" t="s">
        <v>154</v>
      </c>
      <c r="C61" s="42" t="str">
        <f>'Haver Pivoted'!A60</f>
        <v>yptup</v>
      </c>
      <c r="D61">
        <v>0</v>
      </c>
      <c r="E61" s="42">
        <f>'Haver Pivoted'!HH60</f>
        <v>0</v>
      </c>
      <c r="F61" s="42">
        <f t="shared" si="0"/>
        <v>0</v>
      </c>
      <c r="G61" s="49" t="e">
        <f t="shared" si="1"/>
        <v>#DIV/0!</v>
      </c>
    </row>
    <row r="62" spans="1:9" x14ac:dyDescent="0.35">
      <c r="A62" s="42" t="s">
        <v>53</v>
      </c>
      <c r="B62" s="42" t="s">
        <v>155</v>
      </c>
      <c r="C62" s="42" t="str">
        <f>'Haver Pivoted'!A61</f>
        <v>yptuc</v>
      </c>
      <c r="D62">
        <v>0</v>
      </c>
      <c r="E62" s="42">
        <f>'Haver Pivoted'!HH61</f>
        <v>0</v>
      </c>
      <c r="F62" s="42">
        <f t="shared" si="0"/>
        <v>0</v>
      </c>
      <c r="G62" s="49" t="e">
        <f t="shared" si="1"/>
        <v>#DIV/0!</v>
      </c>
    </row>
    <row r="63" spans="1:9" x14ac:dyDescent="0.35">
      <c r="B63" s="42" t="s">
        <v>156</v>
      </c>
      <c r="C63" s="42" t="str">
        <f>'Haver Pivoted'!A62</f>
        <v>gftfpu</v>
      </c>
      <c r="D63">
        <v>0</v>
      </c>
      <c r="E63" s="42">
        <f>'Haver Pivoted'!HH62</f>
        <v>0</v>
      </c>
      <c r="F63" s="42">
        <f t="shared" si="0"/>
        <v>0</v>
      </c>
      <c r="G63" s="49" t="e">
        <f t="shared" si="1"/>
        <v>#DIV/0!</v>
      </c>
      <c r="H63" s="41"/>
      <c r="I63" s="41"/>
    </row>
    <row r="64" spans="1:9" x14ac:dyDescent="0.35">
      <c r="A64" s="42" t="s">
        <v>53</v>
      </c>
      <c r="B64" s="45" t="s">
        <v>157</v>
      </c>
      <c r="C64" s="42" t="str">
        <f>'Haver Pivoted'!A63</f>
        <v>yptub</v>
      </c>
      <c r="D64">
        <v>0</v>
      </c>
      <c r="E64" s="42">
        <f>'Haver Pivoted'!HH63</f>
        <v>0</v>
      </c>
      <c r="F64" s="42">
        <f t="shared" si="0"/>
        <v>0</v>
      </c>
      <c r="G64" s="49" t="e">
        <f t="shared" si="1"/>
        <v>#DIV/0!</v>
      </c>
      <c r="H64" s="41"/>
      <c r="I64" s="41"/>
    </row>
    <row r="65" spans="1:9" x14ac:dyDescent="0.35">
      <c r="A65" s="42" t="s">
        <v>53</v>
      </c>
      <c r="B65" s="42" t="s">
        <v>158</v>
      </c>
      <c r="C65" s="42" t="str">
        <f>'Haver Pivoted'!A64</f>
        <v>yptol</v>
      </c>
      <c r="D65">
        <v>0</v>
      </c>
      <c r="E65" s="42">
        <f>'Haver Pivoted'!HH64</f>
        <v>0</v>
      </c>
      <c r="F65" s="42">
        <f t="shared" si="0"/>
        <v>0</v>
      </c>
      <c r="G65" s="49" t="e">
        <f t="shared" si="1"/>
        <v>#DIV/0!</v>
      </c>
      <c r="H65" s="41"/>
      <c r="I65" s="41"/>
    </row>
    <row r="66" spans="1:9" x14ac:dyDescent="0.35">
      <c r="B66" s="42" t="s">
        <v>159</v>
      </c>
      <c r="C66" s="42" t="str">
        <f>'Haver Pivoted'!A65</f>
        <v>gfctp</v>
      </c>
      <c r="D66">
        <v>561.29999999999995</v>
      </c>
      <c r="E66" s="42">
        <f>'Haver Pivoted'!HH65</f>
        <v>561.29999999999995</v>
      </c>
      <c r="F66" s="42">
        <f t="shared" si="0"/>
        <v>0</v>
      </c>
      <c r="G66" s="49">
        <f t="shared" si="1"/>
        <v>0</v>
      </c>
      <c r="H66" s="41"/>
      <c r="I66" s="41"/>
    </row>
    <row r="67" spans="1:9" x14ac:dyDescent="0.35">
      <c r="A67" s="42" t="s">
        <v>57</v>
      </c>
      <c r="B67" s="40" t="s">
        <v>160</v>
      </c>
      <c r="C67" s="42" t="str">
        <f>'Haver Pivoted'!A66</f>
        <v>gftffx</v>
      </c>
      <c r="D67">
        <v>103.06100000000001</v>
      </c>
      <c r="E67" s="42">
        <f>'Haver Pivoted'!HH66</f>
        <v>103.06100000000001</v>
      </c>
      <c r="F67" s="42">
        <f t="shared" si="0"/>
        <v>0</v>
      </c>
      <c r="G67" s="49">
        <f t="shared" si="1"/>
        <v>0</v>
      </c>
      <c r="H67" s="41"/>
      <c r="I67" s="41"/>
    </row>
    <row r="68" spans="1:9" x14ac:dyDescent="0.35">
      <c r="B68" s="42" t="s">
        <v>161</v>
      </c>
      <c r="C68" s="42" t="str">
        <f>'Haver Pivoted'!A67</f>
        <v>cpiu</v>
      </c>
      <c r="D68">
        <v>306.034333333333</v>
      </c>
      <c r="E68" s="42">
        <f>'Haver Pivoted'!HH67</f>
        <v>306.034333333333</v>
      </c>
      <c r="F68" s="42">
        <f t="shared" ref="F68:F81" si="2">E68-D68</f>
        <v>0</v>
      </c>
      <c r="G68" s="49">
        <f t="shared" ref="G68:G81" si="3">F68/D68</f>
        <v>0</v>
      </c>
      <c r="H68" s="41"/>
      <c r="I68" s="41"/>
    </row>
    <row r="69" spans="1:9" x14ac:dyDescent="0.35">
      <c r="C69" s="42" t="str">
        <f>'Haver Pivoted'!A68</f>
        <v>pcw</v>
      </c>
      <c r="D69">
        <v>300.327333333333</v>
      </c>
      <c r="E69" s="42">
        <f>'Haver Pivoted'!HH68</f>
        <v>300.327333333333</v>
      </c>
      <c r="F69" s="42">
        <f t="shared" si="2"/>
        <v>0</v>
      </c>
      <c r="G69" s="49">
        <f t="shared" si="3"/>
        <v>0</v>
      </c>
    </row>
    <row r="70" spans="1:9" x14ac:dyDescent="0.35">
      <c r="B70" s="42" t="s">
        <v>162</v>
      </c>
      <c r="C70" s="42" t="str">
        <f>'Haver Pivoted'!A69</f>
        <v>gdppothq</v>
      </c>
      <c r="D70">
        <v>22369.7</v>
      </c>
      <c r="E70" s="42">
        <f>'Haver Pivoted'!HH69</f>
        <v>22338.799999999999</v>
      </c>
      <c r="F70" s="42">
        <f t="shared" si="2"/>
        <v>-30.900000000001455</v>
      </c>
      <c r="G70" s="49">
        <f t="shared" si="3"/>
        <v>-1.3813327849725948E-3</v>
      </c>
    </row>
    <row r="71" spans="1:9" x14ac:dyDescent="0.35">
      <c r="B71" s="42" t="s">
        <v>163</v>
      </c>
      <c r="C71" s="42" t="str">
        <f>'Haver Pivoted'!A70</f>
        <v>gdppotq</v>
      </c>
      <c r="D71">
        <v>27476.6</v>
      </c>
      <c r="E71" s="42">
        <f>'Haver Pivoted'!HH70</f>
        <v>27423.599999999999</v>
      </c>
      <c r="F71" s="42">
        <f t="shared" si="2"/>
        <v>-53</v>
      </c>
      <c r="G71" s="49">
        <f t="shared" si="3"/>
        <v>-1.9289140577800749E-3</v>
      </c>
    </row>
    <row r="72" spans="1:9" x14ac:dyDescent="0.35">
      <c r="B72" s="42" t="s">
        <v>164</v>
      </c>
      <c r="C72" s="42" t="str">
        <f>'Haver Pivoted'!A71</f>
        <v>recessq</v>
      </c>
      <c r="D72">
        <v>-1</v>
      </c>
      <c r="E72" s="42">
        <f>'Haver Pivoted'!HH71</f>
        <v>-1</v>
      </c>
      <c r="F72" s="42">
        <f t="shared" si="2"/>
        <v>0</v>
      </c>
      <c r="G72" s="49">
        <f t="shared" si="3"/>
        <v>0</v>
      </c>
    </row>
    <row r="73" spans="1:9" x14ac:dyDescent="0.35">
      <c r="A73" s="42" t="s">
        <v>165</v>
      </c>
      <c r="B73" s="42" t="s">
        <v>166</v>
      </c>
      <c r="C73" s="42" t="str">
        <f>'Haver Pivoted'!A72</f>
        <v>lasgova</v>
      </c>
      <c r="D73">
        <v>5325.3333333333303</v>
      </c>
      <c r="E73" s="42">
        <f>'Haver Pivoted'!HH72</f>
        <v>5325.3333333333303</v>
      </c>
      <c r="F73" s="42">
        <f t="shared" si="2"/>
        <v>0</v>
      </c>
      <c r="G73" s="49">
        <f t="shared" si="3"/>
        <v>0</v>
      </c>
    </row>
    <row r="74" spans="1:9" x14ac:dyDescent="0.35">
      <c r="A74" s="42" t="s">
        <v>165</v>
      </c>
      <c r="B74" s="42" t="s">
        <v>167</v>
      </c>
      <c r="C74" s="42" t="str">
        <f>'Haver Pivoted'!A73</f>
        <v>lalgova</v>
      </c>
      <c r="D74">
        <v>14587</v>
      </c>
      <c r="E74" s="42">
        <f>'Haver Pivoted'!HH73</f>
        <v>14587</v>
      </c>
      <c r="F74" s="42">
        <f t="shared" si="2"/>
        <v>0</v>
      </c>
      <c r="G74" s="49">
        <f t="shared" si="3"/>
        <v>0</v>
      </c>
    </row>
    <row r="75" spans="1:9" x14ac:dyDescent="0.35">
      <c r="A75" s="42" t="s">
        <v>165</v>
      </c>
      <c r="B75" s="42" t="s">
        <v>168</v>
      </c>
      <c r="C75" s="42" t="str">
        <f>'Haver Pivoted'!A74</f>
        <v>cpgs</v>
      </c>
      <c r="D75">
        <v>410267.66666666698</v>
      </c>
      <c r="E75" s="42">
        <f>'Haver Pivoted'!HH74</f>
        <v>410267.66666666698</v>
      </c>
      <c r="F75" s="42">
        <f t="shared" si="2"/>
        <v>0</v>
      </c>
      <c r="G75" s="49">
        <f t="shared" si="3"/>
        <v>0</v>
      </c>
    </row>
    <row r="76" spans="1:9" x14ac:dyDescent="0.35">
      <c r="B76" s="42" t="s">
        <v>169</v>
      </c>
      <c r="C76" s="42" t="str">
        <f>'Haver Pivoted'!A75</f>
        <v>jgdp_growth</v>
      </c>
      <c r="D76">
        <v>8.2355549351746903E-3</v>
      </c>
      <c r="E76" s="42">
        <f>'Haver Pivoted'!HH75</f>
        <v>8.2355549351746903E-3</v>
      </c>
      <c r="F76" s="37">
        <f t="shared" si="2"/>
        <v>0</v>
      </c>
      <c r="G76" s="49">
        <f t="shared" si="3"/>
        <v>0</v>
      </c>
    </row>
    <row r="77" spans="1:9" x14ac:dyDescent="0.35">
      <c r="B77" s="42" t="s">
        <v>170</v>
      </c>
      <c r="C77" s="42" t="str">
        <f>'Haver Pivoted'!A76</f>
        <v>jc_growth</v>
      </c>
      <c r="D77">
        <v>6.4143147512578701E-3</v>
      </c>
      <c r="E77" s="42">
        <f>'Haver Pivoted'!HH76</f>
        <v>6.4143147512578701E-3</v>
      </c>
      <c r="F77" s="37">
        <f t="shared" si="2"/>
        <v>0</v>
      </c>
      <c r="G77" s="49">
        <f t="shared" si="3"/>
        <v>0</v>
      </c>
    </row>
    <row r="78" spans="1:9" x14ac:dyDescent="0.35">
      <c r="B78" s="42" t="s">
        <v>171</v>
      </c>
      <c r="C78" s="42" t="str">
        <f>'Haver Pivoted'!A77</f>
        <v>jgf_growth</v>
      </c>
      <c r="D78">
        <v>9.7870229456919998E-3</v>
      </c>
      <c r="E78" s="42">
        <f>'Haver Pivoted'!HH77</f>
        <v>9.7870229456919998E-3</v>
      </c>
      <c r="F78" s="37">
        <f t="shared" si="2"/>
        <v>0</v>
      </c>
      <c r="G78" s="49">
        <f t="shared" si="3"/>
        <v>0</v>
      </c>
    </row>
    <row r="79" spans="1:9" x14ac:dyDescent="0.35">
      <c r="B79" s="42" t="s">
        <v>172</v>
      </c>
      <c r="C79" s="42" t="str">
        <f>'Haver Pivoted'!A78</f>
        <v>jgs_growth</v>
      </c>
      <c r="D79">
        <v>1.4053530453285799E-2</v>
      </c>
      <c r="E79" s="42">
        <f>'Haver Pivoted'!HH78</f>
        <v>1.4053530453285799E-2</v>
      </c>
      <c r="F79" s="37">
        <f>E79/D79-1</f>
        <v>0</v>
      </c>
      <c r="G79" s="49">
        <f t="shared" si="3"/>
        <v>0</v>
      </c>
    </row>
    <row r="80" spans="1:9" x14ac:dyDescent="0.35">
      <c r="B80" s="42" t="s">
        <v>173</v>
      </c>
      <c r="C80" s="42" t="str">
        <f>'Haver Pivoted'!A79</f>
        <v>jgse_growth</v>
      </c>
      <c r="D80">
        <v>1.6627230287139499E-2</v>
      </c>
      <c r="E80" s="42">
        <f>'Haver Pivoted'!HH79</f>
        <v>1.6627230287139499E-2</v>
      </c>
      <c r="F80" s="37">
        <f t="shared" si="2"/>
        <v>0</v>
      </c>
      <c r="G80" s="49">
        <f t="shared" si="3"/>
        <v>0</v>
      </c>
    </row>
    <row r="81" spans="2:7" x14ac:dyDescent="0.35">
      <c r="B81" s="42" t="s">
        <v>174</v>
      </c>
      <c r="C81" s="42" t="str">
        <f>'Haver Pivoted'!A80</f>
        <v>jgsi_growth</v>
      </c>
      <c r="D81">
        <v>2.8033363542803199E-3</v>
      </c>
      <c r="E81" s="42">
        <f>'Haver Pivoted'!HH80</f>
        <v>2.8033363542803199E-3</v>
      </c>
      <c r="F81" s="37">
        <f t="shared" si="2"/>
        <v>0</v>
      </c>
      <c r="G81" s="49">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
  <sheetViews>
    <sheetView zoomScaleNormal="100" workbookViewId="0">
      <selection activeCell="D4" sqref="D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65" t="s">
        <v>33</v>
      </c>
      <c r="B1" s="66" t="s">
        <v>34</v>
      </c>
      <c r="C1" s="66" t="s">
        <v>35</v>
      </c>
      <c r="D1" s="67" t="s">
        <v>36</v>
      </c>
    </row>
    <row r="2" spans="1:4" ht="116.15" customHeight="1" x14ac:dyDescent="0.35">
      <c r="A2" s="62" t="s">
        <v>876</v>
      </c>
      <c r="B2" s="63" t="s">
        <v>904</v>
      </c>
      <c r="C2" s="63" t="s">
        <v>905</v>
      </c>
      <c r="D2" s="59" t="s">
        <v>919</v>
      </c>
    </row>
    <row r="3" spans="1:4" ht="63.75" customHeight="1" x14ac:dyDescent="0.35">
      <c r="A3" s="19" t="s">
        <v>79</v>
      </c>
      <c r="B3" s="58" t="s">
        <v>40</v>
      </c>
      <c r="C3" s="58" t="s">
        <v>41</v>
      </c>
      <c r="D3" s="60" t="s">
        <v>922</v>
      </c>
    </row>
    <row r="4" spans="1:4" ht="137.25" customHeight="1" x14ac:dyDescent="0.35">
      <c r="A4" s="68" t="s">
        <v>80</v>
      </c>
      <c r="B4" s="58" t="s">
        <v>903</v>
      </c>
      <c r="C4" s="14" t="s">
        <v>878</v>
      </c>
      <c r="D4" s="60"/>
    </row>
    <row r="5" spans="1:4" ht="29.25" customHeight="1" x14ac:dyDescent="0.35">
      <c r="A5" s="68" t="s">
        <v>81</v>
      </c>
      <c r="B5" s="69" t="s">
        <v>82</v>
      </c>
      <c r="C5" s="56" t="s">
        <v>83</v>
      </c>
      <c r="D5" s="60"/>
    </row>
    <row r="6" spans="1:4" ht="43.4" customHeight="1" x14ac:dyDescent="0.35">
      <c r="A6" s="21" t="s">
        <v>84</v>
      </c>
      <c r="B6" s="64" t="s">
        <v>880</v>
      </c>
      <c r="C6" s="57" t="s">
        <v>879</v>
      </c>
      <c r="D6" s="6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J89"/>
  <sheetViews>
    <sheetView zoomScaleNormal="100" workbookViewId="0">
      <pane xSplit="1" ySplit="1" topLeftCell="GX2" activePane="bottomRight" state="frozen"/>
      <selection pane="topRight" activeCell="B1" sqref="B1"/>
      <selection pane="bottomLeft" activeCell="A2" sqref="A2"/>
      <selection pane="bottomRight" activeCell="A19" sqref="A19"/>
    </sheetView>
  </sheetViews>
  <sheetFormatPr defaultColWidth="10.90625" defaultRowHeight="14.5" x14ac:dyDescent="0.35"/>
  <cols>
    <col min="1" max="218" width="11.7265625" customWidth="1"/>
  </cols>
  <sheetData>
    <row r="1" spans="1:218" x14ac:dyDescent="0.35">
      <c r="A1" s="75" t="s">
        <v>1979</v>
      </c>
      <c r="B1" s="75" t="s">
        <v>1980</v>
      </c>
      <c r="C1" s="75" t="s">
        <v>1981</v>
      </c>
      <c r="D1" s="75" t="s">
        <v>1982</v>
      </c>
      <c r="E1" s="75" t="s">
        <v>1983</v>
      </c>
      <c r="F1" s="75" t="s">
        <v>1984</v>
      </c>
      <c r="G1" s="75" t="s">
        <v>1985</v>
      </c>
      <c r="H1" s="75" t="s">
        <v>1986</v>
      </c>
      <c r="I1" s="75" t="s">
        <v>1987</v>
      </c>
      <c r="J1" s="75" t="s">
        <v>1988</v>
      </c>
      <c r="K1" s="75" t="s">
        <v>1989</v>
      </c>
      <c r="L1" s="75" t="s">
        <v>1990</v>
      </c>
      <c r="M1" s="75" t="s">
        <v>1991</v>
      </c>
      <c r="N1" s="75" t="s">
        <v>1992</v>
      </c>
      <c r="O1" s="75" t="s">
        <v>1993</v>
      </c>
      <c r="P1" s="75" t="s">
        <v>1994</v>
      </c>
      <c r="Q1" s="75" t="s">
        <v>1995</v>
      </c>
      <c r="R1" s="75" t="s">
        <v>1996</v>
      </c>
      <c r="S1" s="75" t="s">
        <v>1997</v>
      </c>
      <c r="T1" s="75" t="s">
        <v>1998</v>
      </c>
      <c r="U1" s="75" t="s">
        <v>1999</v>
      </c>
      <c r="V1" s="75" t="s">
        <v>2000</v>
      </c>
      <c r="W1" s="75" t="s">
        <v>2001</v>
      </c>
      <c r="X1" s="75" t="s">
        <v>2002</v>
      </c>
      <c r="Y1" s="75" t="s">
        <v>2003</v>
      </c>
      <c r="Z1" s="75" t="s">
        <v>2004</v>
      </c>
      <c r="AA1" s="75" t="s">
        <v>2005</v>
      </c>
      <c r="AB1" s="75" t="s">
        <v>2006</v>
      </c>
      <c r="AC1" s="75" t="s">
        <v>2007</v>
      </c>
      <c r="AD1" s="75" t="s">
        <v>2008</v>
      </c>
      <c r="AE1" s="75" t="s">
        <v>2009</v>
      </c>
      <c r="AF1" s="75" t="s">
        <v>2010</v>
      </c>
      <c r="AG1" s="75" t="s">
        <v>2011</v>
      </c>
      <c r="AH1" s="75" t="s">
        <v>2012</v>
      </c>
      <c r="AI1" s="75" t="s">
        <v>2013</v>
      </c>
      <c r="AJ1" s="75" t="s">
        <v>2014</v>
      </c>
      <c r="AK1" s="75" t="s">
        <v>2015</v>
      </c>
      <c r="AL1" s="75" t="s">
        <v>2016</v>
      </c>
      <c r="AM1" s="75" t="s">
        <v>2017</v>
      </c>
      <c r="AN1" s="75" t="s">
        <v>2018</v>
      </c>
      <c r="AO1" s="75" t="s">
        <v>2019</v>
      </c>
      <c r="AP1" s="75" t="s">
        <v>2020</v>
      </c>
      <c r="AQ1" s="75" t="s">
        <v>2021</v>
      </c>
      <c r="AR1" s="75" t="s">
        <v>2022</v>
      </c>
      <c r="AS1" s="75" t="s">
        <v>2023</v>
      </c>
      <c r="AT1" s="75" t="s">
        <v>2024</v>
      </c>
      <c r="AU1" s="75" t="s">
        <v>2025</v>
      </c>
      <c r="AV1" s="75" t="s">
        <v>2026</v>
      </c>
      <c r="AW1" s="75" t="s">
        <v>2027</v>
      </c>
      <c r="AX1" s="75" t="s">
        <v>2028</v>
      </c>
      <c r="AY1" s="75" t="s">
        <v>2029</v>
      </c>
      <c r="AZ1" s="75" t="s">
        <v>2030</v>
      </c>
      <c r="BA1" s="75" t="s">
        <v>2031</v>
      </c>
      <c r="BB1" s="75" t="s">
        <v>2032</v>
      </c>
      <c r="BC1" s="75" t="s">
        <v>2033</v>
      </c>
      <c r="BD1" s="75" t="s">
        <v>2034</v>
      </c>
      <c r="BE1" s="75" t="s">
        <v>2035</v>
      </c>
      <c r="BF1" s="75" t="s">
        <v>2036</v>
      </c>
      <c r="BG1" s="75" t="s">
        <v>2037</v>
      </c>
      <c r="BH1" s="75" t="s">
        <v>2038</v>
      </c>
      <c r="BI1" s="75" t="s">
        <v>2039</v>
      </c>
      <c r="BJ1" s="75" t="s">
        <v>2040</v>
      </c>
      <c r="BK1" s="75" t="s">
        <v>2041</v>
      </c>
      <c r="BL1" s="75" t="s">
        <v>2042</v>
      </c>
      <c r="BM1" s="75" t="s">
        <v>2043</v>
      </c>
      <c r="BN1" s="75" t="s">
        <v>2044</v>
      </c>
      <c r="BO1" s="75" t="s">
        <v>2045</v>
      </c>
      <c r="BP1" s="75" t="s">
        <v>2046</v>
      </c>
      <c r="BQ1" s="75" t="s">
        <v>2047</v>
      </c>
      <c r="BR1" s="75" t="s">
        <v>2048</v>
      </c>
      <c r="BS1" s="75" t="s">
        <v>2049</v>
      </c>
      <c r="BT1" s="75" t="s">
        <v>2050</v>
      </c>
      <c r="BU1" s="75" t="s">
        <v>2051</v>
      </c>
      <c r="BV1" s="75" t="s">
        <v>2052</v>
      </c>
      <c r="BW1" s="75" t="s">
        <v>2053</v>
      </c>
      <c r="BX1" s="75" t="s">
        <v>2054</v>
      </c>
      <c r="BY1" s="75" t="s">
        <v>2055</v>
      </c>
      <c r="BZ1" s="75" t="s">
        <v>2056</v>
      </c>
      <c r="CA1" s="75" t="s">
        <v>2057</v>
      </c>
      <c r="CB1" s="75" t="s">
        <v>2058</v>
      </c>
      <c r="CC1" s="75" t="s">
        <v>2059</v>
      </c>
      <c r="CD1" s="75" t="s">
        <v>2060</v>
      </c>
      <c r="CE1" s="75" t="s">
        <v>2061</v>
      </c>
      <c r="CF1" s="75" t="s">
        <v>2062</v>
      </c>
      <c r="CG1" s="75" t="s">
        <v>2063</v>
      </c>
      <c r="CH1" s="75" t="s">
        <v>2064</v>
      </c>
      <c r="CI1" s="75" t="s">
        <v>2065</v>
      </c>
      <c r="CJ1" s="75" t="s">
        <v>2066</v>
      </c>
      <c r="CK1" s="75" t="s">
        <v>2067</v>
      </c>
      <c r="CL1" s="75" t="s">
        <v>2068</v>
      </c>
      <c r="CM1" s="75" t="s">
        <v>2069</v>
      </c>
      <c r="CN1" s="75" t="s">
        <v>2070</v>
      </c>
      <c r="CO1" s="75" t="s">
        <v>2071</v>
      </c>
      <c r="CP1" s="75" t="s">
        <v>2072</v>
      </c>
      <c r="CQ1" s="75" t="s">
        <v>2073</v>
      </c>
      <c r="CR1" s="75" t="s">
        <v>2074</v>
      </c>
      <c r="CS1" s="75" t="s">
        <v>2075</v>
      </c>
      <c r="CT1" s="75" t="s">
        <v>2076</v>
      </c>
      <c r="CU1" s="75" t="s">
        <v>2077</v>
      </c>
      <c r="CV1" s="75" t="s">
        <v>2078</v>
      </c>
      <c r="CW1" s="75" t="s">
        <v>2079</v>
      </c>
      <c r="CX1" s="75" t="s">
        <v>2080</v>
      </c>
      <c r="CY1" s="75" t="s">
        <v>2081</v>
      </c>
      <c r="CZ1" s="75" t="s">
        <v>2082</v>
      </c>
      <c r="DA1" s="75" t="s">
        <v>2083</v>
      </c>
      <c r="DB1" s="75" t="s">
        <v>2084</v>
      </c>
      <c r="DC1" s="75" t="s">
        <v>2085</v>
      </c>
      <c r="DD1" s="75" t="s">
        <v>2086</v>
      </c>
      <c r="DE1" s="75" t="s">
        <v>2087</v>
      </c>
      <c r="DF1" s="75" t="s">
        <v>2088</v>
      </c>
      <c r="DG1" s="75" t="s">
        <v>2089</v>
      </c>
      <c r="DH1" s="75" t="s">
        <v>2090</v>
      </c>
      <c r="DI1" s="75" t="s">
        <v>2091</v>
      </c>
      <c r="DJ1" s="75" t="s">
        <v>2092</v>
      </c>
      <c r="DK1" s="75" t="s">
        <v>2093</v>
      </c>
      <c r="DL1" s="75" t="s">
        <v>2094</v>
      </c>
      <c r="DM1" s="75" t="s">
        <v>2095</v>
      </c>
      <c r="DN1" s="75" t="s">
        <v>2096</v>
      </c>
      <c r="DO1" s="75" t="s">
        <v>2097</v>
      </c>
      <c r="DP1" s="75" t="s">
        <v>2098</v>
      </c>
      <c r="DQ1" s="75" t="s">
        <v>2099</v>
      </c>
      <c r="DR1" s="75" t="s">
        <v>2100</v>
      </c>
      <c r="DS1" s="75" t="s">
        <v>2101</v>
      </c>
      <c r="DT1" s="75" t="s">
        <v>2102</v>
      </c>
      <c r="DU1" s="75" t="s">
        <v>2103</v>
      </c>
      <c r="DV1" s="75" t="s">
        <v>2104</v>
      </c>
      <c r="DW1" s="75" t="s">
        <v>2105</v>
      </c>
      <c r="DX1" s="75" t="s">
        <v>2106</v>
      </c>
      <c r="DY1" s="75" t="s">
        <v>2107</v>
      </c>
      <c r="DZ1" s="75" t="s">
        <v>2108</v>
      </c>
      <c r="EA1" s="75" t="s">
        <v>2109</v>
      </c>
      <c r="EB1" s="75" t="s">
        <v>2110</v>
      </c>
      <c r="EC1" s="75" t="s">
        <v>2111</v>
      </c>
      <c r="ED1" s="75" t="s">
        <v>2112</v>
      </c>
      <c r="EE1" s="75" t="s">
        <v>2113</v>
      </c>
      <c r="EF1" s="75" t="s">
        <v>2114</v>
      </c>
      <c r="EG1" s="75" t="s">
        <v>2115</v>
      </c>
      <c r="EH1" s="75" t="s">
        <v>2116</v>
      </c>
      <c r="EI1" s="75" t="s">
        <v>2117</v>
      </c>
      <c r="EJ1" s="75" t="s">
        <v>2118</v>
      </c>
      <c r="EK1" s="75" t="s">
        <v>2119</v>
      </c>
      <c r="EL1" s="75" t="s">
        <v>2120</v>
      </c>
      <c r="EM1" s="75" t="s">
        <v>2121</v>
      </c>
      <c r="EN1" s="75" t="s">
        <v>2122</v>
      </c>
      <c r="EO1" s="75" t="s">
        <v>2123</v>
      </c>
      <c r="EP1" s="75" t="s">
        <v>2124</v>
      </c>
      <c r="EQ1" s="75" t="s">
        <v>2125</v>
      </c>
      <c r="ER1" s="75" t="s">
        <v>2126</v>
      </c>
      <c r="ES1" s="75" t="s">
        <v>2127</v>
      </c>
      <c r="ET1" s="75" t="s">
        <v>2128</v>
      </c>
      <c r="EU1" s="75" t="s">
        <v>2129</v>
      </c>
      <c r="EV1" s="75" t="s">
        <v>2130</v>
      </c>
      <c r="EW1" s="75" t="s">
        <v>2131</v>
      </c>
      <c r="EX1" s="75" t="s">
        <v>2132</v>
      </c>
      <c r="EY1" s="75" t="s">
        <v>2133</v>
      </c>
      <c r="EZ1" s="75" t="s">
        <v>2134</v>
      </c>
      <c r="FA1" s="75" t="s">
        <v>2135</v>
      </c>
      <c r="FB1" s="75" t="s">
        <v>2136</v>
      </c>
      <c r="FC1" s="75" t="s">
        <v>2137</v>
      </c>
      <c r="FD1" s="75" t="s">
        <v>2138</v>
      </c>
      <c r="FE1" s="75" t="s">
        <v>2139</v>
      </c>
      <c r="FF1" s="75" t="s">
        <v>2140</v>
      </c>
      <c r="FG1" s="75" t="s">
        <v>2141</v>
      </c>
      <c r="FH1" s="75" t="s">
        <v>2142</v>
      </c>
      <c r="FI1" s="75" t="s">
        <v>2143</v>
      </c>
      <c r="FJ1" s="75" t="s">
        <v>2144</v>
      </c>
      <c r="FK1" s="75" t="s">
        <v>2145</v>
      </c>
      <c r="FL1" s="75" t="s">
        <v>2146</v>
      </c>
      <c r="FM1" s="75" t="s">
        <v>2147</v>
      </c>
      <c r="FN1" s="75" t="s">
        <v>2148</v>
      </c>
      <c r="FO1" s="75" t="s">
        <v>2149</v>
      </c>
      <c r="FP1" s="75" t="s">
        <v>2150</v>
      </c>
      <c r="FQ1" s="75" t="s">
        <v>2151</v>
      </c>
      <c r="FR1" s="75" t="s">
        <v>2152</v>
      </c>
      <c r="FS1" s="75" t="s">
        <v>2153</v>
      </c>
      <c r="FT1" s="75" t="s">
        <v>2154</v>
      </c>
      <c r="FU1" s="75" t="s">
        <v>2155</v>
      </c>
      <c r="FV1" s="75" t="s">
        <v>2156</v>
      </c>
      <c r="FW1" s="75" t="s">
        <v>2157</v>
      </c>
      <c r="FX1" s="75" t="s">
        <v>2158</v>
      </c>
      <c r="FY1" s="75" t="s">
        <v>2159</v>
      </c>
      <c r="FZ1" s="75" t="s">
        <v>2160</v>
      </c>
      <c r="GA1" s="75" t="s">
        <v>2161</v>
      </c>
      <c r="GB1" s="75" t="s">
        <v>2162</v>
      </c>
      <c r="GC1" s="75" t="s">
        <v>2163</v>
      </c>
      <c r="GD1" s="75" t="s">
        <v>2164</v>
      </c>
      <c r="GE1" s="75" t="s">
        <v>2165</v>
      </c>
      <c r="GF1" s="75" t="s">
        <v>2166</v>
      </c>
      <c r="GG1" s="75" t="s">
        <v>2167</v>
      </c>
      <c r="GH1" s="75" t="s">
        <v>2168</v>
      </c>
      <c r="GI1" s="75" t="s">
        <v>2169</v>
      </c>
      <c r="GJ1" s="75" t="s">
        <v>2170</v>
      </c>
      <c r="GK1" s="75" t="s">
        <v>2171</v>
      </c>
      <c r="GL1" s="75" t="s">
        <v>2172</v>
      </c>
      <c r="GM1" s="75" t="s">
        <v>2173</v>
      </c>
      <c r="GN1" s="75" t="s">
        <v>2174</v>
      </c>
      <c r="GO1" s="75" t="s">
        <v>2175</v>
      </c>
      <c r="GP1" s="75" t="s">
        <v>2176</v>
      </c>
      <c r="GQ1" s="75" t="s">
        <v>2177</v>
      </c>
      <c r="GR1" s="75" t="s">
        <v>2178</v>
      </c>
      <c r="GS1" s="75" t="s">
        <v>2179</v>
      </c>
      <c r="GT1" s="75" t="s">
        <v>2180</v>
      </c>
      <c r="GU1" s="75" t="s">
        <v>2181</v>
      </c>
      <c r="GV1" s="75" t="s">
        <v>2182</v>
      </c>
      <c r="GW1" s="75" t="s">
        <v>2183</v>
      </c>
      <c r="GX1" s="75" t="s">
        <v>2184</v>
      </c>
      <c r="GY1" s="75" t="s">
        <v>2185</v>
      </c>
      <c r="GZ1" s="75" t="s">
        <v>2186</v>
      </c>
      <c r="HA1" s="75" t="s">
        <v>2187</v>
      </c>
      <c r="HB1" s="75" t="s">
        <v>2188</v>
      </c>
      <c r="HC1" s="75" t="s">
        <v>2189</v>
      </c>
      <c r="HD1" s="75" t="s">
        <v>2190</v>
      </c>
      <c r="HE1" s="75" t="s">
        <v>2191</v>
      </c>
      <c r="HF1" s="75" t="s">
        <v>2192</v>
      </c>
      <c r="HG1" s="75" t="s">
        <v>2193</v>
      </c>
      <c r="HH1" s="75" t="s">
        <v>2194</v>
      </c>
      <c r="HI1" s="75" t="s">
        <v>2195</v>
      </c>
      <c r="HJ1" s="75" t="s">
        <v>2196</v>
      </c>
    </row>
    <row r="2" spans="1:218" x14ac:dyDescent="0.35">
      <c r="A2" s="56" t="s">
        <v>2197</v>
      </c>
      <c r="B2" s="56">
        <v>1051.2</v>
      </c>
      <c r="C2" s="56">
        <v>1067.4000000000001</v>
      </c>
      <c r="D2" s="56">
        <v>1086.0999999999999</v>
      </c>
      <c r="E2" s="56">
        <v>1088.5999999999999</v>
      </c>
      <c r="F2" s="56">
        <v>1135.2</v>
      </c>
      <c r="G2" s="56">
        <v>1156.3</v>
      </c>
      <c r="H2" s="56">
        <v>1177.7</v>
      </c>
      <c r="I2" s="56">
        <v>1190.3</v>
      </c>
      <c r="J2" s="56">
        <v>1230.5999999999999</v>
      </c>
      <c r="K2" s="56">
        <v>1266.4000000000001</v>
      </c>
      <c r="L2" s="56">
        <v>1290.5999999999999</v>
      </c>
      <c r="M2" s="56">
        <v>1328.9</v>
      </c>
      <c r="N2" s="56">
        <v>1377.5</v>
      </c>
      <c r="O2" s="56">
        <v>1413.9</v>
      </c>
      <c r="P2" s="56">
        <v>1433.8</v>
      </c>
      <c r="Q2" s="56">
        <v>1476.3</v>
      </c>
      <c r="R2" s="56">
        <v>1491.2</v>
      </c>
      <c r="S2" s="56">
        <v>1530.1</v>
      </c>
      <c r="T2" s="56">
        <v>1560</v>
      </c>
      <c r="U2" s="56">
        <v>1599.7</v>
      </c>
      <c r="V2" s="56">
        <v>1616.1</v>
      </c>
      <c r="W2" s="56">
        <v>1651.9</v>
      </c>
      <c r="X2" s="56">
        <v>1709.8</v>
      </c>
      <c r="Y2" s="56">
        <v>1761.8</v>
      </c>
      <c r="Z2" s="56">
        <v>1820.5</v>
      </c>
      <c r="AA2" s="56">
        <v>1852.3</v>
      </c>
      <c r="AB2" s="56">
        <v>1886.6</v>
      </c>
      <c r="AC2" s="56">
        <v>1934.3</v>
      </c>
      <c r="AD2" s="56">
        <v>1988.6</v>
      </c>
      <c r="AE2" s="56">
        <v>2055.9</v>
      </c>
      <c r="AF2" s="56">
        <v>2118.5</v>
      </c>
      <c r="AG2" s="56">
        <v>2164.3000000000002</v>
      </c>
      <c r="AH2" s="56">
        <v>2202.8000000000002</v>
      </c>
      <c r="AI2" s="56">
        <v>2331.6</v>
      </c>
      <c r="AJ2" s="56">
        <v>2395.1</v>
      </c>
      <c r="AK2" s="56">
        <v>2476.9</v>
      </c>
      <c r="AL2" s="56">
        <v>2526.6</v>
      </c>
      <c r="AM2" s="56">
        <v>2591.1999999999998</v>
      </c>
      <c r="AN2" s="56">
        <v>2667.6</v>
      </c>
      <c r="AO2" s="56">
        <v>2723.9</v>
      </c>
      <c r="AP2" s="56">
        <v>2789.8</v>
      </c>
      <c r="AQ2" s="56">
        <v>2797.4</v>
      </c>
      <c r="AR2" s="56">
        <v>2856.5</v>
      </c>
      <c r="AS2" s="56">
        <v>2985.6</v>
      </c>
      <c r="AT2" s="56">
        <v>3124.2</v>
      </c>
      <c r="AU2" s="56">
        <v>3162.5</v>
      </c>
      <c r="AV2" s="56">
        <v>3260.6</v>
      </c>
      <c r="AW2" s="56">
        <v>3280.8</v>
      </c>
      <c r="AX2" s="56">
        <v>3274.3</v>
      </c>
      <c r="AY2" s="56">
        <v>3332</v>
      </c>
      <c r="AZ2" s="56">
        <v>3366.3</v>
      </c>
      <c r="BA2" s="56">
        <v>3402.6</v>
      </c>
      <c r="BB2" s="56">
        <v>3473.4</v>
      </c>
      <c r="BC2" s="56">
        <v>3578.8</v>
      </c>
      <c r="BD2" s="56">
        <v>3689.2</v>
      </c>
      <c r="BE2" s="56">
        <v>3794.7</v>
      </c>
      <c r="BF2" s="56">
        <v>3908.1</v>
      </c>
      <c r="BG2" s="56">
        <v>4009.6</v>
      </c>
      <c r="BH2" s="56">
        <v>4084.3</v>
      </c>
      <c r="BI2" s="56">
        <v>4148.6000000000004</v>
      </c>
      <c r="BJ2" s="56">
        <v>4230.2</v>
      </c>
      <c r="BK2" s="56">
        <v>4294.8999999999996</v>
      </c>
      <c r="BL2" s="56">
        <v>4386.8</v>
      </c>
      <c r="BM2" s="56">
        <v>4444.1000000000004</v>
      </c>
      <c r="BN2" s="56">
        <v>4507.8999999999996</v>
      </c>
      <c r="BO2" s="56">
        <v>4545.3</v>
      </c>
      <c r="BP2" s="56">
        <v>4607.7</v>
      </c>
      <c r="BQ2" s="56">
        <v>4657.6000000000004</v>
      </c>
      <c r="BR2" s="56">
        <v>4722.2</v>
      </c>
      <c r="BS2" s="56">
        <v>4806.2</v>
      </c>
      <c r="BT2" s="56">
        <v>4884.6000000000004</v>
      </c>
      <c r="BU2" s="56">
        <v>5008</v>
      </c>
      <c r="BV2" s="56">
        <v>5073.3999999999996</v>
      </c>
      <c r="BW2" s="56">
        <v>5190</v>
      </c>
      <c r="BX2" s="56">
        <v>5282.8</v>
      </c>
      <c r="BY2" s="56">
        <v>5399.5</v>
      </c>
      <c r="BZ2" s="56">
        <v>5511.3</v>
      </c>
      <c r="CA2" s="56">
        <v>5612.5</v>
      </c>
      <c r="CB2" s="56">
        <v>5695.4</v>
      </c>
      <c r="CC2" s="56">
        <v>5747.2</v>
      </c>
      <c r="CD2" s="56">
        <v>5872.7</v>
      </c>
      <c r="CE2" s="56">
        <v>5960</v>
      </c>
      <c r="CF2" s="56">
        <v>6015.1</v>
      </c>
      <c r="CG2" s="56">
        <v>6004.7</v>
      </c>
      <c r="CH2" s="56">
        <v>6035.2</v>
      </c>
      <c r="CI2" s="56">
        <v>6126.9</v>
      </c>
      <c r="CJ2" s="56">
        <v>6205.9</v>
      </c>
      <c r="CK2" s="56">
        <v>6264.5</v>
      </c>
      <c r="CL2" s="56">
        <v>6363.1</v>
      </c>
      <c r="CM2" s="56">
        <v>6470.8</v>
      </c>
      <c r="CN2" s="56">
        <v>6566.6</v>
      </c>
      <c r="CO2" s="56">
        <v>6680.8</v>
      </c>
      <c r="CP2" s="56">
        <v>6729.5</v>
      </c>
      <c r="CQ2" s="56">
        <v>6808.9</v>
      </c>
      <c r="CR2" s="56">
        <v>6882.1</v>
      </c>
      <c r="CS2" s="56">
        <v>7013.7</v>
      </c>
      <c r="CT2" s="56">
        <v>7115.7</v>
      </c>
      <c r="CU2" s="56">
        <v>7246.9</v>
      </c>
      <c r="CV2" s="56">
        <v>7331.1</v>
      </c>
      <c r="CW2" s="56">
        <v>7455.3</v>
      </c>
      <c r="CX2" s="56">
        <v>7522.3</v>
      </c>
      <c r="CY2" s="56">
        <v>7581</v>
      </c>
      <c r="CZ2" s="56">
        <v>7683.1</v>
      </c>
      <c r="DA2" s="56">
        <v>7772.6</v>
      </c>
      <c r="DB2" s="56">
        <v>7868.5</v>
      </c>
      <c r="DC2" s="56">
        <v>8032.8</v>
      </c>
      <c r="DD2" s="56">
        <v>8131.4</v>
      </c>
      <c r="DE2" s="56">
        <v>8259.7999999999993</v>
      </c>
      <c r="DF2" s="56">
        <v>8362.7000000000007</v>
      </c>
      <c r="DG2" s="56">
        <v>8518.7999999999993</v>
      </c>
      <c r="DH2" s="56">
        <v>8662.7999999999993</v>
      </c>
      <c r="DI2" s="56">
        <v>8765.9</v>
      </c>
      <c r="DJ2" s="56">
        <v>8866.5</v>
      </c>
      <c r="DK2" s="56">
        <v>8969.7000000000007</v>
      </c>
      <c r="DL2" s="56">
        <v>9121.1</v>
      </c>
      <c r="DM2" s="56">
        <v>9294</v>
      </c>
      <c r="DN2" s="56">
        <v>9411.7000000000007</v>
      </c>
      <c r="DO2" s="56">
        <v>9526.2000000000007</v>
      </c>
      <c r="DP2" s="56">
        <v>9686.6</v>
      </c>
      <c r="DQ2" s="56">
        <v>9900.2000000000007</v>
      </c>
      <c r="DR2" s="56">
        <v>10002.200000000001</v>
      </c>
      <c r="DS2" s="56">
        <v>10247.700000000001</v>
      </c>
      <c r="DT2" s="56">
        <v>10318.200000000001</v>
      </c>
      <c r="DU2" s="56">
        <v>10435.700000000001</v>
      </c>
      <c r="DV2" s="56">
        <v>10470.200000000001</v>
      </c>
      <c r="DW2" s="56">
        <v>10599</v>
      </c>
      <c r="DX2" s="56">
        <v>10598</v>
      </c>
      <c r="DY2" s="56">
        <v>10660.5</v>
      </c>
      <c r="DZ2" s="56">
        <v>10783.5</v>
      </c>
      <c r="EA2" s="56">
        <v>10887.5</v>
      </c>
      <c r="EB2" s="56">
        <v>10984</v>
      </c>
      <c r="EC2" s="56">
        <v>11061.4</v>
      </c>
      <c r="ED2" s="56">
        <v>11174.1</v>
      </c>
      <c r="EE2" s="56">
        <v>11312.8</v>
      </c>
      <c r="EF2" s="56">
        <v>11566.7</v>
      </c>
      <c r="EG2" s="56">
        <v>11772.2</v>
      </c>
      <c r="EH2" s="56">
        <v>11923.4</v>
      </c>
      <c r="EI2" s="56">
        <v>12112.8</v>
      </c>
      <c r="EJ2" s="56">
        <v>12305.3</v>
      </c>
      <c r="EK2" s="56">
        <v>12527.2</v>
      </c>
      <c r="EL2" s="56">
        <v>12767.3</v>
      </c>
      <c r="EM2" s="56">
        <v>12922.7</v>
      </c>
      <c r="EN2" s="56">
        <v>13142.6</v>
      </c>
      <c r="EO2" s="56">
        <v>13324.2</v>
      </c>
      <c r="EP2" s="56">
        <v>13599.2</v>
      </c>
      <c r="EQ2" s="56">
        <v>13753.4</v>
      </c>
      <c r="ER2" s="56">
        <v>13870.2</v>
      </c>
      <c r="ES2" s="56">
        <v>14039.6</v>
      </c>
      <c r="ET2" s="56">
        <v>14215.7</v>
      </c>
      <c r="EU2" s="56">
        <v>14402.1</v>
      </c>
      <c r="EV2" s="56">
        <v>14564.1</v>
      </c>
      <c r="EW2" s="56">
        <v>14715.1</v>
      </c>
      <c r="EX2" s="56">
        <v>14706.5</v>
      </c>
      <c r="EY2" s="56">
        <v>14865.7</v>
      </c>
      <c r="EZ2" s="56">
        <v>14899</v>
      </c>
      <c r="FA2" s="56">
        <v>14608.2</v>
      </c>
      <c r="FB2" s="56">
        <v>14430.9</v>
      </c>
      <c r="FC2" s="56">
        <v>14381.2</v>
      </c>
      <c r="FD2" s="56">
        <v>14448.9</v>
      </c>
      <c r="FE2" s="56">
        <v>14651.2</v>
      </c>
      <c r="FF2" s="56">
        <v>14764.6</v>
      </c>
      <c r="FG2" s="56">
        <v>14980.2</v>
      </c>
      <c r="FH2" s="56">
        <v>15141.6</v>
      </c>
      <c r="FI2" s="56">
        <v>15309.5</v>
      </c>
      <c r="FJ2" s="56">
        <v>15351.4</v>
      </c>
      <c r="FK2" s="56">
        <v>15557.5</v>
      </c>
      <c r="FL2" s="56">
        <v>15647.7</v>
      </c>
      <c r="FM2" s="56">
        <v>15842.3</v>
      </c>
      <c r="FN2" s="56">
        <v>16068.8</v>
      </c>
      <c r="FO2" s="56">
        <v>16207.1</v>
      </c>
      <c r="FP2" s="56">
        <v>16319.5</v>
      </c>
      <c r="FQ2" s="56">
        <v>16420.400000000001</v>
      </c>
      <c r="FR2" s="56">
        <v>16648.2</v>
      </c>
      <c r="FS2" s="56">
        <v>16728.7</v>
      </c>
      <c r="FT2" s="56">
        <v>16953.8</v>
      </c>
      <c r="FU2" s="56">
        <v>17192</v>
      </c>
      <c r="FV2" s="56">
        <v>17197.7</v>
      </c>
      <c r="FW2" s="56">
        <v>17518.5</v>
      </c>
      <c r="FX2" s="56">
        <v>17804.2</v>
      </c>
      <c r="FY2" s="56">
        <v>17912.099999999999</v>
      </c>
      <c r="FZ2" s="56">
        <v>18063.5</v>
      </c>
      <c r="GA2" s="56">
        <v>18279.8</v>
      </c>
      <c r="GB2" s="56">
        <v>18401.599999999999</v>
      </c>
      <c r="GC2" s="56">
        <v>18435.099999999999</v>
      </c>
      <c r="GD2" s="56">
        <v>18525.900000000001</v>
      </c>
      <c r="GE2" s="56">
        <v>18711.7</v>
      </c>
      <c r="GF2" s="56">
        <v>18892.599999999999</v>
      </c>
      <c r="GG2" s="56">
        <v>19089.400000000001</v>
      </c>
      <c r="GH2" s="56">
        <v>19280.099999999999</v>
      </c>
      <c r="GI2" s="56">
        <v>19438.599999999999</v>
      </c>
      <c r="GJ2" s="56">
        <v>19692.599999999999</v>
      </c>
      <c r="GK2" s="56">
        <v>20037.099999999999</v>
      </c>
      <c r="GL2" s="56">
        <v>20328.599999999999</v>
      </c>
      <c r="GM2" s="56">
        <v>20580.900000000001</v>
      </c>
      <c r="GN2" s="56">
        <v>20798.7</v>
      </c>
      <c r="GO2" s="56">
        <v>20917.900000000001</v>
      </c>
      <c r="GP2" s="56">
        <v>21104.1</v>
      </c>
      <c r="GQ2" s="56">
        <v>21384.799999999999</v>
      </c>
      <c r="GR2" s="56">
        <v>21694.3</v>
      </c>
      <c r="GS2" s="56">
        <v>21902.400000000001</v>
      </c>
      <c r="GT2" s="56">
        <v>21706.5</v>
      </c>
      <c r="GU2" s="56">
        <v>19913.099999999999</v>
      </c>
      <c r="GV2" s="56">
        <v>21647.599999999999</v>
      </c>
      <c r="GW2" s="56">
        <v>22024.5</v>
      </c>
      <c r="GX2" s="56">
        <v>22600.2</v>
      </c>
      <c r="GY2" s="56">
        <v>23292.400000000001</v>
      </c>
      <c r="GZ2" s="56">
        <v>23829</v>
      </c>
      <c r="HA2" s="56">
        <v>24654.6</v>
      </c>
      <c r="HB2" s="56">
        <v>25029.1</v>
      </c>
      <c r="HC2">
        <v>25544.3</v>
      </c>
      <c r="HD2">
        <v>25994.6</v>
      </c>
      <c r="HE2">
        <v>26408.400000000001</v>
      </c>
      <c r="HF2">
        <v>26813.599999999999</v>
      </c>
      <c r="HG2">
        <v>27063</v>
      </c>
      <c r="HH2">
        <v>27610.1</v>
      </c>
      <c r="HI2">
        <v>27957</v>
      </c>
      <c r="HJ2">
        <v>28269.200000000001</v>
      </c>
    </row>
    <row r="3" spans="1:218" x14ac:dyDescent="0.35">
      <c r="A3" s="56" t="s">
        <v>2198</v>
      </c>
      <c r="B3" s="56">
        <v>5300.7</v>
      </c>
      <c r="C3" s="56">
        <v>5308.2</v>
      </c>
      <c r="D3" s="56">
        <v>5357.1</v>
      </c>
      <c r="E3" s="56">
        <v>5299.7</v>
      </c>
      <c r="F3" s="56">
        <v>5443.6</v>
      </c>
      <c r="G3" s="56">
        <v>5473.1</v>
      </c>
      <c r="H3" s="56">
        <v>5518.1</v>
      </c>
      <c r="I3" s="56">
        <v>5531</v>
      </c>
      <c r="J3" s="56">
        <v>5632.6</v>
      </c>
      <c r="K3" s="56">
        <v>5760.5</v>
      </c>
      <c r="L3" s="56">
        <v>5814.9</v>
      </c>
      <c r="M3" s="56">
        <v>5912.2</v>
      </c>
      <c r="N3" s="56">
        <v>6058.5</v>
      </c>
      <c r="O3" s="56">
        <v>6124.5</v>
      </c>
      <c r="P3" s="56">
        <v>6092.3</v>
      </c>
      <c r="Q3" s="56">
        <v>6150.1</v>
      </c>
      <c r="R3" s="56">
        <v>6097.3</v>
      </c>
      <c r="S3" s="56">
        <v>6111.8</v>
      </c>
      <c r="T3" s="56">
        <v>6054</v>
      </c>
      <c r="U3" s="56">
        <v>6030.5</v>
      </c>
      <c r="V3" s="56">
        <v>5957</v>
      </c>
      <c r="W3" s="56">
        <v>5999.6</v>
      </c>
      <c r="X3" s="56">
        <v>6102.3</v>
      </c>
      <c r="Y3" s="56">
        <v>6184.5</v>
      </c>
      <c r="Z3" s="56">
        <v>6323.6</v>
      </c>
      <c r="AA3" s="56">
        <v>6370</v>
      </c>
      <c r="AB3" s="56">
        <v>6404.9</v>
      </c>
      <c r="AC3" s="56">
        <v>6451.2</v>
      </c>
      <c r="AD3" s="56">
        <v>6527.7</v>
      </c>
      <c r="AE3" s="56">
        <v>6654.5</v>
      </c>
      <c r="AF3" s="56">
        <v>6774.5</v>
      </c>
      <c r="AG3" s="56">
        <v>6774.6</v>
      </c>
      <c r="AH3" s="56">
        <v>6796.3</v>
      </c>
      <c r="AI3" s="56">
        <v>7058.9</v>
      </c>
      <c r="AJ3" s="56">
        <v>7129.9</v>
      </c>
      <c r="AK3" s="56">
        <v>7225.8</v>
      </c>
      <c r="AL3" s="56">
        <v>7238.7</v>
      </c>
      <c r="AM3" s="56">
        <v>7246.5</v>
      </c>
      <c r="AN3" s="56">
        <v>7300.3</v>
      </c>
      <c r="AO3" s="56">
        <v>7318.5</v>
      </c>
      <c r="AP3" s="56">
        <v>7341.6</v>
      </c>
      <c r="AQ3" s="56">
        <v>7190.3</v>
      </c>
      <c r="AR3" s="56">
        <v>7181.7</v>
      </c>
      <c r="AS3" s="56">
        <v>7315.7</v>
      </c>
      <c r="AT3" s="56">
        <v>7459</v>
      </c>
      <c r="AU3" s="56">
        <v>7403.7</v>
      </c>
      <c r="AV3" s="56">
        <v>7492.4</v>
      </c>
      <c r="AW3" s="56">
        <v>7410.8</v>
      </c>
      <c r="AX3" s="56">
        <v>7295.6</v>
      </c>
      <c r="AY3" s="56">
        <v>7328.9</v>
      </c>
      <c r="AZ3" s="56">
        <v>7300.9</v>
      </c>
      <c r="BA3" s="56">
        <v>7303.8</v>
      </c>
      <c r="BB3" s="56">
        <v>7400.1</v>
      </c>
      <c r="BC3" s="56">
        <v>7568.5</v>
      </c>
      <c r="BD3" s="56">
        <v>7719.7</v>
      </c>
      <c r="BE3" s="56">
        <v>7880.8</v>
      </c>
      <c r="BF3" s="56">
        <v>8034.8</v>
      </c>
      <c r="BG3" s="56">
        <v>8173.7</v>
      </c>
      <c r="BH3" s="56">
        <v>8252.5</v>
      </c>
      <c r="BI3" s="56">
        <v>8320.2000000000007</v>
      </c>
      <c r="BJ3" s="56">
        <v>8400.7999999999993</v>
      </c>
      <c r="BK3" s="56">
        <v>8474.7999999999993</v>
      </c>
      <c r="BL3" s="56">
        <v>8604.2000000000007</v>
      </c>
      <c r="BM3" s="56">
        <v>8668.2000000000007</v>
      </c>
      <c r="BN3" s="56">
        <v>8749.1</v>
      </c>
      <c r="BO3" s="56">
        <v>8788.5</v>
      </c>
      <c r="BP3" s="56">
        <v>8872.6</v>
      </c>
      <c r="BQ3" s="56">
        <v>8920.2000000000007</v>
      </c>
      <c r="BR3" s="56">
        <v>8986.4</v>
      </c>
      <c r="BS3" s="56">
        <v>9083.2999999999993</v>
      </c>
      <c r="BT3" s="56">
        <v>9162</v>
      </c>
      <c r="BU3" s="56">
        <v>9319.2999999999993</v>
      </c>
      <c r="BV3" s="56">
        <v>9367.5</v>
      </c>
      <c r="BW3" s="56">
        <v>9490.6</v>
      </c>
      <c r="BX3" s="56">
        <v>9546.2000000000007</v>
      </c>
      <c r="BY3" s="56">
        <v>9673.4</v>
      </c>
      <c r="BZ3" s="56">
        <v>9771.7000000000007</v>
      </c>
      <c r="CA3" s="56">
        <v>9846.2999999999993</v>
      </c>
      <c r="CB3" s="56">
        <v>9919.2000000000007</v>
      </c>
      <c r="CC3" s="56">
        <v>9938.7999999999993</v>
      </c>
      <c r="CD3" s="56">
        <v>10047.4</v>
      </c>
      <c r="CE3" s="56">
        <v>10083.9</v>
      </c>
      <c r="CF3" s="56">
        <v>10090.6</v>
      </c>
      <c r="CG3" s="56">
        <v>9998.7000000000007</v>
      </c>
      <c r="CH3" s="56">
        <v>9951.9</v>
      </c>
      <c r="CI3" s="56">
        <v>10029.5</v>
      </c>
      <c r="CJ3" s="56">
        <v>10080.200000000001</v>
      </c>
      <c r="CK3" s="56">
        <v>10115.299999999999</v>
      </c>
      <c r="CL3" s="56">
        <v>10236.4</v>
      </c>
      <c r="CM3" s="56">
        <v>10347.4</v>
      </c>
      <c r="CN3" s="56">
        <v>10449.700000000001</v>
      </c>
      <c r="CO3" s="56">
        <v>10558.6</v>
      </c>
      <c r="CP3" s="56">
        <v>10576.3</v>
      </c>
      <c r="CQ3" s="56">
        <v>10637.8</v>
      </c>
      <c r="CR3" s="56">
        <v>10688.6</v>
      </c>
      <c r="CS3" s="56">
        <v>10834</v>
      </c>
      <c r="CT3" s="56">
        <v>10939.1</v>
      </c>
      <c r="CU3" s="56">
        <v>11087.4</v>
      </c>
      <c r="CV3" s="56">
        <v>11152.2</v>
      </c>
      <c r="CW3" s="56">
        <v>11279.9</v>
      </c>
      <c r="CX3" s="56">
        <v>11320</v>
      </c>
      <c r="CY3" s="56">
        <v>11353.7</v>
      </c>
      <c r="CZ3" s="56">
        <v>11450.3</v>
      </c>
      <c r="DA3" s="56">
        <v>11528.1</v>
      </c>
      <c r="DB3" s="56">
        <v>11614.4</v>
      </c>
      <c r="DC3" s="56">
        <v>11808.1</v>
      </c>
      <c r="DD3" s="56">
        <v>11914.1</v>
      </c>
      <c r="DE3" s="56">
        <v>12037.8</v>
      </c>
      <c r="DF3" s="56">
        <v>12115.5</v>
      </c>
      <c r="DG3" s="56">
        <v>12317.2</v>
      </c>
      <c r="DH3" s="56">
        <v>12471</v>
      </c>
      <c r="DI3" s="56">
        <v>12577.5</v>
      </c>
      <c r="DJ3" s="56">
        <v>12703.7</v>
      </c>
      <c r="DK3" s="56">
        <v>12821.3</v>
      </c>
      <c r="DL3" s="56">
        <v>12982.8</v>
      </c>
      <c r="DM3" s="56">
        <v>13191.7</v>
      </c>
      <c r="DN3" s="56">
        <v>13315.6</v>
      </c>
      <c r="DO3" s="56">
        <v>13426.7</v>
      </c>
      <c r="DP3" s="56">
        <v>13604.8</v>
      </c>
      <c r="DQ3" s="56">
        <v>13828</v>
      </c>
      <c r="DR3" s="56">
        <v>13878.1</v>
      </c>
      <c r="DS3" s="56">
        <v>14130.9</v>
      </c>
      <c r="DT3" s="56">
        <v>14145.3</v>
      </c>
      <c r="DU3" s="56">
        <v>14229.8</v>
      </c>
      <c r="DV3" s="56">
        <v>14183.1</v>
      </c>
      <c r="DW3" s="56">
        <v>14271.7</v>
      </c>
      <c r="DX3" s="56">
        <v>14214.5</v>
      </c>
      <c r="DY3" s="56">
        <v>14253.6</v>
      </c>
      <c r="DZ3" s="56">
        <v>14372.8</v>
      </c>
      <c r="EA3" s="56">
        <v>14460.8</v>
      </c>
      <c r="EB3" s="56">
        <v>14519.6</v>
      </c>
      <c r="EC3" s="56">
        <v>14537.6</v>
      </c>
      <c r="ED3" s="56">
        <v>14614.1</v>
      </c>
      <c r="EE3" s="56">
        <v>14743.6</v>
      </c>
      <c r="EF3" s="56">
        <v>14988.8</v>
      </c>
      <c r="EG3" s="56">
        <v>15162.8</v>
      </c>
      <c r="EH3" s="56">
        <v>15248.7</v>
      </c>
      <c r="EI3" s="56">
        <v>15366.9</v>
      </c>
      <c r="EJ3" s="56">
        <v>15512.6</v>
      </c>
      <c r="EK3" s="56">
        <v>15670.9</v>
      </c>
      <c r="EL3" s="56">
        <v>15844.7</v>
      </c>
      <c r="EM3" s="56">
        <v>15922.8</v>
      </c>
      <c r="EN3" s="56">
        <v>16047.6</v>
      </c>
      <c r="EO3" s="56">
        <v>16136.7</v>
      </c>
      <c r="EP3" s="56">
        <v>16353.8</v>
      </c>
      <c r="EQ3" s="56">
        <v>16396.2</v>
      </c>
      <c r="ER3" s="56">
        <v>16420.7</v>
      </c>
      <c r="ES3" s="56">
        <v>16561.900000000001</v>
      </c>
      <c r="ET3" s="56">
        <v>16611.7</v>
      </c>
      <c r="EU3" s="56">
        <v>16713.3</v>
      </c>
      <c r="EV3" s="56">
        <v>16809.599999999999</v>
      </c>
      <c r="EW3" s="56">
        <v>16915.2</v>
      </c>
      <c r="EX3" s="56">
        <v>16843</v>
      </c>
      <c r="EY3" s="56">
        <v>16943.3</v>
      </c>
      <c r="EZ3" s="56">
        <v>16854.3</v>
      </c>
      <c r="FA3" s="56">
        <v>16485.400000000001</v>
      </c>
      <c r="FB3" s="56">
        <v>16298.3</v>
      </c>
      <c r="FC3" s="56">
        <v>16269.1</v>
      </c>
      <c r="FD3" s="56">
        <v>16326.3</v>
      </c>
      <c r="FE3" s="56">
        <v>16502.8</v>
      </c>
      <c r="FF3" s="56">
        <v>16582.7</v>
      </c>
      <c r="FG3" s="56">
        <v>16743.2</v>
      </c>
      <c r="FH3" s="56">
        <v>16872.3</v>
      </c>
      <c r="FI3" s="56">
        <v>16960.900000000001</v>
      </c>
      <c r="FJ3" s="56">
        <v>16920.599999999999</v>
      </c>
      <c r="FK3" s="56">
        <v>17035.099999999999</v>
      </c>
      <c r="FL3" s="56">
        <v>17031.3</v>
      </c>
      <c r="FM3" s="56">
        <v>17222.599999999999</v>
      </c>
      <c r="FN3" s="56">
        <v>17367</v>
      </c>
      <c r="FO3" s="56">
        <v>17444.5</v>
      </c>
      <c r="FP3" s="56">
        <v>17469.7</v>
      </c>
      <c r="FQ3" s="56">
        <v>17489.900000000001</v>
      </c>
      <c r="FR3" s="56">
        <v>17662.400000000001</v>
      </c>
      <c r="FS3" s="56">
        <v>17709.7</v>
      </c>
      <c r="FT3" s="56">
        <v>17860.5</v>
      </c>
      <c r="FU3" s="56">
        <v>18016.099999999999</v>
      </c>
      <c r="FV3" s="56">
        <v>17954</v>
      </c>
      <c r="FW3" s="56">
        <v>18185.900000000001</v>
      </c>
      <c r="FX3" s="56">
        <v>18406.900000000001</v>
      </c>
      <c r="FY3" s="56">
        <v>18500</v>
      </c>
      <c r="FZ3" s="56">
        <v>18666.599999999999</v>
      </c>
      <c r="GA3" s="56">
        <v>18782.2</v>
      </c>
      <c r="GB3" s="56">
        <v>18857.400000000001</v>
      </c>
      <c r="GC3" s="56">
        <v>18892.2</v>
      </c>
      <c r="GD3" s="56">
        <v>19001.7</v>
      </c>
      <c r="GE3" s="56">
        <v>19062.7</v>
      </c>
      <c r="GF3" s="56">
        <v>19197.900000000001</v>
      </c>
      <c r="GG3" s="56">
        <v>19304.400000000001</v>
      </c>
      <c r="GH3" s="56">
        <v>19398.3</v>
      </c>
      <c r="GI3" s="56">
        <v>19506.900000000001</v>
      </c>
      <c r="GJ3" s="56">
        <v>19660.8</v>
      </c>
      <c r="GK3" s="56">
        <v>19882.400000000001</v>
      </c>
      <c r="GL3" s="56">
        <v>20044.099999999999</v>
      </c>
      <c r="GM3" s="56">
        <v>20150.5</v>
      </c>
      <c r="GN3" s="56">
        <v>20276.2</v>
      </c>
      <c r="GO3" s="56">
        <v>20304.900000000001</v>
      </c>
      <c r="GP3" s="56">
        <v>20415.2</v>
      </c>
      <c r="GQ3" s="56">
        <v>20584.5</v>
      </c>
      <c r="GR3" s="56">
        <v>20817.599999999999</v>
      </c>
      <c r="GS3" s="56">
        <v>20951.099999999999</v>
      </c>
      <c r="GT3" s="56">
        <v>20665.599999999999</v>
      </c>
      <c r="GU3" s="56">
        <v>19034.8</v>
      </c>
      <c r="GV3" s="56">
        <v>20511.8</v>
      </c>
      <c r="GW3" s="56">
        <v>20724.099999999999</v>
      </c>
      <c r="GX3" s="56">
        <v>20990.5</v>
      </c>
      <c r="GY3" s="56">
        <v>21309.5</v>
      </c>
      <c r="GZ3" s="56">
        <v>21483.1</v>
      </c>
      <c r="HA3" s="56">
        <v>21847.599999999999</v>
      </c>
      <c r="HB3" s="56">
        <v>21738.9</v>
      </c>
      <c r="HC3">
        <v>21708.2</v>
      </c>
      <c r="HD3">
        <v>21851.1</v>
      </c>
      <c r="HE3">
        <v>21990</v>
      </c>
      <c r="HF3">
        <v>22112.3</v>
      </c>
      <c r="HG3">
        <v>22225.4</v>
      </c>
      <c r="HH3">
        <v>22490.7</v>
      </c>
      <c r="HI3">
        <v>22679.3</v>
      </c>
      <c r="HJ3">
        <v>22758.799999999999</v>
      </c>
    </row>
    <row r="4" spans="1:218" x14ac:dyDescent="0.35">
      <c r="A4" s="56" t="s">
        <v>2199</v>
      </c>
      <c r="B4" s="56">
        <v>19.823</v>
      </c>
      <c r="C4" s="56">
        <v>20.109000000000002</v>
      </c>
      <c r="D4" s="56">
        <v>20.274000000000001</v>
      </c>
      <c r="E4" s="56">
        <v>20.539000000000001</v>
      </c>
      <c r="F4" s="56">
        <v>20.85</v>
      </c>
      <c r="G4" s="56">
        <v>21.13</v>
      </c>
      <c r="H4" s="56">
        <v>21.343</v>
      </c>
      <c r="I4" s="56">
        <v>21.52</v>
      </c>
      <c r="J4" s="56">
        <v>21.864999999999998</v>
      </c>
      <c r="K4" s="56">
        <v>21.998999999999999</v>
      </c>
      <c r="L4" s="56">
        <v>22.198</v>
      </c>
      <c r="M4" s="56">
        <v>22.45</v>
      </c>
      <c r="N4" s="56">
        <v>22.734999999999999</v>
      </c>
      <c r="O4" s="56">
        <v>23.111000000000001</v>
      </c>
      <c r="P4" s="56">
        <v>23.553000000000001</v>
      </c>
      <c r="Q4" s="56">
        <v>23.960999999999999</v>
      </c>
      <c r="R4" s="56">
        <v>24.446000000000002</v>
      </c>
      <c r="S4" s="56">
        <v>24.989000000000001</v>
      </c>
      <c r="T4" s="56">
        <v>25.759</v>
      </c>
      <c r="U4" s="56">
        <v>26.541</v>
      </c>
      <c r="V4" s="56">
        <v>27.140999999999998</v>
      </c>
      <c r="W4" s="56">
        <v>27.533999999999999</v>
      </c>
      <c r="X4" s="56">
        <v>28.021000000000001</v>
      </c>
      <c r="Y4" s="56">
        <v>28.489000000000001</v>
      </c>
      <c r="Z4" s="56">
        <v>28.8</v>
      </c>
      <c r="AA4" s="56">
        <v>29.088000000000001</v>
      </c>
      <c r="AB4" s="56">
        <v>29.459</v>
      </c>
      <c r="AC4" s="56">
        <v>29.96</v>
      </c>
      <c r="AD4" s="56">
        <v>30.443000000000001</v>
      </c>
      <c r="AE4" s="56">
        <v>30.925000000000001</v>
      </c>
      <c r="AF4" s="56">
        <v>31.350999999999999</v>
      </c>
      <c r="AG4" s="56">
        <v>31.875</v>
      </c>
      <c r="AH4" s="56">
        <v>32.396999999999998</v>
      </c>
      <c r="AI4" s="56">
        <v>33.042999999999999</v>
      </c>
      <c r="AJ4" s="56">
        <v>33.625999999999998</v>
      </c>
      <c r="AK4" s="56">
        <v>34.290999999999997</v>
      </c>
      <c r="AL4" s="56">
        <v>34.930999999999997</v>
      </c>
      <c r="AM4" s="56">
        <v>35.774999999999999</v>
      </c>
      <c r="AN4" s="56">
        <v>36.521999999999998</v>
      </c>
      <c r="AO4" s="56">
        <v>37.188000000000002</v>
      </c>
      <c r="AP4" s="56">
        <v>38.000999999999998</v>
      </c>
      <c r="AQ4" s="56">
        <v>38.902999999999999</v>
      </c>
      <c r="AR4" s="56">
        <v>39.770000000000003</v>
      </c>
      <c r="AS4" s="56">
        <v>40.825000000000003</v>
      </c>
      <c r="AT4" s="56">
        <v>41.906999999999996</v>
      </c>
      <c r="AU4" s="56">
        <v>42.694000000000003</v>
      </c>
      <c r="AV4" s="56">
        <v>43.524000000000001</v>
      </c>
      <c r="AW4" s="56">
        <v>44.243000000000002</v>
      </c>
      <c r="AX4" s="56">
        <v>44.877000000000002</v>
      </c>
      <c r="AY4" s="56">
        <v>45.472999999999999</v>
      </c>
      <c r="AZ4" s="56">
        <v>46.103999999999999</v>
      </c>
      <c r="BA4" s="56">
        <v>46.570999999999998</v>
      </c>
      <c r="BB4" s="56">
        <v>46.942999999999998</v>
      </c>
      <c r="BC4" s="56">
        <v>47.290999999999997</v>
      </c>
      <c r="BD4" s="56">
        <v>47.793999999999997</v>
      </c>
      <c r="BE4" s="56">
        <v>48.151000000000003</v>
      </c>
      <c r="BF4" s="56">
        <v>48.625999999999998</v>
      </c>
      <c r="BG4" s="56">
        <v>49.063000000000002</v>
      </c>
      <c r="BH4" s="56">
        <v>49.506</v>
      </c>
      <c r="BI4" s="56">
        <v>49.851999999999997</v>
      </c>
      <c r="BJ4" s="56">
        <v>50.363</v>
      </c>
      <c r="BK4" s="56">
        <v>50.66</v>
      </c>
      <c r="BL4" s="56">
        <v>50.997</v>
      </c>
      <c r="BM4" s="56">
        <v>51.262</v>
      </c>
      <c r="BN4" s="56">
        <v>51.515000000000001</v>
      </c>
      <c r="BO4" s="56">
        <v>51.695</v>
      </c>
      <c r="BP4" s="56">
        <v>51.941000000000003</v>
      </c>
      <c r="BQ4" s="56">
        <v>52.25</v>
      </c>
      <c r="BR4" s="56">
        <v>52.554000000000002</v>
      </c>
      <c r="BS4" s="56">
        <v>52.911000000000001</v>
      </c>
      <c r="BT4" s="56">
        <v>53.32</v>
      </c>
      <c r="BU4" s="56">
        <v>53.72</v>
      </c>
      <c r="BV4" s="56">
        <v>54.134999999999998</v>
      </c>
      <c r="BW4" s="56">
        <v>54.676000000000002</v>
      </c>
      <c r="BX4" s="56">
        <v>55.344999999999999</v>
      </c>
      <c r="BY4" s="56">
        <v>55.853999999999999</v>
      </c>
      <c r="BZ4" s="56">
        <v>56.392000000000003</v>
      </c>
      <c r="CA4" s="56">
        <v>57.002000000000002</v>
      </c>
      <c r="CB4" s="56">
        <v>57.424999999999997</v>
      </c>
      <c r="CC4" s="56">
        <v>57.817</v>
      </c>
      <c r="CD4" s="56">
        <v>58.447000000000003</v>
      </c>
      <c r="CE4" s="56">
        <v>59.100999999999999</v>
      </c>
      <c r="CF4" s="56">
        <v>59.612000000000002</v>
      </c>
      <c r="CG4" s="56">
        <v>60.067</v>
      </c>
      <c r="CH4" s="56">
        <v>60.651000000000003</v>
      </c>
      <c r="CI4" s="56">
        <v>61.088000000000001</v>
      </c>
      <c r="CJ4" s="56">
        <v>61.557000000000002</v>
      </c>
      <c r="CK4" s="56">
        <v>61.914999999999999</v>
      </c>
      <c r="CL4" s="56">
        <v>62.161999999999999</v>
      </c>
      <c r="CM4" s="56">
        <v>62.533000000000001</v>
      </c>
      <c r="CN4" s="56">
        <v>62.832999999999998</v>
      </c>
      <c r="CO4" s="56">
        <v>63.274999999999999</v>
      </c>
      <c r="CP4" s="56">
        <v>63.652000000000001</v>
      </c>
      <c r="CQ4" s="56">
        <v>64.027000000000001</v>
      </c>
      <c r="CR4" s="56">
        <v>64.349000000000004</v>
      </c>
      <c r="CS4" s="56">
        <v>64.727000000000004</v>
      </c>
      <c r="CT4" s="56">
        <v>65.058000000000007</v>
      </c>
      <c r="CU4" s="56">
        <v>65.369</v>
      </c>
      <c r="CV4" s="56">
        <v>65.716999999999999</v>
      </c>
      <c r="CW4" s="56">
        <v>66.082999999999998</v>
      </c>
      <c r="CX4" s="56">
        <v>66.459999999999994</v>
      </c>
      <c r="CY4" s="56">
        <v>66.784999999999997</v>
      </c>
      <c r="CZ4" s="56">
        <v>67.084000000000003</v>
      </c>
      <c r="DA4" s="56">
        <v>67.400999999999996</v>
      </c>
      <c r="DB4" s="56">
        <v>67.712000000000003</v>
      </c>
      <c r="DC4" s="56">
        <v>67.988</v>
      </c>
      <c r="DD4" s="56">
        <v>68.317999999999998</v>
      </c>
      <c r="DE4" s="56">
        <v>68.606999999999999</v>
      </c>
      <c r="DF4" s="56">
        <v>68.915000000000006</v>
      </c>
      <c r="DG4" s="56">
        <v>69.257999999999996</v>
      </c>
      <c r="DH4" s="56">
        <v>69.463999999999999</v>
      </c>
      <c r="DI4" s="56">
        <v>69.712999999999994</v>
      </c>
      <c r="DJ4" s="56">
        <v>69.783000000000001</v>
      </c>
      <c r="DK4" s="56">
        <v>69.963999999999999</v>
      </c>
      <c r="DL4" s="56">
        <v>70.234999999999999</v>
      </c>
      <c r="DM4" s="56">
        <v>70.424000000000007</v>
      </c>
      <c r="DN4" s="56">
        <v>70.614999999999995</v>
      </c>
      <c r="DO4" s="56">
        <v>70.933999999999997</v>
      </c>
      <c r="DP4" s="56">
        <v>71.206999999999994</v>
      </c>
      <c r="DQ4" s="56">
        <v>71.581000000000003</v>
      </c>
      <c r="DR4" s="56">
        <v>72.058000000000007</v>
      </c>
      <c r="DS4" s="56">
        <v>72.491</v>
      </c>
      <c r="DT4" s="56">
        <v>72.944999999999993</v>
      </c>
      <c r="DU4" s="56">
        <v>73.340999999999994</v>
      </c>
      <c r="DV4" s="56">
        <v>73.843000000000004</v>
      </c>
      <c r="DW4" s="56">
        <v>74.334999999999994</v>
      </c>
      <c r="DX4" s="56">
        <v>74.56</v>
      </c>
      <c r="DY4" s="56">
        <v>74.801000000000002</v>
      </c>
      <c r="DZ4" s="56">
        <v>74.998000000000005</v>
      </c>
      <c r="EA4" s="56">
        <v>75.295000000000002</v>
      </c>
      <c r="EB4" s="56">
        <v>75.632999999999996</v>
      </c>
      <c r="EC4" s="56">
        <v>76.072999999999993</v>
      </c>
      <c r="ED4" s="56">
        <v>76.481999999999999</v>
      </c>
      <c r="EE4" s="56">
        <v>76.745999999999995</v>
      </c>
      <c r="EF4" s="56">
        <v>77.185000000000002</v>
      </c>
      <c r="EG4" s="56">
        <v>77.632999999999996</v>
      </c>
      <c r="EH4" s="56">
        <v>78.191000000000003</v>
      </c>
      <c r="EI4" s="56">
        <v>78.825000000000003</v>
      </c>
      <c r="EJ4" s="56">
        <v>79.322999999999993</v>
      </c>
      <c r="EK4" s="56">
        <v>79.936000000000007</v>
      </c>
      <c r="EL4" s="56">
        <v>80.55</v>
      </c>
      <c r="EM4" s="56">
        <v>81.137</v>
      </c>
      <c r="EN4" s="56">
        <v>81.905000000000001</v>
      </c>
      <c r="EO4" s="56">
        <v>82.557000000000002</v>
      </c>
      <c r="EP4" s="56">
        <v>83.135000000000005</v>
      </c>
      <c r="EQ4" s="56">
        <v>83.870999999999995</v>
      </c>
      <c r="ER4" s="56">
        <v>84.486000000000004</v>
      </c>
      <c r="ES4" s="56">
        <v>84.805999999999997</v>
      </c>
      <c r="ET4" s="56">
        <v>85.655000000000001</v>
      </c>
      <c r="EU4" s="56">
        <v>86.200999999999993</v>
      </c>
      <c r="EV4" s="56">
        <v>86.567999999999998</v>
      </c>
      <c r="EW4" s="56">
        <v>86.981999999999999</v>
      </c>
      <c r="EX4" s="56">
        <v>87.358999999999995</v>
      </c>
      <c r="EY4" s="56">
        <v>87.677999999999997</v>
      </c>
      <c r="EZ4" s="56">
        <v>88.361000000000004</v>
      </c>
      <c r="FA4" s="56">
        <v>88.510999999999996</v>
      </c>
      <c r="FB4" s="56">
        <v>88.536000000000001</v>
      </c>
      <c r="FC4" s="56">
        <v>88.418000000000006</v>
      </c>
      <c r="FD4" s="56">
        <v>88.474000000000004</v>
      </c>
      <c r="FE4" s="56">
        <v>88.798000000000002</v>
      </c>
      <c r="FF4" s="56">
        <v>89.018000000000001</v>
      </c>
      <c r="FG4" s="56">
        <v>89.430999999999997</v>
      </c>
      <c r="FH4" s="56">
        <v>89.754999999999995</v>
      </c>
      <c r="FI4" s="56">
        <v>90.27</v>
      </c>
      <c r="FJ4" s="56">
        <v>90.71</v>
      </c>
      <c r="FK4" s="56">
        <v>91.363</v>
      </c>
      <c r="FL4" s="56">
        <v>91.84</v>
      </c>
      <c r="FM4" s="56">
        <v>91.950999999999993</v>
      </c>
      <c r="FN4" s="56">
        <v>92.495000000000005</v>
      </c>
      <c r="FO4" s="56">
        <v>92.881</v>
      </c>
      <c r="FP4" s="56">
        <v>93.459000000000003</v>
      </c>
      <c r="FQ4" s="56">
        <v>93.869</v>
      </c>
      <c r="FR4" s="56">
        <v>94.203999999999994</v>
      </c>
      <c r="FS4" s="56">
        <v>94.474000000000004</v>
      </c>
      <c r="FT4" s="56">
        <v>94.989000000000004</v>
      </c>
      <c r="FU4" s="56">
        <v>95.477000000000004</v>
      </c>
      <c r="FV4" s="56">
        <v>95.84</v>
      </c>
      <c r="FW4" s="56">
        <v>96.343000000000004</v>
      </c>
      <c r="FX4" s="56">
        <v>96.762</v>
      </c>
      <c r="FY4" s="56">
        <v>96.8</v>
      </c>
      <c r="FZ4" s="56">
        <v>96.742000000000004</v>
      </c>
      <c r="GA4" s="56">
        <v>97.302000000000007</v>
      </c>
      <c r="GB4" s="56">
        <v>97.536000000000001</v>
      </c>
      <c r="GC4" s="56">
        <v>97.527000000000001</v>
      </c>
      <c r="GD4" s="56">
        <v>97.468000000000004</v>
      </c>
      <c r="GE4" s="56">
        <v>98.108000000000004</v>
      </c>
      <c r="GF4" s="56">
        <v>98.372</v>
      </c>
      <c r="GG4" s="56">
        <v>98.884</v>
      </c>
      <c r="GH4" s="56">
        <v>99.388999999999996</v>
      </c>
      <c r="GI4" s="56">
        <v>99.656000000000006</v>
      </c>
      <c r="GJ4" s="56">
        <v>100.17400000000001</v>
      </c>
      <c r="GK4" s="56">
        <v>100.78</v>
      </c>
      <c r="GL4" s="56">
        <v>101.428</v>
      </c>
      <c r="GM4" s="56">
        <v>102.14</v>
      </c>
      <c r="GN4" s="56">
        <v>102.586</v>
      </c>
      <c r="GO4" s="56">
        <v>103.005</v>
      </c>
      <c r="GP4" s="56">
        <v>103.375</v>
      </c>
      <c r="GQ4" s="56">
        <v>103.878</v>
      </c>
      <c r="GR4" s="56">
        <v>104.21299999999999</v>
      </c>
      <c r="GS4" s="56">
        <v>104.566</v>
      </c>
      <c r="GT4" s="56">
        <v>105.042</v>
      </c>
      <c r="GU4" s="56">
        <v>104.661</v>
      </c>
      <c r="GV4" s="56">
        <v>105.593</v>
      </c>
      <c r="GW4" s="56">
        <v>106.33</v>
      </c>
      <c r="GX4" s="56">
        <v>107.73099999999999</v>
      </c>
      <c r="GY4" s="56">
        <v>109.33199999999999</v>
      </c>
      <c r="GZ4" s="56">
        <v>110.95699999999999</v>
      </c>
      <c r="HA4" s="56">
        <v>112.858</v>
      </c>
      <c r="HB4" s="56">
        <v>115.182</v>
      </c>
      <c r="HC4">
        <v>117.70399999999999</v>
      </c>
      <c r="HD4">
        <v>118.98</v>
      </c>
      <c r="HE4">
        <v>120.11499999999999</v>
      </c>
      <c r="HF4">
        <v>121.264</v>
      </c>
      <c r="HG4">
        <v>121.789</v>
      </c>
      <c r="HH4">
        <v>122.792</v>
      </c>
      <c r="HI4">
        <v>123.289</v>
      </c>
      <c r="HJ4">
        <v>124.227</v>
      </c>
    </row>
    <row r="5" spans="1:218" x14ac:dyDescent="0.35">
      <c r="A5" s="56" t="s">
        <v>2200</v>
      </c>
      <c r="B5" s="56">
        <v>631.70000000000005</v>
      </c>
      <c r="C5" s="56">
        <v>641.6</v>
      </c>
      <c r="D5" s="56">
        <v>653.5</v>
      </c>
      <c r="E5" s="56">
        <v>660.2</v>
      </c>
      <c r="F5" s="56">
        <v>679.2</v>
      </c>
      <c r="G5" s="56">
        <v>693.2</v>
      </c>
      <c r="H5" s="56">
        <v>705.6</v>
      </c>
      <c r="I5" s="56">
        <v>721.7</v>
      </c>
      <c r="J5" s="56">
        <v>738.9</v>
      </c>
      <c r="K5" s="56">
        <v>757.4</v>
      </c>
      <c r="L5" s="56">
        <v>775.8</v>
      </c>
      <c r="M5" s="56">
        <v>800.5</v>
      </c>
      <c r="N5" s="56">
        <v>825</v>
      </c>
      <c r="O5" s="56">
        <v>840.5</v>
      </c>
      <c r="P5" s="56">
        <v>858.9</v>
      </c>
      <c r="Q5" s="56">
        <v>873.9</v>
      </c>
      <c r="R5" s="56">
        <v>891.9</v>
      </c>
      <c r="S5" s="56">
        <v>920.4</v>
      </c>
      <c r="T5" s="56">
        <v>949.3</v>
      </c>
      <c r="U5" s="56">
        <v>959.1</v>
      </c>
      <c r="V5" s="56">
        <v>985.2</v>
      </c>
      <c r="W5" s="56">
        <v>1013.6</v>
      </c>
      <c r="X5" s="56">
        <v>1047.2</v>
      </c>
      <c r="Y5" s="56">
        <v>1076.2</v>
      </c>
      <c r="Z5" s="56">
        <v>1109.9000000000001</v>
      </c>
      <c r="AA5" s="56">
        <v>1129.5</v>
      </c>
      <c r="AB5" s="56">
        <v>1158.8</v>
      </c>
      <c r="AC5" s="56">
        <v>1192.4000000000001</v>
      </c>
      <c r="AD5" s="56">
        <v>1228.2</v>
      </c>
      <c r="AE5" s="56">
        <v>1256</v>
      </c>
      <c r="AF5" s="56">
        <v>1286.9000000000001</v>
      </c>
      <c r="AG5" s="56">
        <v>1324.8</v>
      </c>
      <c r="AH5" s="56">
        <v>1354.1</v>
      </c>
      <c r="AI5" s="56">
        <v>1411.4</v>
      </c>
      <c r="AJ5" s="56">
        <v>1442.2</v>
      </c>
      <c r="AK5" s="56">
        <v>1481.4</v>
      </c>
      <c r="AL5" s="56">
        <v>1517.1</v>
      </c>
      <c r="AM5" s="56">
        <v>1557.6</v>
      </c>
      <c r="AN5" s="56">
        <v>1611.9</v>
      </c>
      <c r="AO5" s="56">
        <v>1655</v>
      </c>
      <c r="AP5" s="56">
        <v>1702.3</v>
      </c>
      <c r="AQ5" s="56">
        <v>1704.7</v>
      </c>
      <c r="AR5" s="56">
        <v>1763.8</v>
      </c>
      <c r="AS5" s="56">
        <v>1831.9</v>
      </c>
      <c r="AT5" s="56">
        <v>1885.7</v>
      </c>
      <c r="AU5" s="56">
        <v>1917.5</v>
      </c>
      <c r="AV5" s="56">
        <v>1958.1</v>
      </c>
      <c r="AW5" s="56">
        <v>1974.4</v>
      </c>
      <c r="AX5" s="56">
        <v>2014.2</v>
      </c>
      <c r="AY5" s="56">
        <v>2039.6</v>
      </c>
      <c r="AZ5" s="56">
        <v>2085.6999999999998</v>
      </c>
      <c r="BA5" s="56">
        <v>2145.6</v>
      </c>
      <c r="BB5" s="56">
        <v>2184.6</v>
      </c>
      <c r="BC5" s="56">
        <v>2249.4</v>
      </c>
      <c r="BD5" s="56">
        <v>2319.9</v>
      </c>
      <c r="BE5" s="56">
        <v>2372.5</v>
      </c>
      <c r="BF5" s="56">
        <v>2418.1999999999998</v>
      </c>
      <c r="BG5" s="56">
        <v>2475.9</v>
      </c>
      <c r="BH5" s="56">
        <v>2513.5</v>
      </c>
      <c r="BI5" s="56">
        <v>2561.8000000000002</v>
      </c>
      <c r="BJ5" s="56">
        <v>2636</v>
      </c>
      <c r="BK5" s="56">
        <v>2681.8</v>
      </c>
      <c r="BL5" s="56">
        <v>2754.1</v>
      </c>
      <c r="BM5" s="56">
        <v>2779.4</v>
      </c>
      <c r="BN5" s="56">
        <v>2823.6</v>
      </c>
      <c r="BO5" s="56">
        <v>2851.5</v>
      </c>
      <c r="BP5" s="56">
        <v>2917.2</v>
      </c>
      <c r="BQ5" s="56">
        <v>2952.8</v>
      </c>
      <c r="BR5" s="56">
        <v>2983.5</v>
      </c>
      <c r="BS5" s="56">
        <v>3053.3</v>
      </c>
      <c r="BT5" s="56">
        <v>3117.4</v>
      </c>
      <c r="BU5" s="56">
        <v>3150.9</v>
      </c>
      <c r="BV5" s="56">
        <v>3231.9</v>
      </c>
      <c r="BW5" s="56">
        <v>3291.7</v>
      </c>
      <c r="BX5" s="56">
        <v>3361.9</v>
      </c>
      <c r="BY5" s="56">
        <v>3434.5</v>
      </c>
      <c r="BZ5" s="56">
        <v>3490.2</v>
      </c>
      <c r="CA5" s="56">
        <v>3553.8</v>
      </c>
      <c r="CB5" s="56">
        <v>3609.4</v>
      </c>
      <c r="CC5" s="56">
        <v>3653.7</v>
      </c>
      <c r="CD5" s="56">
        <v>3737.9</v>
      </c>
      <c r="CE5" s="56">
        <v>3783.4</v>
      </c>
      <c r="CF5" s="56">
        <v>3846.7</v>
      </c>
      <c r="CG5" s="56">
        <v>3867.9</v>
      </c>
      <c r="CH5" s="56">
        <v>3873.6</v>
      </c>
      <c r="CI5" s="56">
        <v>3926.9</v>
      </c>
      <c r="CJ5" s="56">
        <v>3973.3</v>
      </c>
      <c r="CK5" s="56">
        <v>4000</v>
      </c>
      <c r="CL5" s="56">
        <v>4100.3999999999996</v>
      </c>
      <c r="CM5" s="56">
        <v>4155.7</v>
      </c>
      <c r="CN5" s="56">
        <v>4227</v>
      </c>
      <c r="CO5" s="56">
        <v>4307.2</v>
      </c>
      <c r="CP5" s="56">
        <v>4349.5</v>
      </c>
      <c r="CQ5" s="56">
        <v>4418.6000000000004</v>
      </c>
      <c r="CR5" s="56">
        <v>4487.2</v>
      </c>
      <c r="CS5" s="56">
        <v>4552.7</v>
      </c>
      <c r="CT5" s="56">
        <v>4621.2</v>
      </c>
      <c r="CU5" s="56">
        <v>4683.2</v>
      </c>
      <c r="CV5" s="56">
        <v>4752.8</v>
      </c>
      <c r="CW5" s="56">
        <v>4826.7</v>
      </c>
      <c r="CX5" s="56">
        <v>4862.3999999999996</v>
      </c>
      <c r="CY5" s="56">
        <v>4933.6000000000004</v>
      </c>
      <c r="CZ5" s="56">
        <v>4998.7</v>
      </c>
      <c r="DA5" s="56">
        <v>5055.7</v>
      </c>
      <c r="DB5" s="56">
        <v>5130.6000000000004</v>
      </c>
      <c r="DC5" s="56">
        <v>5220.5</v>
      </c>
      <c r="DD5" s="56">
        <v>5274.5</v>
      </c>
      <c r="DE5" s="56">
        <v>5352.8</v>
      </c>
      <c r="DF5" s="56">
        <v>5433.1</v>
      </c>
      <c r="DG5" s="56">
        <v>5471.3</v>
      </c>
      <c r="DH5" s="56">
        <v>5579.2</v>
      </c>
      <c r="DI5" s="56">
        <v>5663.6</v>
      </c>
      <c r="DJ5" s="56">
        <v>5721.3</v>
      </c>
      <c r="DK5" s="56">
        <v>5832.6</v>
      </c>
      <c r="DL5" s="56">
        <v>5926.8</v>
      </c>
      <c r="DM5" s="56">
        <v>6028.2</v>
      </c>
      <c r="DN5" s="56">
        <v>6102</v>
      </c>
      <c r="DO5" s="56">
        <v>6230.6</v>
      </c>
      <c r="DP5" s="56">
        <v>6335.3</v>
      </c>
      <c r="DQ5" s="56">
        <v>6467</v>
      </c>
      <c r="DR5" s="56">
        <v>6618.2</v>
      </c>
      <c r="DS5" s="56">
        <v>6711.9</v>
      </c>
      <c r="DT5" s="56">
        <v>6820</v>
      </c>
      <c r="DU5" s="56">
        <v>6918.6</v>
      </c>
      <c r="DV5" s="56">
        <v>6995.3</v>
      </c>
      <c r="DW5" s="56">
        <v>7042.3</v>
      </c>
      <c r="DX5" s="56">
        <v>7070.3</v>
      </c>
      <c r="DY5" s="56">
        <v>7187.3</v>
      </c>
      <c r="DZ5" s="56">
        <v>7217.7</v>
      </c>
      <c r="EA5" s="56">
        <v>7308</v>
      </c>
      <c r="EB5" s="56">
        <v>7397.1</v>
      </c>
      <c r="EC5" s="56">
        <v>7473</v>
      </c>
      <c r="ED5" s="56">
        <v>7567.2</v>
      </c>
      <c r="EE5" s="56">
        <v>7661.5</v>
      </c>
      <c r="EF5" s="56">
        <v>7820.9</v>
      </c>
      <c r="EG5" s="56">
        <v>7913.5</v>
      </c>
      <c r="EH5" s="56">
        <v>8048.8</v>
      </c>
      <c r="EI5" s="56">
        <v>8147.1</v>
      </c>
      <c r="EJ5" s="56">
        <v>8283.2999999999993</v>
      </c>
      <c r="EK5" s="56">
        <v>8448.6</v>
      </c>
      <c r="EL5" s="56">
        <v>8551.7000000000007</v>
      </c>
      <c r="EM5" s="56">
        <v>8701.1</v>
      </c>
      <c r="EN5" s="56">
        <v>8868.1</v>
      </c>
      <c r="EO5" s="56">
        <v>8955.2999999999993</v>
      </c>
      <c r="EP5" s="56">
        <v>9100.2000000000007</v>
      </c>
      <c r="EQ5" s="56">
        <v>9227.6</v>
      </c>
      <c r="ER5" s="56">
        <v>9353.7999999999993</v>
      </c>
      <c r="ES5" s="56">
        <v>9427.4</v>
      </c>
      <c r="ET5" s="56">
        <v>9572.1</v>
      </c>
      <c r="EU5" s="56">
        <v>9678.7000000000007</v>
      </c>
      <c r="EV5" s="56">
        <v>9798.4</v>
      </c>
      <c r="EW5" s="56">
        <v>9937.1</v>
      </c>
      <c r="EX5" s="56">
        <v>10004.4</v>
      </c>
      <c r="EY5" s="56">
        <v>10129.9</v>
      </c>
      <c r="EZ5" s="56">
        <v>10159.1</v>
      </c>
      <c r="FA5" s="56">
        <v>9906.9</v>
      </c>
      <c r="FB5" s="56">
        <v>9815</v>
      </c>
      <c r="FC5" s="56">
        <v>9805.5</v>
      </c>
      <c r="FD5" s="56">
        <v>9939.4</v>
      </c>
      <c r="FE5" s="56">
        <v>10005</v>
      </c>
      <c r="FF5" s="56">
        <v>10101.799999999999</v>
      </c>
      <c r="FG5" s="56">
        <v>10208.1</v>
      </c>
      <c r="FH5" s="56">
        <v>10300.799999999999</v>
      </c>
      <c r="FI5" s="56">
        <v>10430.299999999999</v>
      </c>
      <c r="FJ5" s="56">
        <v>10558.2</v>
      </c>
      <c r="FK5" s="56">
        <v>10673</v>
      </c>
      <c r="FL5" s="56">
        <v>10755</v>
      </c>
      <c r="FM5" s="56">
        <v>10809.2</v>
      </c>
      <c r="FN5" s="56">
        <v>10959.3</v>
      </c>
      <c r="FO5" s="56">
        <v>11005.1</v>
      </c>
      <c r="FP5" s="56">
        <v>11059.4</v>
      </c>
      <c r="FQ5" s="56">
        <v>11165.7</v>
      </c>
      <c r="FR5" s="56">
        <v>11277.7</v>
      </c>
      <c r="FS5" s="56">
        <v>11315.7</v>
      </c>
      <c r="FT5" s="56">
        <v>11408.4</v>
      </c>
      <c r="FU5" s="56">
        <v>11551.2</v>
      </c>
      <c r="FV5" s="56">
        <v>11646</v>
      </c>
      <c r="FW5" s="56">
        <v>11810.5</v>
      </c>
      <c r="FX5" s="56">
        <v>11959.8</v>
      </c>
      <c r="FY5" s="56">
        <v>12081.6</v>
      </c>
      <c r="FZ5" s="56">
        <v>12119.8</v>
      </c>
      <c r="GA5" s="56">
        <v>12264.1</v>
      </c>
      <c r="GB5" s="56">
        <v>12382.5</v>
      </c>
      <c r="GC5" s="56">
        <v>12423.4</v>
      </c>
      <c r="GD5" s="56">
        <v>12523.2</v>
      </c>
      <c r="GE5" s="56">
        <v>12665.1</v>
      </c>
      <c r="GF5" s="56">
        <v>12797.1</v>
      </c>
      <c r="GG5" s="56">
        <v>12922</v>
      </c>
      <c r="GH5" s="56">
        <v>13097.3</v>
      </c>
      <c r="GI5" s="56">
        <v>13188.7</v>
      </c>
      <c r="GJ5" s="56">
        <v>13325.1</v>
      </c>
      <c r="GK5" s="56">
        <v>13551.4</v>
      </c>
      <c r="GL5" s="56">
        <v>13745.1</v>
      </c>
      <c r="GM5" s="56">
        <v>13891.3</v>
      </c>
      <c r="GN5" s="56">
        <v>14002.2</v>
      </c>
      <c r="GO5" s="56">
        <v>14099.2</v>
      </c>
      <c r="GP5" s="56">
        <v>14148</v>
      </c>
      <c r="GQ5" s="56">
        <v>14336.8</v>
      </c>
      <c r="GR5" s="56">
        <v>14517.7</v>
      </c>
      <c r="GS5" s="56">
        <v>14668</v>
      </c>
      <c r="GT5" s="56">
        <v>14473.1</v>
      </c>
      <c r="GU5" s="56">
        <v>13168.9</v>
      </c>
      <c r="GV5" s="56">
        <v>14456.2</v>
      </c>
      <c r="GW5" s="56">
        <v>14726.7</v>
      </c>
      <c r="GX5" s="56">
        <v>15217.7</v>
      </c>
      <c r="GY5" s="56">
        <v>15950.9</v>
      </c>
      <c r="GZ5" s="56">
        <v>16285.1</v>
      </c>
      <c r="HA5" s="56">
        <v>16718.2</v>
      </c>
      <c r="HB5" s="56">
        <v>17030.599999999999</v>
      </c>
      <c r="HC5">
        <v>17415.099999999999</v>
      </c>
      <c r="HD5">
        <v>17684.2</v>
      </c>
      <c r="HE5">
        <v>17917</v>
      </c>
      <c r="HF5">
        <v>18269.599999999999</v>
      </c>
      <c r="HG5">
        <v>18419</v>
      </c>
      <c r="HH5">
        <v>18679.5</v>
      </c>
      <c r="HI5">
        <v>18914.5</v>
      </c>
      <c r="HJ5">
        <v>19142.5</v>
      </c>
    </row>
    <row r="6" spans="1:218" x14ac:dyDescent="0.35">
      <c r="A6" s="56" t="s">
        <v>2201</v>
      </c>
      <c r="B6" s="56">
        <v>3248.9</v>
      </c>
      <c r="C6" s="56">
        <v>3263.6</v>
      </c>
      <c r="D6" s="56">
        <v>3292.2</v>
      </c>
      <c r="E6" s="56">
        <v>3283.2</v>
      </c>
      <c r="F6" s="56">
        <v>3346.3</v>
      </c>
      <c r="G6" s="56">
        <v>3377</v>
      </c>
      <c r="H6" s="56">
        <v>3403.9</v>
      </c>
      <c r="I6" s="56">
        <v>3460.4</v>
      </c>
      <c r="J6" s="56">
        <v>3506.1</v>
      </c>
      <c r="K6" s="56">
        <v>3572.8</v>
      </c>
      <c r="L6" s="56">
        <v>3627.9</v>
      </c>
      <c r="M6" s="56">
        <v>3713</v>
      </c>
      <c r="N6" s="56">
        <v>3780.8</v>
      </c>
      <c r="O6" s="56">
        <v>3779.1</v>
      </c>
      <c r="P6" s="56">
        <v>3792.4</v>
      </c>
      <c r="Q6" s="56">
        <v>3781.1</v>
      </c>
      <c r="R6" s="56">
        <v>3747.3</v>
      </c>
      <c r="S6" s="56">
        <v>3760.8</v>
      </c>
      <c r="T6" s="56">
        <v>3776.9</v>
      </c>
      <c r="U6" s="56">
        <v>3721.7</v>
      </c>
      <c r="V6" s="56">
        <v>3752.9</v>
      </c>
      <c r="W6" s="56">
        <v>3814.7</v>
      </c>
      <c r="X6" s="56">
        <v>3868.9</v>
      </c>
      <c r="Y6" s="56">
        <v>3910.5</v>
      </c>
      <c r="Z6" s="56">
        <v>3988.7</v>
      </c>
      <c r="AA6" s="56">
        <v>4025.4</v>
      </c>
      <c r="AB6" s="56">
        <v>4067.8</v>
      </c>
      <c r="AC6" s="56">
        <v>4120.5</v>
      </c>
      <c r="AD6" s="56">
        <v>4169.1000000000004</v>
      </c>
      <c r="AE6" s="56">
        <v>4191.7</v>
      </c>
      <c r="AF6" s="56">
        <v>4231.3</v>
      </c>
      <c r="AG6" s="56">
        <v>4295</v>
      </c>
      <c r="AH6" s="56">
        <v>4319.1000000000004</v>
      </c>
      <c r="AI6" s="56">
        <v>4411.3999999999996</v>
      </c>
      <c r="AJ6" s="56">
        <v>4430</v>
      </c>
      <c r="AK6" s="56">
        <v>4465.7</v>
      </c>
      <c r="AL6" s="56">
        <v>4488.8</v>
      </c>
      <c r="AM6" s="56">
        <v>4485.8999999999996</v>
      </c>
      <c r="AN6" s="56">
        <v>4529.6000000000004</v>
      </c>
      <c r="AO6" s="56">
        <v>4540.8</v>
      </c>
      <c r="AP6" s="56">
        <v>4534.3</v>
      </c>
      <c r="AQ6" s="56">
        <v>4432.2</v>
      </c>
      <c r="AR6" s="56">
        <v>4480.8</v>
      </c>
      <c r="AS6" s="56">
        <v>4541.3999999999996</v>
      </c>
      <c r="AT6" s="56">
        <v>4556.6000000000004</v>
      </c>
      <c r="AU6" s="56">
        <v>4556.8999999999996</v>
      </c>
      <c r="AV6" s="56">
        <v>4578</v>
      </c>
      <c r="AW6" s="56">
        <v>4546.7</v>
      </c>
      <c r="AX6" s="56">
        <v>4580.2</v>
      </c>
      <c r="AY6" s="56">
        <v>4594.1000000000004</v>
      </c>
      <c r="AZ6" s="56">
        <v>4624.8999999999996</v>
      </c>
      <c r="BA6" s="56">
        <v>4706</v>
      </c>
      <c r="BB6" s="56">
        <v>4752.5</v>
      </c>
      <c r="BC6" s="56">
        <v>4849.3</v>
      </c>
      <c r="BD6" s="56">
        <v>4936.2</v>
      </c>
      <c r="BE6" s="56">
        <v>5014.8999999999996</v>
      </c>
      <c r="BF6" s="56">
        <v>5056.5</v>
      </c>
      <c r="BG6" s="56">
        <v>5127.3</v>
      </c>
      <c r="BH6" s="56">
        <v>5165.3999999999996</v>
      </c>
      <c r="BI6" s="56">
        <v>5232.3</v>
      </c>
      <c r="BJ6" s="56">
        <v>5321.2</v>
      </c>
      <c r="BK6" s="56">
        <v>5370</v>
      </c>
      <c r="BL6" s="56">
        <v>5472</v>
      </c>
      <c r="BM6" s="56">
        <v>5483.9</v>
      </c>
      <c r="BN6" s="56">
        <v>5531.8</v>
      </c>
      <c r="BO6" s="56">
        <v>5592.1</v>
      </c>
      <c r="BP6" s="56">
        <v>5691</v>
      </c>
      <c r="BQ6" s="56">
        <v>5725.8</v>
      </c>
      <c r="BR6" s="56">
        <v>5731.2</v>
      </c>
      <c r="BS6" s="56">
        <v>5809.4</v>
      </c>
      <c r="BT6" s="56">
        <v>5875.6</v>
      </c>
      <c r="BU6" s="56">
        <v>5888.1</v>
      </c>
      <c r="BV6" s="56">
        <v>5992.1</v>
      </c>
      <c r="BW6" s="56">
        <v>6036.4</v>
      </c>
      <c r="BX6" s="56">
        <v>6090</v>
      </c>
      <c r="BY6" s="56">
        <v>6159.2</v>
      </c>
      <c r="BZ6" s="56">
        <v>6187.8</v>
      </c>
      <c r="CA6" s="56">
        <v>6216.7</v>
      </c>
      <c r="CB6" s="56">
        <v>6276.9</v>
      </c>
      <c r="CC6" s="56">
        <v>6304.2</v>
      </c>
      <c r="CD6" s="56">
        <v>6357.2</v>
      </c>
      <c r="CE6" s="56">
        <v>6376.6</v>
      </c>
      <c r="CF6" s="56">
        <v>6401.8</v>
      </c>
      <c r="CG6" s="56">
        <v>6353.1</v>
      </c>
      <c r="CH6" s="56">
        <v>6329.2</v>
      </c>
      <c r="CI6" s="56">
        <v>6381.7</v>
      </c>
      <c r="CJ6" s="56">
        <v>6413.5</v>
      </c>
      <c r="CK6" s="56">
        <v>6410.3</v>
      </c>
      <c r="CL6" s="56">
        <v>6530.3</v>
      </c>
      <c r="CM6" s="56">
        <v>6574.7</v>
      </c>
      <c r="CN6" s="56">
        <v>6645.1</v>
      </c>
      <c r="CO6" s="56">
        <v>6724.3</v>
      </c>
      <c r="CP6" s="56">
        <v>6750.1</v>
      </c>
      <c r="CQ6" s="56">
        <v>6811.5</v>
      </c>
      <c r="CR6" s="56">
        <v>6887.3</v>
      </c>
      <c r="CS6" s="56">
        <v>6947.8</v>
      </c>
      <c r="CT6" s="56">
        <v>7027.3</v>
      </c>
      <c r="CU6" s="56">
        <v>7081.9</v>
      </c>
      <c r="CV6" s="56">
        <v>7135.9</v>
      </c>
      <c r="CW6" s="56">
        <v>7213.1</v>
      </c>
      <c r="CX6" s="56">
        <v>7231</v>
      </c>
      <c r="CY6" s="56">
        <v>7294.4</v>
      </c>
      <c r="CZ6" s="56">
        <v>7360.5</v>
      </c>
      <c r="DA6" s="56">
        <v>7411.9</v>
      </c>
      <c r="DB6" s="56">
        <v>7480.2</v>
      </c>
      <c r="DC6" s="56">
        <v>7560.7</v>
      </c>
      <c r="DD6" s="56">
        <v>7606.5</v>
      </c>
      <c r="DE6" s="56">
        <v>7667.1</v>
      </c>
      <c r="DF6" s="56">
        <v>7747.9</v>
      </c>
      <c r="DG6" s="56">
        <v>7782.8</v>
      </c>
      <c r="DH6" s="56">
        <v>7915.4</v>
      </c>
      <c r="DI6" s="56">
        <v>8010</v>
      </c>
      <c r="DJ6" s="56">
        <v>8091</v>
      </c>
      <c r="DK6" s="56">
        <v>8233.5</v>
      </c>
      <c r="DL6" s="56">
        <v>8340.7999999999993</v>
      </c>
      <c r="DM6" s="56">
        <v>8461.2999999999993</v>
      </c>
      <c r="DN6" s="56">
        <v>8548.2000000000007</v>
      </c>
      <c r="DO6" s="56">
        <v>8679.1</v>
      </c>
      <c r="DP6" s="56">
        <v>8776.7000000000007</v>
      </c>
      <c r="DQ6" s="56">
        <v>8905.1</v>
      </c>
      <c r="DR6" s="56">
        <v>9039.7000000000007</v>
      </c>
      <c r="DS6" s="56">
        <v>9124.2000000000007</v>
      </c>
      <c r="DT6" s="56">
        <v>9211.6</v>
      </c>
      <c r="DU6" s="56">
        <v>9292.1</v>
      </c>
      <c r="DV6" s="56">
        <v>9325.7999999999993</v>
      </c>
      <c r="DW6" s="56">
        <v>9344.5</v>
      </c>
      <c r="DX6" s="56">
        <v>9377</v>
      </c>
      <c r="DY6" s="56">
        <v>9528.2999999999993</v>
      </c>
      <c r="DZ6" s="56">
        <v>9549.5</v>
      </c>
      <c r="EA6" s="56">
        <v>9597.7999999999993</v>
      </c>
      <c r="EB6" s="56">
        <v>9665</v>
      </c>
      <c r="EC6" s="56">
        <v>9718.7000000000007</v>
      </c>
      <c r="ED6" s="56">
        <v>9766.6</v>
      </c>
      <c r="EE6" s="56">
        <v>9878.4</v>
      </c>
      <c r="EF6" s="56">
        <v>10018.1</v>
      </c>
      <c r="EG6" s="56">
        <v>10087.1</v>
      </c>
      <c r="EH6" s="56">
        <v>10181.1</v>
      </c>
      <c r="EI6" s="56">
        <v>10236.700000000001</v>
      </c>
      <c r="EJ6" s="56">
        <v>10356.9</v>
      </c>
      <c r="EK6" s="56">
        <v>10474.1</v>
      </c>
      <c r="EL6" s="56">
        <v>10540.6</v>
      </c>
      <c r="EM6" s="56">
        <v>10657.4</v>
      </c>
      <c r="EN6" s="56">
        <v>10745.9</v>
      </c>
      <c r="EO6" s="56">
        <v>10765.7</v>
      </c>
      <c r="EP6" s="56">
        <v>10883.1</v>
      </c>
      <c r="EQ6" s="56">
        <v>10939.5</v>
      </c>
      <c r="ER6" s="56">
        <v>11009.7</v>
      </c>
      <c r="ES6" s="56">
        <v>11114.8</v>
      </c>
      <c r="ET6" s="56">
        <v>11183.3</v>
      </c>
      <c r="EU6" s="56">
        <v>11212.7</v>
      </c>
      <c r="EV6" s="56">
        <v>11287.5</v>
      </c>
      <c r="EW6" s="56">
        <v>11331.9</v>
      </c>
      <c r="EX6" s="56">
        <v>11316.4</v>
      </c>
      <c r="EY6" s="56">
        <v>11347.6</v>
      </c>
      <c r="EZ6" s="56">
        <v>11260.1</v>
      </c>
      <c r="FA6" s="56">
        <v>11158.8</v>
      </c>
      <c r="FB6" s="56">
        <v>11130.5</v>
      </c>
      <c r="FC6" s="56">
        <v>11075.7</v>
      </c>
      <c r="FD6" s="56">
        <v>11150.2</v>
      </c>
      <c r="FE6" s="56">
        <v>11137.9</v>
      </c>
      <c r="FF6" s="56">
        <v>11202.5</v>
      </c>
      <c r="FG6" s="56">
        <v>11303</v>
      </c>
      <c r="FH6" s="56">
        <v>11383.6</v>
      </c>
      <c r="FI6" s="56">
        <v>11453.4</v>
      </c>
      <c r="FJ6" s="56">
        <v>11497.1</v>
      </c>
      <c r="FK6" s="56">
        <v>11509</v>
      </c>
      <c r="FL6" s="56">
        <v>11544</v>
      </c>
      <c r="FM6" s="56">
        <v>11563.9</v>
      </c>
      <c r="FN6" s="56">
        <v>11647.3</v>
      </c>
      <c r="FO6" s="56">
        <v>11667.8</v>
      </c>
      <c r="FP6" s="56">
        <v>11691.4</v>
      </c>
      <c r="FQ6" s="56">
        <v>11738</v>
      </c>
      <c r="FR6" s="56">
        <v>11814.3</v>
      </c>
      <c r="FS6" s="56">
        <v>11848.1</v>
      </c>
      <c r="FT6" s="56">
        <v>11896.3</v>
      </c>
      <c r="FU6" s="56">
        <v>12001</v>
      </c>
      <c r="FV6" s="56">
        <v>12044.2</v>
      </c>
      <c r="FW6" s="56">
        <v>12159.9</v>
      </c>
      <c r="FX6" s="56">
        <v>12280.1</v>
      </c>
      <c r="FY6" s="56">
        <v>12421.6</v>
      </c>
      <c r="FZ6" s="56">
        <v>12516.9</v>
      </c>
      <c r="GA6" s="56">
        <v>12603.1</v>
      </c>
      <c r="GB6" s="56">
        <v>12691.8</v>
      </c>
      <c r="GC6" s="56">
        <v>12743.4</v>
      </c>
      <c r="GD6" s="56">
        <v>12839.6</v>
      </c>
      <c r="GE6" s="56">
        <v>12903.3</v>
      </c>
      <c r="GF6" s="56">
        <v>12993.1</v>
      </c>
      <c r="GG6" s="56">
        <v>13060.1</v>
      </c>
      <c r="GH6" s="56">
        <v>13160.5</v>
      </c>
      <c r="GI6" s="56">
        <v>13225.7</v>
      </c>
      <c r="GJ6" s="56">
        <v>13315.4</v>
      </c>
      <c r="GK6" s="56">
        <v>13460.9</v>
      </c>
      <c r="GL6" s="56">
        <v>13558.4</v>
      </c>
      <c r="GM6" s="56">
        <v>13631</v>
      </c>
      <c r="GN6" s="56">
        <v>13693.8</v>
      </c>
      <c r="GO6" s="56">
        <v>13736.6</v>
      </c>
      <c r="GP6" s="56">
        <v>13752.6</v>
      </c>
      <c r="GQ6" s="56">
        <v>13862.8</v>
      </c>
      <c r="GR6" s="56">
        <v>14003.8</v>
      </c>
      <c r="GS6" s="56">
        <v>14093.9</v>
      </c>
      <c r="GT6" s="56">
        <v>13862.3</v>
      </c>
      <c r="GU6" s="56">
        <v>12668.7</v>
      </c>
      <c r="GV6" s="56">
        <v>13793.9</v>
      </c>
      <c r="GW6" s="56">
        <v>13982.9</v>
      </c>
      <c r="GX6" s="56">
        <v>14282.6</v>
      </c>
      <c r="GY6" s="56">
        <v>14745.6</v>
      </c>
      <c r="GZ6" s="56">
        <v>14848.8</v>
      </c>
      <c r="HA6" s="56">
        <v>14995.6</v>
      </c>
      <c r="HB6" s="56">
        <v>14995.2</v>
      </c>
      <c r="HC6">
        <v>15069.2</v>
      </c>
      <c r="HD6">
        <v>15127.4</v>
      </c>
      <c r="HE6">
        <v>15171.4</v>
      </c>
      <c r="HF6">
        <v>15312.9</v>
      </c>
      <c r="HG6">
        <v>15343.6</v>
      </c>
      <c r="HH6">
        <v>15461.4</v>
      </c>
      <c r="HI6">
        <v>15586.7</v>
      </c>
      <c r="HJ6">
        <v>15643</v>
      </c>
    </row>
    <row r="7" spans="1:218" x14ac:dyDescent="0.35">
      <c r="A7" s="56" t="s">
        <v>2202</v>
      </c>
      <c r="B7" s="56">
        <v>19.443999999999999</v>
      </c>
      <c r="C7" s="56">
        <v>19.658999999999999</v>
      </c>
      <c r="D7" s="56">
        <v>19.850999999999999</v>
      </c>
      <c r="E7" s="56">
        <v>20.108000000000001</v>
      </c>
      <c r="F7" s="56">
        <v>20.298999999999999</v>
      </c>
      <c r="G7" s="56">
        <v>20.53</v>
      </c>
      <c r="H7" s="56">
        <v>20.731999999999999</v>
      </c>
      <c r="I7" s="56">
        <v>20.86</v>
      </c>
      <c r="J7" s="56">
        <v>21.08</v>
      </c>
      <c r="K7" s="56">
        <v>21.202000000000002</v>
      </c>
      <c r="L7" s="56">
        <v>21.388000000000002</v>
      </c>
      <c r="M7" s="56">
        <v>21.562000000000001</v>
      </c>
      <c r="N7" s="56">
        <v>21.823</v>
      </c>
      <c r="O7" s="56">
        <v>22.242000000000001</v>
      </c>
      <c r="P7" s="56">
        <v>22.646999999999998</v>
      </c>
      <c r="Q7" s="56">
        <v>23.11</v>
      </c>
      <c r="R7" s="56">
        <v>23.797999999999998</v>
      </c>
      <c r="S7" s="56">
        <v>24.472000000000001</v>
      </c>
      <c r="T7" s="56">
        <v>25.132000000000001</v>
      </c>
      <c r="U7" s="56">
        <v>25.771000000000001</v>
      </c>
      <c r="V7" s="56">
        <v>26.256</v>
      </c>
      <c r="W7" s="56">
        <v>26.577999999999999</v>
      </c>
      <c r="X7" s="56">
        <v>27.076000000000001</v>
      </c>
      <c r="Y7" s="56">
        <v>27.53</v>
      </c>
      <c r="Z7" s="56">
        <v>27.832999999999998</v>
      </c>
      <c r="AA7" s="56">
        <v>28.065999999999999</v>
      </c>
      <c r="AB7" s="56">
        <v>28.492000000000001</v>
      </c>
      <c r="AC7" s="56">
        <v>28.942</v>
      </c>
      <c r="AD7" s="56">
        <v>29.465</v>
      </c>
      <c r="AE7" s="56">
        <v>29.969000000000001</v>
      </c>
      <c r="AF7" s="56">
        <v>30.42</v>
      </c>
      <c r="AG7" s="56">
        <v>30.852</v>
      </c>
      <c r="AH7" s="56">
        <v>31.358000000000001</v>
      </c>
      <c r="AI7" s="56">
        <v>32.002000000000002</v>
      </c>
      <c r="AJ7" s="56">
        <v>32.564</v>
      </c>
      <c r="AK7" s="56">
        <v>33.179000000000002</v>
      </c>
      <c r="AL7" s="56">
        <v>33.804000000000002</v>
      </c>
      <c r="AM7" s="56">
        <v>34.728000000000002</v>
      </c>
      <c r="AN7" s="56">
        <v>35.590000000000003</v>
      </c>
      <c r="AO7" s="56">
        <v>36.451000000000001</v>
      </c>
      <c r="AP7" s="56">
        <v>37.545000000000002</v>
      </c>
      <c r="AQ7" s="56">
        <v>38.463999999999999</v>
      </c>
      <c r="AR7" s="56">
        <v>39.363999999999997</v>
      </c>
      <c r="AS7" s="56">
        <v>40.338000000000001</v>
      </c>
      <c r="AT7" s="56">
        <v>41.384</v>
      </c>
      <c r="AU7" s="56">
        <v>42.078000000000003</v>
      </c>
      <c r="AV7" s="56">
        <v>42.771999999999998</v>
      </c>
      <c r="AW7" s="56">
        <v>43.427</v>
      </c>
      <c r="AX7" s="56">
        <v>43.978999999999999</v>
      </c>
      <c r="AY7" s="56">
        <v>44.402000000000001</v>
      </c>
      <c r="AZ7" s="56">
        <v>45.103000000000002</v>
      </c>
      <c r="BA7" s="56">
        <v>45.600999999999999</v>
      </c>
      <c r="BB7" s="56">
        <v>45.978000000000002</v>
      </c>
      <c r="BC7" s="56">
        <v>46.398000000000003</v>
      </c>
      <c r="BD7" s="56">
        <v>47.008000000000003</v>
      </c>
      <c r="BE7" s="56">
        <v>47.317999999999998</v>
      </c>
      <c r="BF7" s="56">
        <v>47.83</v>
      </c>
      <c r="BG7" s="56">
        <v>48.292999999999999</v>
      </c>
      <c r="BH7" s="56">
        <v>48.665999999999997</v>
      </c>
      <c r="BI7" s="56">
        <v>48.966000000000001</v>
      </c>
      <c r="BJ7" s="56">
        <v>49.543999999999997</v>
      </c>
      <c r="BK7" s="56">
        <v>49.945</v>
      </c>
      <c r="BL7" s="56">
        <v>50.337000000000003</v>
      </c>
      <c r="BM7" s="56">
        <v>50.688000000000002</v>
      </c>
      <c r="BN7" s="56">
        <v>51.046999999999997</v>
      </c>
      <c r="BO7" s="56">
        <v>50.993000000000002</v>
      </c>
      <c r="BP7" s="56">
        <v>51.262999999999998</v>
      </c>
      <c r="BQ7" s="56">
        <v>51.573</v>
      </c>
      <c r="BR7" s="56">
        <v>52.061</v>
      </c>
      <c r="BS7" s="56">
        <v>52.564</v>
      </c>
      <c r="BT7" s="56">
        <v>53.061999999999998</v>
      </c>
      <c r="BU7" s="56">
        <v>53.52</v>
      </c>
      <c r="BV7" s="56">
        <v>53.942999999999998</v>
      </c>
      <c r="BW7" s="56">
        <v>54.539000000000001</v>
      </c>
      <c r="BX7" s="56">
        <v>55.210999999999999</v>
      </c>
      <c r="BY7" s="56">
        <v>55.768999999999998</v>
      </c>
      <c r="BZ7" s="56">
        <v>56.41</v>
      </c>
      <c r="CA7" s="56">
        <v>57.17</v>
      </c>
      <c r="CB7" s="56">
        <v>57.506999999999998</v>
      </c>
      <c r="CC7" s="56">
        <v>57.959000000000003</v>
      </c>
      <c r="CD7" s="56">
        <v>58.798999999999999</v>
      </c>
      <c r="CE7" s="56">
        <v>59.332999999999998</v>
      </c>
      <c r="CF7" s="56">
        <v>60.087000000000003</v>
      </c>
      <c r="CG7" s="56">
        <v>60.881999999999998</v>
      </c>
      <c r="CH7" s="56">
        <v>61.201999999999998</v>
      </c>
      <c r="CI7" s="56">
        <v>61.536000000000001</v>
      </c>
      <c r="CJ7" s="56">
        <v>61.954000000000001</v>
      </c>
      <c r="CK7" s="56">
        <v>62.404000000000003</v>
      </c>
      <c r="CL7" s="56">
        <v>62.795000000000002</v>
      </c>
      <c r="CM7" s="56">
        <v>63.212000000000003</v>
      </c>
      <c r="CN7" s="56">
        <v>63.615000000000002</v>
      </c>
      <c r="CO7" s="56">
        <v>64.058999999999997</v>
      </c>
      <c r="CP7" s="56">
        <v>64.441000000000003</v>
      </c>
      <c r="CQ7" s="56">
        <v>64.873999999999995</v>
      </c>
      <c r="CR7" s="56">
        <v>65.155000000000001</v>
      </c>
      <c r="CS7" s="56">
        <v>65.531000000000006</v>
      </c>
      <c r="CT7" s="56">
        <v>65.766000000000005</v>
      </c>
      <c r="CU7" s="56">
        <v>66.132999999999996</v>
      </c>
      <c r="CV7" s="56">
        <v>66.606999999999999</v>
      </c>
      <c r="CW7" s="56">
        <v>66.92</v>
      </c>
      <c r="CX7" s="56">
        <v>67.247</v>
      </c>
      <c r="CY7" s="56">
        <v>67.638999999999996</v>
      </c>
      <c r="CZ7" s="56">
        <v>67.915000000000006</v>
      </c>
      <c r="DA7" s="56">
        <v>68.213999999999999</v>
      </c>
      <c r="DB7" s="56">
        <v>68.593000000000004</v>
      </c>
      <c r="DC7" s="56">
        <v>69.052000000000007</v>
      </c>
      <c r="DD7" s="56">
        <v>69.346000000000004</v>
      </c>
      <c r="DE7" s="56">
        <v>69.819000000000003</v>
      </c>
      <c r="DF7" s="56">
        <v>70.126999999999995</v>
      </c>
      <c r="DG7" s="56">
        <v>70.302999999999997</v>
      </c>
      <c r="DH7" s="56">
        <v>70.488</v>
      </c>
      <c r="DI7" s="56">
        <v>70.709999999999994</v>
      </c>
      <c r="DJ7" s="56">
        <v>70.715000000000003</v>
      </c>
      <c r="DK7" s="56">
        <v>70.843000000000004</v>
      </c>
      <c r="DL7" s="56">
        <v>71.061999999999998</v>
      </c>
      <c r="DM7" s="56">
        <v>71.248999999999995</v>
      </c>
      <c r="DN7" s="56">
        <v>71.39</v>
      </c>
      <c r="DO7" s="56">
        <v>71.796000000000006</v>
      </c>
      <c r="DP7" s="56">
        <v>72.191000000000003</v>
      </c>
      <c r="DQ7" s="56">
        <v>72.629000000000005</v>
      </c>
      <c r="DR7" s="56">
        <v>73.218999999999994</v>
      </c>
      <c r="DS7" s="56">
        <v>73.567999999999998</v>
      </c>
      <c r="DT7" s="56">
        <v>74.042000000000002</v>
      </c>
      <c r="DU7" s="56">
        <v>74.459999999999994</v>
      </c>
      <c r="DV7" s="56">
        <v>75.012</v>
      </c>
      <c r="DW7" s="56">
        <v>75.363</v>
      </c>
      <c r="DX7" s="56">
        <v>75.400999999999996</v>
      </c>
      <c r="DY7" s="56">
        <v>75.432000000000002</v>
      </c>
      <c r="DZ7" s="56">
        <v>75.584000000000003</v>
      </c>
      <c r="EA7" s="56">
        <v>76.144999999999996</v>
      </c>
      <c r="EB7" s="56">
        <v>76.539000000000001</v>
      </c>
      <c r="EC7" s="56">
        <v>76.896000000000001</v>
      </c>
      <c r="ED7" s="56">
        <v>77.483999999999995</v>
      </c>
      <c r="EE7" s="56">
        <v>77.561999999999998</v>
      </c>
      <c r="EF7" s="56">
        <v>78.072999999999993</v>
      </c>
      <c r="EG7" s="56">
        <v>78.456999999999994</v>
      </c>
      <c r="EH7" s="56">
        <v>79.061999999999998</v>
      </c>
      <c r="EI7" s="56">
        <v>79.593999999999994</v>
      </c>
      <c r="EJ7" s="56">
        <v>79.984999999999999</v>
      </c>
      <c r="EK7" s="56">
        <v>80.668999999999997</v>
      </c>
      <c r="EL7" s="56">
        <v>81.138000000000005</v>
      </c>
      <c r="EM7" s="56">
        <v>81.650000000000006</v>
      </c>
      <c r="EN7" s="56">
        <v>82.531999999999996</v>
      </c>
      <c r="EO7" s="56">
        <v>83.188999999999993</v>
      </c>
      <c r="EP7" s="56">
        <v>83.620999999999995</v>
      </c>
      <c r="EQ7" s="56">
        <v>84.355000000000004</v>
      </c>
      <c r="ER7" s="56">
        <v>84.962000000000003</v>
      </c>
      <c r="ES7" s="56">
        <v>84.822000000000003</v>
      </c>
      <c r="ET7" s="56">
        <v>85.596999999999994</v>
      </c>
      <c r="EU7" s="56">
        <v>86.323999999999998</v>
      </c>
      <c r="EV7" s="56">
        <v>86.811999999999998</v>
      </c>
      <c r="EW7" s="56">
        <v>87.694000000000003</v>
      </c>
      <c r="EX7" s="56">
        <v>88.408000000000001</v>
      </c>
      <c r="EY7" s="56">
        <v>89.269000000000005</v>
      </c>
      <c r="EZ7" s="56">
        <v>90.221000000000004</v>
      </c>
      <c r="FA7" s="56">
        <v>88.781000000000006</v>
      </c>
      <c r="FB7" s="56">
        <v>88.180999999999997</v>
      </c>
      <c r="FC7" s="56">
        <v>88.531999999999996</v>
      </c>
      <c r="FD7" s="56">
        <v>89.141999999999996</v>
      </c>
      <c r="FE7" s="56">
        <v>89.83</v>
      </c>
      <c r="FF7" s="56">
        <v>90.177000000000007</v>
      </c>
      <c r="FG7" s="56">
        <v>90.316999999999993</v>
      </c>
      <c r="FH7" s="56">
        <v>90.49</v>
      </c>
      <c r="FI7" s="56">
        <v>91.07</v>
      </c>
      <c r="FJ7" s="56">
        <v>91.834999999999994</v>
      </c>
      <c r="FK7" s="56">
        <v>92.738</v>
      </c>
      <c r="FL7" s="56">
        <v>93.167000000000002</v>
      </c>
      <c r="FM7" s="56">
        <v>93.474999999999994</v>
      </c>
      <c r="FN7" s="56">
        <v>94.093999999999994</v>
      </c>
      <c r="FO7" s="56">
        <v>94.320999999999998</v>
      </c>
      <c r="FP7" s="56">
        <v>94.594999999999999</v>
      </c>
      <c r="FQ7" s="56">
        <v>95.126000000000005</v>
      </c>
      <c r="FR7" s="56">
        <v>95.459000000000003</v>
      </c>
      <c r="FS7" s="56">
        <v>95.507999999999996</v>
      </c>
      <c r="FT7" s="56">
        <v>95.900999999999996</v>
      </c>
      <c r="FU7" s="56">
        <v>96.254000000000005</v>
      </c>
      <c r="FV7" s="56">
        <v>96.695999999999998</v>
      </c>
      <c r="FW7" s="56">
        <v>97.129000000000005</v>
      </c>
      <c r="FX7" s="56">
        <v>97.394000000000005</v>
      </c>
      <c r="FY7" s="56">
        <v>97.265000000000001</v>
      </c>
      <c r="FZ7" s="56">
        <v>96.828999999999994</v>
      </c>
      <c r="GA7" s="56">
        <v>97.311999999999998</v>
      </c>
      <c r="GB7" s="56">
        <v>97.564999999999998</v>
      </c>
      <c r="GC7" s="56">
        <v>97.49</v>
      </c>
      <c r="GD7" s="56">
        <v>97.537999999999997</v>
      </c>
      <c r="GE7" s="56">
        <v>98.156999999999996</v>
      </c>
      <c r="GF7" s="56">
        <v>98.495999999999995</v>
      </c>
      <c r="GG7" s="56">
        <v>98.947000000000003</v>
      </c>
      <c r="GH7" s="56">
        <v>99.524000000000001</v>
      </c>
      <c r="GI7" s="56">
        <v>99.724000000000004</v>
      </c>
      <c r="GJ7" s="56">
        <v>100.07599999999999</v>
      </c>
      <c r="GK7" s="56">
        <v>100.676</v>
      </c>
      <c r="GL7" s="56">
        <v>101.38</v>
      </c>
      <c r="GM7" s="56">
        <v>101.91200000000001</v>
      </c>
      <c r="GN7" s="56">
        <v>102.254</v>
      </c>
      <c r="GO7" s="56">
        <v>102.642</v>
      </c>
      <c r="GP7" s="56">
        <v>102.877</v>
      </c>
      <c r="GQ7" s="56">
        <v>103.422</v>
      </c>
      <c r="GR7" s="56">
        <v>103.67400000000001</v>
      </c>
      <c r="GS7" s="56">
        <v>104.08</v>
      </c>
      <c r="GT7" s="56">
        <v>104.416</v>
      </c>
      <c r="GU7" s="56">
        <v>103.962</v>
      </c>
      <c r="GV7" s="56">
        <v>104.819</v>
      </c>
      <c r="GW7" s="56">
        <v>105.343</v>
      </c>
      <c r="GX7" s="56">
        <v>106.578</v>
      </c>
      <c r="GY7" s="56">
        <v>108.208</v>
      </c>
      <c r="GZ7" s="56">
        <v>109.705</v>
      </c>
      <c r="HA7" s="56">
        <v>111.514</v>
      </c>
      <c r="HB7" s="56">
        <v>113.59</v>
      </c>
      <c r="HC7">
        <v>115.577</v>
      </c>
      <c r="HD7">
        <v>116.905</v>
      </c>
      <c r="HE7">
        <v>118.098</v>
      </c>
      <c r="HF7">
        <v>119.309</v>
      </c>
      <c r="HG7">
        <v>120.044</v>
      </c>
      <c r="HH7">
        <v>120.81399999999999</v>
      </c>
      <c r="HI7">
        <v>121.351</v>
      </c>
      <c r="HJ7">
        <v>122.371</v>
      </c>
    </row>
    <row r="8" spans="1:218" x14ac:dyDescent="0.35">
      <c r="A8" s="56" t="s">
        <v>2203</v>
      </c>
      <c r="B8" s="56">
        <v>17.722000000000001</v>
      </c>
      <c r="C8" s="56">
        <v>17.956</v>
      </c>
      <c r="D8" s="56">
        <v>18.263000000000002</v>
      </c>
      <c r="E8" s="56">
        <v>18.495000000000001</v>
      </c>
      <c r="F8" s="56">
        <v>19.081</v>
      </c>
      <c r="G8" s="56">
        <v>19.437000000000001</v>
      </c>
      <c r="H8" s="56">
        <v>19.719000000000001</v>
      </c>
      <c r="I8" s="56">
        <v>20.122</v>
      </c>
      <c r="J8" s="56">
        <v>20.952999999999999</v>
      </c>
      <c r="K8" s="56">
        <v>21.166</v>
      </c>
      <c r="L8" s="56">
        <v>21.34</v>
      </c>
      <c r="M8" s="56">
        <v>21.803999999999998</v>
      </c>
      <c r="N8" s="56">
        <v>22.155000000000001</v>
      </c>
      <c r="O8" s="56">
        <v>22.54</v>
      </c>
      <c r="P8" s="56">
        <v>23.006</v>
      </c>
      <c r="Q8" s="56">
        <v>23.498000000000001</v>
      </c>
      <c r="R8" s="56">
        <v>23.739000000000001</v>
      </c>
      <c r="S8" s="56">
        <v>24.167999999999999</v>
      </c>
      <c r="T8" s="56">
        <v>24.873999999999999</v>
      </c>
      <c r="U8" s="56">
        <v>25.7</v>
      </c>
      <c r="V8" s="56">
        <v>26.167000000000002</v>
      </c>
      <c r="W8" s="56">
        <v>26.545999999999999</v>
      </c>
      <c r="X8" s="56">
        <v>26.904</v>
      </c>
      <c r="Y8" s="56">
        <v>27.521999999999998</v>
      </c>
      <c r="Z8" s="56">
        <v>27.923999999999999</v>
      </c>
      <c r="AA8" s="56">
        <v>28.158000000000001</v>
      </c>
      <c r="AB8" s="56">
        <v>28.481000000000002</v>
      </c>
      <c r="AC8" s="56">
        <v>29.242000000000001</v>
      </c>
      <c r="AD8" s="56">
        <v>29.655999999999999</v>
      </c>
      <c r="AE8" s="56">
        <v>29.992999999999999</v>
      </c>
      <c r="AF8" s="56">
        <v>30.140999999999998</v>
      </c>
      <c r="AG8" s="56">
        <v>31.013999999999999</v>
      </c>
      <c r="AH8" s="56">
        <v>31.369</v>
      </c>
      <c r="AI8" s="56">
        <v>31.984999999999999</v>
      </c>
      <c r="AJ8" s="56">
        <v>32.520000000000003</v>
      </c>
      <c r="AK8" s="56">
        <v>33.081000000000003</v>
      </c>
      <c r="AL8" s="56">
        <v>33.691000000000003</v>
      </c>
      <c r="AM8" s="56">
        <v>34.200000000000003</v>
      </c>
      <c r="AN8" s="56">
        <v>34.997999999999998</v>
      </c>
      <c r="AO8" s="56">
        <v>35.768000000000001</v>
      </c>
      <c r="AP8" s="56">
        <v>36.475000000000001</v>
      </c>
      <c r="AQ8" s="56">
        <v>37.884999999999998</v>
      </c>
      <c r="AR8" s="56">
        <v>38.268999999999998</v>
      </c>
      <c r="AS8" s="56">
        <v>39.420999999999999</v>
      </c>
      <c r="AT8" s="56">
        <v>40.209000000000003</v>
      </c>
      <c r="AU8" s="56">
        <v>41.143999999999998</v>
      </c>
      <c r="AV8" s="56">
        <v>42.045999999999999</v>
      </c>
      <c r="AW8" s="56">
        <v>42.851999999999997</v>
      </c>
      <c r="AX8" s="56">
        <v>43.536000000000001</v>
      </c>
      <c r="AY8" s="56">
        <v>44.399000000000001</v>
      </c>
      <c r="AZ8" s="56">
        <v>44.771000000000001</v>
      </c>
      <c r="BA8" s="56">
        <v>45.3</v>
      </c>
      <c r="BB8" s="56">
        <v>45.384999999999998</v>
      </c>
      <c r="BC8" s="56">
        <v>45.734999999999999</v>
      </c>
      <c r="BD8" s="56">
        <v>46.241999999999997</v>
      </c>
      <c r="BE8" s="56">
        <v>46.543999999999997</v>
      </c>
      <c r="BF8" s="56">
        <v>47.146999999999998</v>
      </c>
      <c r="BG8" s="56">
        <v>47.616999999999997</v>
      </c>
      <c r="BH8" s="56">
        <v>48.325000000000003</v>
      </c>
      <c r="BI8" s="56">
        <v>48.92</v>
      </c>
      <c r="BJ8" s="56">
        <v>48.725000000000001</v>
      </c>
      <c r="BK8" s="56">
        <v>48.84</v>
      </c>
      <c r="BL8" s="56">
        <v>49.100999999999999</v>
      </c>
      <c r="BM8" s="56">
        <v>49.423000000000002</v>
      </c>
      <c r="BN8" s="56">
        <v>49.298000000000002</v>
      </c>
      <c r="BO8" s="56">
        <v>49.174999999999997</v>
      </c>
      <c r="BP8" s="56">
        <v>49.244999999999997</v>
      </c>
      <c r="BQ8" s="56">
        <v>49.3</v>
      </c>
      <c r="BR8" s="56">
        <v>49.216999999999999</v>
      </c>
      <c r="BS8" s="56">
        <v>49.45</v>
      </c>
      <c r="BT8" s="56">
        <v>49.808</v>
      </c>
      <c r="BU8" s="56">
        <v>49.911999999999999</v>
      </c>
      <c r="BV8" s="56">
        <v>50.593000000000004</v>
      </c>
      <c r="BW8" s="56">
        <v>51.09</v>
      </c>
      <c r="BX8" s="56">
        <v>51.381999999999998</v>
      </c>
      <c r="BY8" s="56">
        <v>51.795999999999999</v>
      </c>
      <c r="BZ8" s="56">
        <v>52.18</v>
      </c>
      <c r="CA8" s="56">
        <v>52.563000000000002</v>
      </c>
      <c r="CB8" s="56">
        <v>52.825000000000003</v>
      </c>
      <c r="CC8" s="56">
        <v>53.014000000000003</v>
      </c>
      <c r="CD8" s="56">
        <v>53.386000000000003</v>
      </c>
      <c r="CE8" s="56">
        <v>54.302999999999997</v>
      </c>
      <c r="CF8" s="56">
        <v>54.375999999999998</v>
      </c>
      <c r="CG8" s="56">
        <v>55.023000000000003</v>
      </c>
      <c r="CH8" s="56">
        <v>55.517000000000003</v>
      </c>
      <c r="CI8" s="56">
        <v>55.79</v>
      </c>
      <c r="CJ8" s="56">
        <v>56.508000000000003</v>
      </c>
      <c r="CK8" s="56">
        <v>57.079000000000001</v>
      </c>
      <c r="CL8" s="56">
        <v>57.162999999999997</v>
      </c>
      <c r="CM8" s="56">
        <v>57.371000000000002</v>
      </c>
      <c r="CN8" s="56">
        <v>57.872</v>
      </c>
      <c r="CO8" s="56">
        <v>58.234999999999999</v>
      </c>
      <c r="CP8" s="56">
        <v>58.381</v>
      </c>
      <c r="CQ8" s="56">
        <v>58.637</v>
      </c>
      <c r="CR8" s="56">
        <v>59.061999999999998</v>
      </c>
      <c r="CS8" s="56">
        <v>59.591000000000001</v>
      </c>
      <c r="CT8" s="56">
        <v>59.865000000000002</v>
      </c>
      <c r="CU8" s="56">
        <v>60.366999999999997</v>
      </c>
      <c r="CV8" s="56">
        <v>60.713000000000001</v>
      </c>
      <c r="CW8" s="56">
        <v>61.212000000000003</v>
      </c>
      <c r="CX8" s="56">
        <v>61.728000000000002</v>
      </c>
      <c r="CY8" s="56">
        <v>62.139000000000003</v>
      </c>
      <c r="CZ8" s="56">
        <v>62.460999999999999</v>
      </c>
      <c r="DA8" s="56">
        <v>63.323</v>
      </c>
      <c r="DB8" s="56">
        <v>63.472000000000001</v>
      </c>
      <c r="DC8" s="56">
        <v>63.131999999999998</v>
      </c>
      <c r="DD8" s="56">
        <v>63.499000000000002</v>
      </c>
      <c r="DE8" s="56">
        <v>63.716000000000001</v>
      </c>
      <c r="DF8" s="56">
        <v>63.933999999999997</v>
      </c>
      <c r="DG8" s="56">
        <v>64.353999999999999</v>
      </c>
      <c r="DH8" s="56">
        <v>64.503</v>
      </c>
      <c r="DI8" s="56">
        <v>64.953999999999994</v>
      </c>
      <c r="DJ8" s="56">
        <v>64.682000000000002</v>
      </c>
      <c r="DK8" s="56">
        <v>65.099000000000004</v>
      </c>
      <c r="DL8" s="56">
        <v>65.524000000000001</v>
      </c>
      <c r="DM8" s="56">
        <v>65.734999999999999</v>
      </c>
      <c r="DN8" s="56">
        <v>65.947000000000003</v>
      </c>
      <c r="DO8" s="56">
        <v>66.503</v>
      </c>
      <c r="DP8" s="56">
        <v>67.105999999999995</v>
      </c>
      <c r="DQ8" s="56">
        <v>67.930999999999997</v>
      </c>
      <c r="DR8" s="56">
        <v>68.593000000000004</v>
      </c>
      <c r="DS8" s="56">
        <v>68.855999999999995</v>
      </c>
      <c r="DT8" s="56">
        <v>69.349000000000004</v>
      </c>
      <c r="DU8" s="56">
        <v>69.662000000000006</v>
      </c>
      <c r="DV8" s="56">
        <v>69.781999999999996</v>
      </c>
      <c r="DW8" s="56">
        <v>70.147999999999996</v>
      </c>
      <c r="DX8" s="56">
        <v>70.596999999999994</v>
      </c>
      <c r="DY8" s="56">
        <v>71.055000000000007</v>
      </c>
      <c r="DZ8" s="56">
        <v>71.515000000000001</v>
      </c>
      <c r="EA8" s="56">
        <v>72.191000000000003</v>
      </c>
      <c r="EB8" s="56">
        <v>72.811000000000007</v>
      </c>
      <c r="EC8" s="56">
        <v>74.161000000000001</v>
      </c>
      <c r="ED8" s="56">
        <v>74.965000000000003</v>
      </c>
      <c r="EE8" s="56">
        <v>75.498999999999995</v>
      </c>
      <c r="EF8" s="56">
        <v>76.182000000000002</v>
      </c>
      <c r="EG8" s="56">
        <v>76.751999999999995</v>
      </c>
      <c r="EH8" s="56">
        <v>77.405000000000001</v>
      </c>
      <c r="EI8" s="56">
        <v>78.076999999999998</v>
      </c>
      <c r="EJ8" s="56">
        <v>78.792000000000002</v>
      </c>
      <c r="EK8" s="56">
        <v>79.558999999999997</v>
      </c>
      <c r="EL8" s="56">
        <v>80.605999999999995</v>
      </c>
      <c r="EM8" s="56">
        <v>81.332999999999998</v>
      </c>
      <c r="EN8" s="56">
        <v>82.182000000000002</v>
      </c>
      <c r="EO8" s="56">
        <v>82.772000000000006</v>
      </c>
      <c r="EP8" s="56">
        <v>83.468999999999994</v>
      </c>
      <c r="EQ8" s="56">
        <v>84.051000000000002</v>
      </c>
      <c r="ER8" s="56">
        <v>84.673000000000002</v>
      </c>
      <c r="ES8" s="56">
        <v>85.114000000000004</v>
      </c>
      <c r="ET8" s="56">
        <v>85.841999999999999</v>
      </c>
      <c r="EU8" s="56">
        <v>86.528000000000006</v>
      </c>
      <c r="EV8" s="56">
        <v>87.123999999999995</v>
      </c>
      <c r="EW8" s="56">
        <v>87.822000000000003</v>
      </c>
      <c r="EX8" s="56">
        <v>88.563000000000002</v>
      </c>
      <c r="EY8" s="56">
        <v>89.47</v>
      </c>
      <c r="EZ8" s="56">
        <v>90.141000000000005</v>
      </c>
      <c r="FA8" s="56">
        <v>89.712000000000003</v>
      </c>
      <c r="FB8" s="56">
        <v>88.959000000000003</v>
      </c>
      <c r="FC8" s="56">
        <v>88.974999999999994</v>
      </c>
      <c r="FD8" s="56">
        <v>89.247</v>
      </c>
      <c r="FE8" s="56">
        <v>89.933000000000007</v>
      </c>
      <c r="FF8" s="56">
        <v>90.506</v>
      </c>
      <c r="FG8" s="56">
        <v>91.2</v>
      </c>
      <c r="FH8" s="56">
        <v>91.561999999999998</v>
      </c>
      <c r="FI8" s="56">
        <v>92.307000000000002</v>
      </c>
      <c r="FJ8" s="56">
        <v>93.135999999999996</v>
      </c>
      <c r="FK8" s="56">
        <v>93.978999999999999</v>
      </c>
      <c r="FL8" s="56">
        <v>94.305999999999997</v>
      </c>
      <c r="FM8" s="56">
        <v>94.18</v>
      </c>
      <c r="FN8" s="56">
        <v>94.506</v>
      </c>
      <c r="FO8" s="56">
        <v>94.715000000000003</v>
      </c>
      <c r="FP8" s="56">
        <v>94.897000000000006</v>
      </c>
      <c r="FQ8" s="56">
        <v>95.013000000000005</v>
      </c>
      <c r="FR8" s="56">
        <v>94.947000000000003</v>
      </c>
      <c r="FS8" s="56">
        <v>95.102000000000004</v>
      </c>
      <c r="FT8" s="56">
        <v>95.436000000000007</v>
      </c>
      <c r="FU8" s="56">
        <v>96.903999999999996</v>
      </c>
      <c r="FV8" s="56">
        <v>96.649000000000001</v>
      </c>
      <c r="FW8" s="56">
        <v>97.057000000000002</v>
      </c>
      <c r="FX8" s="56">
        <v>97.513000000000005</v>
      </c>
      <c r="FY8" s="56">
        <v>97.641999999999996</v>
      </c>
      <c r="FZ8" s="56">
        <v>97.451999999999998</v>
      </c>
      <c r="GA8" s="56">
        <v>97.641000000000005</v>
      </c>
      <c r="GB8" s="56">
        <v>97.73</v>
      </c>
      <c r="GC8" s="56">
        <v>97.611000000000004</v>
      </c>
      <c r="GD8" s="56">
        <v>97.503</v>
      </c>
      <c r="GE8" s="56">
        <v>98.022000000000006</v>
      </c>
      <c r="GF8" s="56">
        <v>98.403999999999996</v>
      </c>
      <c r="GG8" s="56">
        <v>98.891000000000005</v>
      </c>
      <c r="GH8" s="56">
        <v>99.36</v>
      </c>
      <c r="GI8" s="56">
        <v>99.682000000000002</v>
      </c>
      <c r="GJ8" s="56">
        <v>100.12</v>
      </c>
      <c r="GK8" s="56">
        <v>100.83799999999999</v>
      </c>
      <c r="GL8" s="56">
        <v>101.798</v>
      </c>
      <c r="GM8" s="56">
        <v>102.497</v>
      </c>
      <c r="GN8" s="56">
        <v>103.027</v>
      </c>
      <c r="GO8" s="56">
        <v>103.77800000000001</v>
      </c>
      <c r="GP8" s="56">
        <v>104.85599999999999</v>
      </c>
      <c r="GQ8" s="56">
        <v>104.229</v>
      </c>
      <c r="GR8" s="56">
        <v>104.39700000000001</v>
      </c>
      <c r="GS8" s="56">
        <v>104.759</v>
      </c>
      <c r="GT8" s="56">
        <v>105.08799999999999</v>
      </c>
      <c r="GU8" s="56">
        <v>105.113</v>
      </c>
      <c r="GV8" s="56">
        <v>105.71299999999999</v>
      </c>
      <c r="GW8" s="56">
        <v>106.48099999999999</v>
      </c>
      <c r="GX8" s="56">
        <v>107.378</v>
      </c>
      <c r="GY8" s="56">
        <v>108.42400000000001</v>
      </c>
      <c r="GZ8" s="56">
        <v>109.523</v>
      </c>
      <c r="HA8" s="56">
        <v>110.771</v>
      </c>
      <c r="HB8" s="56">
        <v>112.724</v>
      </c>
      <c r="HC8">
        <v>114.607</v>
      </c>
      <c r="HD8">
        <v>115.96599999999999</v>
      </c>
      <c r="HE8">
        <v>117.13500000000001</v>
      </c>
      <c r="HF8">
        <v>118.327</v>
      </c>
      <c r="HG8">
        <v>118.93300000000001</v>
      </c>
      <c r="HH8">
        <v>120.09699999999999</v>
      </c>
      <c r="HI8">
        <v>121.268</v>
      </c>
      <c r="HJ8">
        <v>122.501</v>
      </c>
    </row>
    <row r="9" spans="1:218" x14ac:dyDescent="0.35">
      <c r="A9" s="56" t="s">
        <v>2204</v>
      </c>
      <c r="B9" s="56">
        <v>12.676</v>
      </c>
      <c r="C9" s="56">
        <v>12.944000000000001</v>
      </c>
      <c r="D9" s="56">
        <v>13.178000000000001</v>
      </c>
      <c r="E9" s="56">
        <v>13.428000000000001</v>
      </c>
      <c r="F9" s="56">
        <v>13.733000000000001</v>
      </c>
      <c r="G9" s="56">
        <v>13.981</v>
      </c>
      <c r="H9" s="56">
        <v>14.178000000000001</v>
      </c>
      <c r="I9" s="56">
        <v>14.333</v>
      </c>
      <c r="J9" s="56">
        <v>14.654</v>
      </c>
      <c r="K9" s="56">
        <v>14.827</v>
      </c>
      <c r="L9" s="56">
        <v>15.052</v>
      </c>
      <c r="M9" s="56">
        <v>15.259</v>
      </c>
      <c r="N9" s="56">
        <v>15.558999999999999</v>
      </c>
      <c r="O9" s="56">
        <v>15.836</v>
      </c>
      <c r="P9" s="56">
        <v>16.048999999999999</v>
      </c>
      <c r="Q9" s="56">
        <v>16.353000000000002</v>
      </c>
      <c r="R9" s="56">
        <v>16.827999999999999</v>
      </c>
      <c r="S9" s="56">
        <v>17.413</v>
      </c>
      <c r="T9" s="56">
        <v>18.047999999999998</v>
      </c>
      <c r="U9" s="56">
        <v>18.579000000000001</v>
      </c>
      <c r="V9" s="56">
        <v>18.952999999999999</v>
      </c>
      <c r="W9" s="56">
        <v>19.329000000000001</v>
      </c>
      <c r="X9" s="56">
        <v>19.576000000000001</v>
      </c>
      <c r="Y9" s="56">
        <v>19.826000000000001</v>
      </c>
      <c r="Z9" s="56">
        <v>20.05</v>
      </c>
      <c r="AA9" s="56">
        <v>20.292999999999999</v>
      </c>
      <c r="AB9" s="56">
        <v>20.443999999999999</v>
      </c>
      <c r="AC9" s="56">
        <v>20.689</v>
      </c>
      <c r="AD9" s="56">
        <v>21.079000000000001</v>
      </c>
      <c r="AE9" s="56">
        <v>21.456</v>
      </c>
      <c r="AF9" s="56">
        <v>21.821000000000002</v>
      </c>
      <c r="AG9" s="56">
        <v>22.189</v>
      </c>
      <c r="AH9" s="56">
        <v>22.503</v>
      </c>
      <c r="AI9" s="56">
        <v>22.879000000000001</v>
      </c>
      <c r="AJ9" s="56">
        <v>23.227</v>
      </c>
      <c r="AK9" s="56">
        <v>23.56</v>
      </c>
      <c r="AL9" s="56">
        <v>24.120999999999999</v>
      </c>
      <c r="AM9" s="56">
        <v>24.672999999999998</v>
      </c>
      <c r="AN9" s="56">
        <v>25.509</v>
      </c>
      <c r="AO9" s="56">
        <v>26.007000000000001</v>
      </c>
      <c r="AP9" s="56">
        <v>26.684000000000001</v>
      </c>
      <c r="AQ9" s="56">
        <v>27.417000000000002</v>
      </c>
      <c r="AR9" s="56">
        <v>28.207999999999998</v>
      </c>
      <c r="AS9" s="56">
        <v>28.975999999999999</v>
      </c>
      <c r="AT9" s="56">
        <v>29.917000000000002</v>
      </c>
      <c r="AU9" s="56">
        <v>30.562000000000001</v>
      </c>
      <c r="AV9" s="56">
        <v>30.977</v>
      </c>
      <c r="AW9" s="56">
        <v>31.466000000000001</v>
      </c>
      <c r="AX9" s="56">
        <v>31.997</v>
      </c>
      <c r="AY9" s="56">
        <v>32.511000000000003</v>
      </c>
      <c r="AZ9" s="56">
        <v>33.021000000000001</v>
      </c>
      <c r="BA9" s="56">
        <v>33.441000000000003</v>
      </c>
      <c r="BB9" s="56">
        <v>33.680999999999997</v>
      </c>
      <c r="BC9" s="56">
        <v>34.051000000000002</v>
      </c>
      <c r="BD9" s="56">
        <v>34.381</v>
      </c>
      <c r="BE9" s="56">
        <v>34.642000000000003</v>
      </c>
      <c r="BF9" s="56">
        <v>35.145000000000003</v>
      </c>
      <c r="BG9" s="56">
        <v>35.478999999999999</v>
      </c>
      <c r="BH9" s="56">
        <v>35.81</v>
      </c>
      <c r="BI9" s="56">
        <v>36.165999999999997</v>
      </c>
      <c r="BJ9" s="56">
        <v>36.593000000000004</v>
      </c>
      <c r="BK9" s="56">
        <v>36.953000000000003</v>
      </c>
      <c r="BL9" s="56">
        <v>37.259</v>
      </c>
      <c r="BM9" s="56">
        <v>37.603999999999999</v>
      </c>
      <c r="BN9" s="56">
        <v>37.76</v>
      </c>
      <c r="BO9" s="56">
        <v>37.927</v>
      </c>
      <c r="BP9" s="56">
        <v>38.255000000000003</v>
      </c>
      <c r="BQ9" s="56">
        <v>38.741</v>
      </c>
      <c r="BR9" s="56">
        <v>39.295000000000002</v>
      </c>
      <c r="BS9" s="56">
        <v>39.776000000000003</v>
      </c>
      <c r="BT9" s="56">
        <v>40.252000000000002</v>
      </c>
      <c r="BU9" s="56">
        <v>40.491</v>
      </c>
      <c r="BV9" s="56">
        <v>40.698999999999998</v>
      </c>
      <c r="BW9" s="56">
        <v>41.095999999999997</v>
      </c>
      <c r="BX9" s="56">
        <v>41.442999999999998</v>
      </c>
      <c r="BY9" s="56">
        <v>41.917999999999999</v>
      </c>
      <c r="BZ9" s="56">
        <v>42.469000000000001</v>
      </c>
      <c r="CA9" s="56">
        <v>43.045999999999999</v>
      </c>
      <c r="CB9" s="56">
        <v>43.45</v>
      </c>
      <c r="CC9" s="56">
        <v>44.011000000000003</v>
      </c>
      <c r="CD9" s="56">
        <v>44.634</v>
      </c>
      <c r="CE9" s="56">
        <v>45.094000000000001</v>
      </c>
      <c r="CF9" s="56">
        <v>45.707000000000001</v>
      </c>
      <c r="CG9" s="56">
        <v>46.427</v>
      </c>
      <c r="CH9" s="56">
        <v>46.622</v>
      </c>
      <c r="CI9" s="56">
        <v>46.904000000000003</v>
      </c>
      <c r="CJ9" s="56">
        <v>47.29</v>
      </c>
      <c r="CK9" s="56">
        <v>47.703000000000003</v>
      </c>
      <c r="CL9" s="56">
        <v>48.042999999999999</v>
      </c>
      <c r="CM9" s="56">
        <v>48.616999999999997</v>
      </c>
      <c r="CN9" s="56">
        <v>48.975000000000001</v>
      </c>
      <c r="CO9" s="56">
        <v>49.31</v>
      </c>
      <c r="CP9" s="56">
        <v>49.597000000000001</v>
      </c>
      <c r="CQ9" s="56">
        <v>49.889000000000003</v>
      </c>
      <c r="CR9" s="56">
        <v>50.030999999999999</v>
      </c>
      <c r="CS9" s="56">
        <v>50.283000000000001</v>
      </c>
      <c r="CT9" s="56">
        <v>50.694000000000003</v>
      </c>
      <c r="CU9" s="56">
        <v>50.975000000000001</v>
      </c>
      <c r="CV9" s="56">
        <v>51.420999999999999</v>
      </c>
      <c r="CW9" s="56">
        <v>51.856999999999999</v>
      </c>
      <c r="CX9" s="56">
        <v>52.146000000000001</v>
      </c>
      <c r="CY9" s="56">
        <v>52.542000000000002</v>
      </c>
      <c r="CZ9" s="56">
        <v>52.758000000000003</v>
      </c>
      <c r="DA9" s="56">
        <v>52.96</v>
      </c>
      <c r="DB9" s="56">
        <v>53.488999999999997</v>
      </c>
      <c r="DC9" s="56">
        <v>53.561</v>
      </c>
      <c r="DD9" s="56">
        <v>53.899000000000001</v>
      </c>
      <c r="DE9" s="56">
        <v>54.286000000000001</v>
      </c>
      <c r="DF9" s="56">
        <v>54.646000000000001</v>
      </c>
      <c r="DG9" s="56">
        <v>54.823</v>
      </c>
      <c r="DH9" s="56">
        <v>55.061</v>
      </c>
      <c r="DI9" s="56">
        <v>55.493000000000002</v>
      </c>
      <c r="DJ9" s="56">
        <v>55.567</v>
      </c>
      <c r="DK9" s="56">
        <v>55.813000000000002</v>
      </c>
      <c r="DL9" s="56">
        <v>56.231000000000002</v>
      </c>
      <c r="DM9" s="56">
        <v>56.701000000000001</v>
      </c>
      <c r="DN9" s="56">
        <v>57.134999999999998</v>
      </c>
      <c r="DO9" s="56">
        <v>57.908999999999999</v>
      </c>
      <c r="DP9" s="56">
        <v>58.603999999999999</v>
      </c>
      <c r="DQ9" s="56">
        <v>59.277000000000001</v>
      </c>
      <c r="DR9" s="56">
        <v>60.033999999999999</v>
      </c>
      <c r="DS9" s="56">
        <v>60.671999999999997</v>
      </c>
      <c r="DT9" s="56">
        <v>61.323999999999998</v>
      </c>
      <c r="DU9" s="56">
        <v>62.09</v>
      </c>
      <c r="DV9" s="56">
        <v>62.832000000000001</v>
      </c>
      <c r="DW9" s="56">
        <v>63.076999999999998</v>
      </c>
      <c r="DX9" s="56">
        <v>63.241</v>
      </c>
      <c r="DY9" s="56">
        <v>63.363</v>
      </c>
      <c r="DZ9" s="56">
        <v>63.735999999999997</v>
      </c>
      <c r="EA9" s="56">
        <v>64.311000000000007</v>
      </c>
      <c r="EB9" s="56">
        <v>64.778000000000006</v>
      </c>
      <c r="EC9" s="56">
        <v>65.325000000000003</v>
      </c>
      <c r="ED9" s="56">
        <v>66.256</v>
      </c>
      <c r="EE9" s="56">
        <v>66.307000000000002</v>
      </c>
      <c r="EF9" s="56">
        <v>66.747</v>
      </c>
      <c r="EG9" s="56">
        <v>67.272999999999996</v>
      </c>
      <c r="EH9" s="56">
        <v>68.131</v>
      </c>
      <c r="EI9" s="56">
        <v>69.108000000000004</v>
      </c>
      <c r="EJ9" s="56">
        <v>70.224000000000004</v>
      </c>
      <c r="EK9" s="56">
        <v>71.438999999999993</v>
      </c>
      <c r="EL9" s="56">
        <v>72.085999999999999</v>
      </c>
      <c r="EM9" s="56">
        <v>73.010000000000005</v>
      </c>
      <c r="EN9" s="56">
        <v>74.180000000000007</v>
      </c>
      <c r="EO9" s="56">
        <v>75.391000000000005</v>
      </c>
      <c r="EP9" s="56">
        <v>75.930000000000007</v>
      </c>
      <c r="EQ9" s="56">
        <v>77.102999999999994</v>
      </c>
      <c r="ER9" s="56">
        <v>77.885999999999996</v>
      </c>
      <c r="ES9" s="56">
        <v>78.707999999999998</v>
      </c>
      <c r="ET9" s="56">
        <v>80.213999999999999</v>
      </c>
      <c r="EU9" s="56">
        <v>81.082999999999998</v>
      </c>
      <c r="EV9" s="56">
        <v>81.971000000000004</v>
      </c>
      <c r="EW9" s="56">
        <v>83.146000000000001</v>
      </c>
      <c r="EX9" s="56">
        <v>84.486000000000004</v>
      </c>
      <c r="EY9" s="56">
        <v>85.668999999999997</v>
      </c>
      <c r="EZ9" s="56">
        <v>86.826999999999998</v>
      </c>
      <c r="FA9" s="56">
        <v>85.784000000000006</v>
      </c>
      <c r="FB9" s="56">
        <v>84.68</v>
      </c>
      <c r="FC9" s="56">
        <v>84.875</v>
      </c>
      <c r="FD9" s="56">
        <v>85.316999999999993</v>
      </c>
      <c r="FE9" s="56">
        <v>85.932000000000002</v>
      </c>
      <c r="FF9" s="56">
        <v>86.789000000000001</v>
      </c>
      <c r="FG9" s="56">
        <v>87.373000000000005</v>
      </c>
      <c r="FH9" s="56">
        <v>87.834000000000003</v>
      </c>
      <c r="FI9" s="56">
        <v>88.572999999999993</v>
      </c>
      <c r="FJ9" s="56">
        <v>89.474000000000004</v>
      </c>
      <c r="FK9" s="56">
        <v>90.561999999999998</v>
      </c>
      <c r="FL9" s="56">
        <v>91.025000000000006</v>
      </c>
      <c r="FM9" s="56">
        <v>90.912999999999997</v>
      </c>
      <c r="FN9" s="56">
        <v>92.015000000000001</v>
      </c>
      <c r="FO9" s="56">
        <v>92.024000000000001</v>
      </c>
      <c r="FP9" s="56">
        <v>92.572000000000003</v>
      </c>
      <c r="FQ9" s="56">
        <v>93.706000000000003</v>
      </c>
      <c r="FR9" s="56">
        <v>94.775000000000006</v>
      </c>
      <c r="FS9" s="56">
        <v>95.259</v>
      </c>
      <c r="FT9" s="56">
        <v>96.013000000000005</v>
      </c>
      <c r="FU9" s="56">
        <v>96.567999999999998</v>
      </c>
      <c r="FV9" s="56">
        <v>97.34</v>
      </c>
      <c r="FW9" s="56">
        <v>97.641999999999996</v>
      </c>
      <c r="FX9" s="56">
        <v>98.161000000000001</v>
      </c>
      <c r="FY9" s="56">
        <v>98.075000000000003</v>
      </c>
      <c r="FZ9" s="56">
        <v>97.174000000000007</v>
      </c>
      <c r="GA9" s="56">
        <v>97.783000000000001</v>
      </c>
      <c r="GB9" s="56">
        <v>97.844999999999999</v>
      </c>
      <c r="GC9" s="56">
        <v>97.466999999999999</v>
      </c>
      <c r="GD9" s="56">
        <v>96.685000000000002</v>
      </c>
      <c r="GE9" s="56">
        <v>97.415999999999997</v>
      </c>
      <c r="GF9" s="56">
        <v>97.721999999999994</v>
      </c>
      <c r="GG9" s="56">
        <v>98.197999999999993</v>
      </c>
      <c r="GH9" s="56">
        <v>99.103999999999999</v>
      </c>
      <c r="GI9" s="56">
        <v>99.283000000000001</v>
      </c>
      <c r="GJ9" s="56">
        <v>100.164</v>
      </c>
      <c r="GK9" s="56">
        <v>101.44799999999999</v>
      </c>
      <c r="GL9" s="56">
        <v>102.759</v>
      </c>
      <c r="GM9" s="56">
        <v>103.807</v>
      </c>
      <c r="GN9" s="56">
        <v>104.739</v>
      </c>
      <c r="GO9" s="56">
        <v>105.197</v>
      </c>
      <c r="GP9" s="56">
        <v>104.74299999999999</v>
      </c>
      <c r="GQ9" s="56">
        <v>105.46</v>
      </c>
      <c r="GR9" s="56">
        <v>105.85599999999999</v>
      </c>
      <c r="GS9" s="56">
        <v>106.498</v>
      </c>
      <c r="GT9" s="56">
        <v>107.871</v>
      </c>
      <c r="GU9" s="56">
        <v>107.643</v>
      </c>
      <c r="GV9" s="56">
        <v>108.94</v>
      </c>
      <c r="GW9" s="56">
        <v>110.30200000000001</v>
      </c>
      <c r="GX9" s="56">
        <v>112.765</v>
      </c>
      <c r="GY9" s="56">
        <v>114.846</v>
      </c>
      <c r="GZ9" s="56">
        <v>116.664</v>
      </c>
      <c r="HA9" s="56">
        <v>118.892</v>
      </c>
      <c r="HB9" s="56">
        <v>121.509</v>
      </c>
      <c r="HC9">
        <v>125.49</v>
      </c>
      <c r="HD9">
        <v>126.015</v>
      </c>
      <c r="HE9">
        <v>126.86799999999999</v>
      </c>
      <c r="HF9">
        <v>126.866</v>
      </c>
      <c r="HG9">
        <v>125.947</v>
      </c>
      <c r="HH9">
        <v>127.717</v>
      </c>
      <c r="HI9">
        <v>127.92400000000001</v>
      </c>
      <c r="HJ9">
        <v>129.13200000000001</v>
      </c>
    </row>
    <row r="10" spans="1:218" x14ac:dyDescent="0.35">
      <c r="A10" s="56" t="s">
        <v>2205</v>
      </c>
      <c r="B10" s="56">
        <v>12.117000000000001</v>
      </c>
      <c r="C10" s="56">
        <v>12.358000000000001</v>
      </c>
      <c r="D10" s="56">
        <v>12.576000000000001</v>
      </c>
      <c r="E10" s="56">
        <v>12.788</v>
      </c>
      <c r="F10" s="56">
        <v>13.102</v>
      </c>
      <c r="G10" s="56">
        <v>13.348000000000001</v>
      </c>
      <c r="H10" s="56">
        <v>13.548999999999999</v>
      </c>
      <c r="I10" s="56">
        <v>13.672000000000001</v>
      </c>
      <c r="J10" s="56">
        <v>14.016999999999999</v>
      </c>
      <c r="K10" s="56">
        <v>14.201000000000001</v>
      </c>
      <c r="L10" s="56">
        <v>14.422000000000001</v>
      </c>
      <c r="M10" s="56">
        <v>14.601000000000001</v>
      </c>
      <c r="N10" s="56">
        <v>14.888999999999999</v>
      </c>
      <c r="O10" s="56">
        <v>15.141</v>
      </c>
      <c r="P10" s="56">
        <v>15.316000000000001</v>
      </c>
      <c r="Q10" s="56">
        <v>15.573</v>
      </c>
      <c r="R10" s="56">
        <v>15.951000000000001</v>
      </c>
      <c r="S10" s="56">
        <v>16.38</v>
      </c>
      <c r="T10" s="56">
        <v>16.850999999999999</v>
      </c>
      <c r="U10" s="56">
        <v>17.292000000000002</v>
      </c>
      <c r="V10" s="56">
        <v>17.637</v>
      </c>
      <c r="W10" s="56">
        <v>18.062000000000001</v>
      </c>
      <c r="X10" s="56">
        <v>18.34</v>
      </c>
      <c r="Y10" s="56">
        <v>18.606999999999999</v>
      </c>
      <c r="Z10" s="56">
        <v>18.849</v>
      </c>
      <c r="AA10" s="56">
        <v>19.094999999999999</v>
      </c>
      <c r="AB10" s="56">
        <v>19.262</v>
      </c>
      <c r="AC10" s="56">
        <v>19.516999999999999</v>
      </c>
      <c r="AD10" s="56">
        <v>19.913</v>
      </c>
      <c r="AE10" s="56">
        <v>20.309000000000001</v>
      </c>
      <c r="AF10" s="56">
        <v>20.672000000000001</v>
      </c>
      <c r="AG10" s="56">
        <v>21.050999999999998</v>
      </c>
      <c r="AH10" s="56">
        <v>21.356999999999999</v>
      </c>
      <c r="AI10" s="56">
        <v>21.7</v>
      </c>
      <c r="AJ10" s="56">
        <v>22.01</v>
      </c>
      <c r="AK10" s="56">
        <v>22.305</v>
      </c>
      <c r="AL10" s="56">
        <v>22.853000000000002</v>
      </c>
      <c r="AM10" s="56">
        <v>23.352</v>
      </c>
      <c r="AN10" s="56">
        <v>24.172999999999998</v>
      </c>
      <c r="AO10" s="56">
        <v>24.588000000000001</v>
      </c>
      <c r="AP10" s="56">
        <v>25.22</v>
      </c>
      <c r="AQ10" s="56">
        <v>25.905000000000001</v>
      </c>
      <c r="AR10" s="56">
        <v>26.625</v>
      </c>
      <c r="AS10" s="56">
        <v>27.332999999999998</v>
      </c>
      <c r="AT10" s="56">
        <v>28.25</v>
      </c>
      <c r="AU10" s="56">
        <v>28.84</v>
      </c>
      <c r="AV10" s="56">
        <v>29.184999999999999</v>
      </c>
      <c r="AW10" s="56">
        <v>29.632999999999999</v>
      </c>
      <c r="AX10" s="56">
        <v>30.152000000000001</v>
      </c>
      <c r="AY10" s="56">
        <v>30.632999999999999</v>
      </c>
      <c r="AZ10" s="56">
        <v>31.141999999999999</v>
      </c>
      <c r="BA10" s="56">
        <v>31.609000000000002</v>
      </c>
      <c r="BB10" s="56">
        <v>31.881</v>
      </c>
      <c r="BC10" s="56">
        <v>32.316000000000003</v>
      </c>
      <c r="BD10" s="56">
        <v>32.694000000000003</v>
      </c>
      <c r="BE10" s="56">
        <v>33.000999999999998</v>
      </c>
      <c r="BF10" s="56">
        <v>33.579000000000001</v>
      </c>
      <c r="BG10" s="56">
        <v>33.945</v>
      </c>
      <c r="BH10" s="56">
        <v>34.31</v>
      </c>
      <c r="BI10" s="56">
        <v>34.715000000000003</v>
      </c>
      <c r="BJ10" s="56">
        <v>35.173999999999999</v>
      </c>
      <c r="BK10" s="56">
        <v>35.576000000000001</v>
      </c>
      <c r="BL10" s="56">
        <v>35.905999999999999</v>
      </c>
      <c r="BM10" s="56">
        <v>36.268000000000001</v>
      </c>
      <c r="BN10" s="56">
        <v>36.4</v>
      </c>
      <c r="BO10" s="56">
        <v>36.51</v>
      </c>
      <c r="BP10" s="56">
        <v>36.822000000000003</v>
      </c>
      <c r="BQ10" s="56">
        <v>37.307000000000002</v>
      </c>
      <c r="BR10" s="56">
        <v>37.911999999999999</v>
      </c>
      <c r="BS10" s="56">
        <v>38.409999999999997</v>
      </c>
      <c r="BT10" s="56">
        <v>38.898000000000003</v>
      </c>
      <c r="BU10" s="56">
        <v>39.136000000000003</v>
      </c>
      <c r="BV10" s="56">
        <v>39.308999999999997</v>
      </c>
      <c r="BW10" s="56">
        <v>39.732999999999997</v>
      </c>
      <c r="BX10" s="56">
        <v>40.087000000000003</v>
      </c>
      <c r="BY10" s="56">
        <v>40.606000000000002</v>
      </c>
      <c r="BZ10" s="56">
        <v>41.222000000000001</v>
      </c>
      <c r="CA10" s="56">
        <v>41.835999999999999</v>
      </c>
      <c r="CB10" s="56">
        <v>42.247999999999998</v>
      </c>
      <c r="CC10" s="56">
        <v>42.869</v>
      </c>
      <c r="CD10" s="56">
        <v>43.548000000000002</v>
      </c>
      <c r="CE10" s="56">
        <v>44.012999999999998</v>
      </c>
      <c r="CF10" s="56">
        <v>44.652000000000001</v>
      </c>
      <c r="CG10" s="56">
        <v>45.497999999999998</v>
      </c>
      <c r="CH10" s="56">
        <v>45.713999999999999</v>
      </c>
      <c r="CI10" s="56">
        <v>46.000999999999998</v>
      </c>
      <c r="CJ10" s="56">
        <v>46.44</v>
      </c>
      <c r="CK10" s="56">
        <v>46.969000000000001</v>
      </c>
      <c r="CL10" s="56">
        <v>47.411000000000001</v>
      </c>
      <c r="CM10" s="56">
        <v>48.055999999999997</v>
      </c>
      <c r="CN10" s="56">
        <v>48.466999999999999</v>
      </c>
      <c r="CO10" s="56">
        <v>48.822000000000003</v>
      </c>
      <c r="CP10" s="56">
        <v>49.088999999999999</v>
      </c>
      <c r="CQ10" s="56">
        <v>49.378999999999998</v>
      </c>
      <c r="CR10" s="56">
        <v>49.54</v>
      </c>
      <c r="CS10" s="56">
        <v>49.792999999999999</v>
      </c>
      <c r="CT10" s="56">
        <v>50.21</v>
      </c>
      <c r="CU10" s="56">
        <v>50.502000000000002</v>
      </c>
      <c r="CV10" s="56">
        <v>50.942999999999998</v>
      </c>
      <c r="CW10" s="56">
        <v>51.378</v>
      </c>
      <c r="CX10" s="56">
        <v>51.613999999999997</v>
      </c>
      <c r="CY10" s="56">
        <v>52.011000000000003</v>
      </c>
      <c r="CZ10" s="56">
        <v>52.207999999999998</v>
      </c>
      <c r="DA10" s="56">
        <v>52.384999999999998</v>
      </c>
      <c r="DB10" s="56">
        <v>52.962000000000003</v>
      </c>
      <c r="DC10" s="56">
        <v>53.036999999999999</v>
      </c>
      <c r="DD10" s="56">
        <v>53.387999999999998</v>
      </c>
      <c r="DE10" s="56">
        <v>53.820999999999998</v>
      </c>
      <c r="DF10" s="56">
        <v>54.19</v>
      </c>
      <c r="DG10" s="56">
        <v>54.32</v>
      </c>
      <c r="DH10" s="56">
        <v>54.579000000000001</v>
      </c>
      <c r="DI10" s="56">
        <v>55.024999999999999</v>
      </c>
      <c r="DJ10" s="56">
        <v>55.112000000000002</v>
      </c>
      <c r="DK10" s="56">
        <v>55.405000000000001</v>
      </c>
      <c r="DL10" s="56">
        <v>55.837000000000003</v>
      </c>
      <c r="DM10" s="56">
        <v>56.34</v>
      </c>
      <c r="DN10" s="56">
        <v>56.820999999999998</v>
      </c>
      <c r="DO10" s="56">
        <v>57.673000000000002</v>
      </c>
      <c r="DP10" s="56">
        <v>58.472000000000001</v>
      </c>
      <c r="DQ10" s="56">
        <v>59.185000000000002</v>
      </c>
      <c r="DR10" s="56">
        <v>60.011000000000003</v>
      </c>
      <c r="DS10" s="56">
        <v>60.637999999999998</v>
      </c>
      <c r="DT10" s="56">
        <v>61.35</v>
      </c>
      <c r="DU10" s="56">
        <v>62.213999999999999</v>
      </c>
      <c r="DV10" s="56">
        <v>63.045000000000002</v>
      </c>
      <c r="DW10" s="56">
        <v>63.311</v>
      </c>
      <c r="DX10" s="56">
        <v>63.468000000000004</v>
      </c>
      <c r="DY10" s="56">
        <v>63.537999999999997</v>
      </c>
      <c r="DZ10" s="56">
        <v>63.935000000000002</v>
      </c>
      <c r="EA10" s="56">
        <v>64.566999999999993</v>
      </c>
      <c r="EB10" s="56">
        <v>65.099999999999994</v>
      </c>
      <c r="EC10" s="56">
        <v>65.754999999999995</v>
      </c>
      <c r="ED10" s="56">
        <v>66.789000000000001</v>
      </c>
      <c r="EE10" s="56">
        <v>66.835999999999999</v>
      </c>
      <c r="EF10" s="56">
        <v>67.364999999999995</v>
      </c>
      <c r="EG10" s="56">
        <v>67.98</v>
      </c>
      <c r="EH10" s="56">
        <v>68.947000000000003</v>
      </c>
      <c r="EI10" s="56">
        <v>69.87</v>
      </c>
      <c r="EJ10" s="56">
        <v>70.819000000000003</v>
      </c>
      <c r="EK10" s="56">
        <v>71.933000000000007</v>
      </c>
      <c r="EL10" s="56">
        <v>72.594999999999999</v>
      </c>
      <c r="EM10" s="56">
        <v>73.424000000000007</v>
      </c>
      <c r="EN10" s="56">
        <v>74.492000000000004</v>
      </c>
      <c r="EO10" s="56">
        <v>75.751000000000005</v>
      </c>
      <c r="EP10" s="56">
        <v>76.31</v>
      </c>
      <c r="EQ10" s="56">
        <v>77.367000000000004</v>
      </c>
      <c r="ER10" s="56">
        <v>78.082999999999998</v>
      </c>
      <c r="ES10" s="56">
        <v>78.665999999999997</v>
      </c>
      <c r="ET10" s="56">
        <v>80.055000000000007</v>
      </c>
      <c r="EU10" s="56">
        <v>80.929000000000002</v>
      </c>
      <c r="EV10" s="56">
        <v>81.84</v>
      </c>
      <c r="EW10" s="56">
        <v>83.063999999999993</v>
      </c>
      <c r="EX10" s="56">
        <v>84.537000000000006</v>
      </c>
      <c r="EY10" s="56">
        <v>85.850999999999999</v>
      </c>
      <c r="EZ10" s="56">
        <v>87.024000000000001</v>
      </c>
      <c r="FA10" s="56">
        <v>85.35</v>
      </c>
      <c r="FB10" s="56">
        <v>83.858999999999995</v>
      </c>
      <c r="FC10" s="56">
        <v>84.284000000000006</v>
      </c>
      <c r="FD10" s="56">
        <v>85.016000000000005</v>
      </c>
      <c r="FE10" s="56">
        <v>85.792000000000002</v>
      </c>
      <c r="FF10" s="56">
        <v>86.787999999999997</v>
      </c>
      <c r="FG10" s="56">
        <v>87.418999999999997</v>
      </c>
      <c r="FH10" s="56">
        <v>87.921999999999997</v>
      </c>
      <c r="FI10" s="56">
        <v>88.741</v>
      </c>
      <c r="FJ10" s="56">
        <v>89.727000000000004</v>
      </c>
      <c r="FK10" s="56">
        <v>90.858999999999995</v>
      </c>
      <c r="FL10" s="56">
        <v>91.197999999999993</v>
      </c>
      <c r="FM10" s="56">
        <v>90.867000000000004</v>
      </c>
      <c r="FN10" s="56">
        <v>92.066999999999993</v>
      </c>
      <c r="FO10" s="56">
        <v>91.918999999999997</v>
      </c>
      <c r="FP10" s="56">
        <v>92.477000000000004</v>
      </c>
      <c r="FQ10" s="56">
        <v>93.82</v>
      </c>
      <c r="FR10" s="56">
        <v>95.039000000000001</v>
      </c>
      <c r="FS10" s="56">
        <v>95.528000000000006</v>
      </c>
      <c r="FT10" s="56">
        <v>96.335999999999999</v>
      </c>
      <c r="FU10" s="56">
        <v>96.86</v>
      </c>
      <c r="FV10" s="56">
        <v>97.683000000000007</v>
      </c>
      <c r="FW10" s="56">
        <v>97.96</v>
      </c>
      <c r="FX10" s="56">
        <v>98.494</v>
      </c>
      <c r="FY10" s="56">
        <v>98.355000000000004</v>
      </c>
      <c r="FZ10" s="56">
        <v>97.266999999999996</v>
      </c>
      <c r="GA10" s="56">
        <v>97.921000000000006</v>
      </c>
      <c r="GB10" s="56">
        <v>97.936999999999998</v>
      </c>
      <c r="GC10" s="56">
        <v>97.49</v>
      </c>
      <c r="GD10" s="56">
        <v>96.588999999999999</v>
      </c>
      <c r="GE10" s="56">
        <v>97.31</v>
      </c>
      <c r="GF10" s="56">
        <v>97.668999999999997</v>
      </c>
      <c r="GG10" s="56">
        <v>98.147000000000006</v>
      </c>
      <c r="GH10" s="56">
        <v>99.114999999999995</v>
      </c>
      <c r="GI10" s="56">
        <v>99.218000000000004</v>
      </c>
      <c r="GJ10" s="56">
        <v>100.108</v>
      </c>
      <c r="GK10" s="56">
        <v>101.559</v>
      </c>
      <c r="GL10" s="56">
        <v>102.955</v>
      </c>
      <c r="GM10" s="56">
        <v>103.943</v>
      </c>
      <c r="GN10" s="56">
        <v>104.932</v>
      </c>
      <c r="GO10" s="56">
        <v>105.254</v>
      </c>
      <c r="GP10" s="56">
        <v>104.602</v>
      </c>
      <c r="GQ10" s="56">
        <v>105.227</v>
      </c>
      <c r="GR10" s="56">
        <v>105.613</v>
      </c>
      <c r="GS10" s="56">
        <v>106.369</v>
      </c>
      <c r="GT10" s="56">
        <v>107.994</v>
      </c>
      <c r="GU10" s="56">
        <v>107.79300000000001</v>
      </c>
      <c r="GV10" s="56">
        <v>109.14</v>
      </c>
      <c r="GW10" s="56">
        <v>110.675</v>
      </c>
      <c r="GX10" s="56">
        <v>113.297</v>
      </c>
      <c r="GY10" s="56">
        <v>115.264</v>
      </c>
      <c r="GZ10" s="56">
        <v>116.973</v>
      </c>
      <c r="HA10" s="56">
        <v>119.054</v>
      </c>
      <c r="HB10" s="56">
        <v>121.578</v>
      </c>
      <c r="HC10">
        <v>125.643</v>
      </c>
      <c r="HD10">
        <v>125.80500000000001</v>
      </c>
      <c r="HE10">
        <v>126.575</v>
      </c>
      <c r="HF10">
        <v>126.235</v>
      </c>
      <c r="HG10">
        <v>125.096</v>
      </c>
      <c r="HH10">
        <v>127.176</v>
      </c>
      <c r="HI10">
        <v>127.35599999999999</v>
      </c>
      <c r="HJ10">
        <v>128.66300000000001</v>
      </c>
    </row>
    <row r="11" spans="1:218" x14ac:dyDescent="0.35">
      <c r="A11" s="56" t="s">
        <v>2206</v>
      </c>
      <c r="B11" s="56">
        <v>15.584</v>
      </c>
      <c r="C11" s="56">
        <v>15.976000000000001</v>
      </c>
      <c r="D11" s="56">
        <v>16.285</v>
      </c>
      <c r="E11" s="56">
        <v>16.699000000000002</v>
      </c>
      <c r="F11" s="56">
        <v>16.98</v>
      </c>
      <c r="G11" s="56">
        <v>17.251000000000001</v>
      </c>
      <c r="H11" s="56">
        <v>17.439</v>
      </c>
      <c r="I11" s="56">
        <v>17.741</v>
      </c>
      <c r="J11" s="56">
        <v>17.968</v>
      </c>
      <c r="K11" s="56">
        <v>18.094000000000001</v>
      </c>
      <c r="L11" s="56">
        <v>18.344999999999999</v>
      </c>
      <c r="M11" s="56">
        <v>18.687999999999999</v>
      </c>
      <c r="N11" s="56">
        <v>19.047999999999998</v>
      </c>
      <c r="O11" s="56">
        <v>19.449000000000002</v>
      </c>
      <c r="P11" s="56">
        <v>19.844999999999999</v>
      </c>
      <c r="Q11" s="56">
        <v>20.378</v>
      </c>
      <c r="R11" s="56">
        <v>21.323</v>
      </c>
      <c r="S11" s="56">
        <v>22.663</v>
      </c>
      <c r="T11" s="56">
        <v>24.111000000000001</v>
      </c>
      <c r="U11" s="56">
        <v>25.113</v>
      </c>
      <c r="V11" s="56">
        <v>25.648</v>
      </c>
      <c r="W11" s="56">
        <v>25.774000000000001</v>
      </c>
      <c r="X11" s="56">
        <v>25.856000000000002</v>
      </c>
      <c r="Y11" s="56">
        <v>26.013000000000002</v>
      </c>
      <c r="Z11" s="56">
        <v>26.140999999999998</v>
      </c>
      <c r="AA11" s="56">
        <v>26.364999999999998</v>
      </c>
      <c r="AB11" s="56">
        <v>26.422999999999998</v>
      </c>
      <c r="AC11" s="56">
        <v>26.602</v>
      </c>
      <c r="AD11" s="56">
        <v>26.946000000000002</v>
      </c>
      <c r="AE11" s="56">
        <v>27.212</v>
      </c>
      <c r="AF11" s="56">
        <v>27.577999999999999</v>
      </c>
      <c r="AG11" s="56">
        <v>27.873000000000001</v>
      </c>
      <c r="AH11" s="56">
        <v>28.219000000000001</v>
      </c>
      <c r="AI11" s="56">
        <v>28.773</v>
      </c>
      <c r="AJ11" s="56">
        <v>29.324000000000002</v>
      </c>
      <c r="AK11" s="56">
        <v>29.847999999999999</v>
      </c>
      <c r="AL11" s="56">
        <v>30.463000000000001</v>
      </c>
      <c r="AM11" s="56">
        <v>31.29</v>
      </c>
      <c r="AN11" s="56">
        <v>32.204000000000001</v>
      </c>
      <c r="AO11" s="56">
        <v>33.118000000000002</v>
      </c>
      <c r="AP11" s="56">
        <v>34.021999999999998</v>
      </c>
      <c r="AQ11" s="56">
        <v>34.999000000000002</v>
      </c>
      <c r="AR11" s="56">
        <v>36.149000000000001</v>
      </c>
      <c r="AS11" s="56">
        <v>37.219000000000001</v>
      </c>
      <c r="AT11" s="56">
        <v>38.273000000000003</v>
      </c>
      <c r="AU11" s="56">
        <v>39.188000000000002</v>
      </c>
      <c r="AV11" s="56">
        <v>39.991</v>
      </c>
      <c r="AW11" s="56">
        <v>40.703000000000003</v>
      </c>
      <c r="AX11" s="56">
        <v>41.274000000000001</v>
      </c>
      <c r="AY11" s="56">
        <v>41.965000000000003</v>
      </c>
      <c r="AZ11" s="56">
        <v>42.46</v>
      </c>
      <c r="BA11" s="56">
        <v>42.567999999999998</v>
      </c>
      <c r="BB11" s="56">
        <v>42.606999999999999</v>
      </c>
      <c r="BC11" s="56">
        <v>42.55</v>
      </c>
      <c r="BD11" s="56">
        <v>42.573999999999998</v>
      </c>
      <c r="BE11" s="56">
        <v>42.561999999999998</v>
      </c>
      <c r="BF11" s="56">
        <v>42.607999999999997</v>
      </c>
      <c r="BG11" s="56">
        <v>42.759</v>
      </c>
      <c r="BH11" s="56">
        <v>42.896999999999998</v>
      </c>
      <c r="BI11" s="56">
        <v>42.984000000000002</v>
      </c>
      <c r="BJ11" s="56">
        <v>43.222999999999999</v>
      </c>
      <c r="BK11" s="56">
        <v>43.356999999999999</v>
      </c>
      <c r="BL11" s="56">
        <v>43.533999999999999</v>
      </c>
      <c r="BM11" s="56">
        <v>43.793999999999997</v>
      </c>
      <c r="BN11" s="56">
        <v>44.066000000000003</v>
      </c>
      <c r="BO11" s="56">
        <v>44.52</v>
      </c>
      <c r="BP11" s="56">
        <v>44.924999999999997</v>
      </c>
      <c r="BQ11" s="56">
        <v>45.411000000000001</v>
      </c>
      <c r="BR11" s="56">
        <v>45.701999999999998</v>
      </c>
      <c r="BS11" s="56">
        <v>46.087000000000003</v>
      </c>
      <c r="BT11" s="56">
        <v>46.497</v>
      </c>
      <c r="BU11" s="56">
        <v>46.743000000000002</v>
      </c>
      <c r="BV11" s="56">
        <v>47.119</v>
      </c>
      <c r="BW11" s="56">
        <v>47.378999999999998</v>
      </c>
      <c r="BX11" s="56">
        <v>47.685000000000002</v>
      </c>
      <c r="BY11" s="56">
        <v>47.936</v>
      </c>
      <c r="BZ11" s="56">
        <v>48.167999999999999</v>
      </c>
      <c r="CA11" s="56">
        <v>48.558999999999997</v>
      </c>
      <c r="CB11" s="56">
        <v>48.918999999999997</v>
      </c>
      <c r="CC11" s="56">
        <v>49.19</v>
      </c>
      <c r="CD11" s="56">
        <v>49.543999999999997</v>
      </c>
      <c r="CE11" s="56">
        <v>49.981000000000002</v>
      </c>
      <c r="CF11" s="56">
        <v>50.466000000000001</v>
      </c>
      <c r="CG11" s="56">
        <v>50.600999999999999</v>
      </c>
      <c r="CH11" s="56">
        <v>50.7</v>
      </c>
      <c r="CI11" s="56">
        <v>50.960999999999999</v>
      </c>
      <c r="CJ11" s="56">
        <v>51.097000000000001</v>
      </c>
      <c r="CK11" s="56">
        <v>50.969000000000001</v>
      </c>
      <c r="CL11" s="56">
        <v>50.835999999999999</v>
      </c>
      <c r="CM11" s="56">
        <v>51.076000000000001</v>
      </c>
      <c r="CN11" s="56">
        <v>51.180999999999997</v>
      </c>
      <c r="CO11" s="56">
        <v>51.414000000000001</v>
      </c>
      <c r="CP11" s="56">
        <v>51.795999999999999</v>
      </c>
      <c r="CQ11" s="56">
        <v>52.097999999999999</v>
      </c>
      <c r="CR11" s="56">
        <v>52.151000000000003</v>
      </c>
      <c r="CS11" s="56">
        <v>52.395000000000003</v>
      </c>
      <c r="CT11" s="56">
        <v>52.777000000000001</v>
      </c>
      <c r="CU11" s="56">
        <v>53.006</v>
      </c>
      <c r="CV11" s="56">
        <v>53.47</v>
      </c>
      <c r="CW11" s="56">
        <v>53.914999999999999</v>
      </c>
      <c r="CX11" s="56">
        <v>54.453000000000003</v>
      </c>
      <c r="CY11" s="56">
        <v>54.843000000000004</v>
      </c>
      <c r="CZ11" s="56">
        <v>55.145000000000003</v>
      </c>
      <c r="DA11" s="56">
        <v>55.463000000000001</v>
      </c>
      <c r="DB11" s="56">
        <v>55.761000000000003</v>
      </c>
      <c r="DC11" s="56">
        <v>55.822000000000003</v>
      </c>
      <c r="DD11" s="56">
        <v>56.1</v>
      </c>
      <c r="DE11" s="56">
        <v>56.280999999999999</v>
      </c>
      <c r="DF11" s="56">
        <v>56.598999999999997</v>
      </c>
      <c r="DG11" s="56">
        <v>56.984999999999999</v>
      </c>
      <c r="DH11" s="56">
        <v>57.13</v>
      </c>
      <c r="DI11" s="56">
        <v>57.497</v>
      </c>
      <c r="DJ11" s="56">
        <v>57.517000000000003</v>
      </c>
      <c r="DK11" s="56">
        <v>57.552</v>
      </c>
      <c r="DL11" s="56">
        <v>57.908000000000001</v>
      </c>
      <c r="DM11" s="56">
        <v>58.234000000000002</v>
      </c>
      <c r="DN11" s="56">
        <v>58.468000000000004</v>
      </c>
      <c r="DO11" s="56">
        <v>58.901000000000003</v>
      </c>
      <c r="DP11" s="56">
        <v>59.15</v>
      </c>
      <c r="DQ11" s="56">
        <v>59.654000000000003</v>
      </c>
      <c r="DR11" s="56">
        <v>60.125999999999998</v>
      </c>
      <c r="DS11" s="56">
        <v>60.811</v>
      </c>
      <c r="DT11" s="56">
        <v>61.209000000000003</v>
      </c>
      <c r="DU11" s="56">
        <v>61.569000000000003</v>
      </c>
      <c r="DV11" s="56">
        <v>61.948999999999998</v>
      </c>
      <c r="DW11" s="56">
        <v>62.107999999999997</v>
      </c>
      <c r="DX11" s="56">
        <v>62.302999999999997</v>
      </c>
      <c r="DY11" s="56">
        <v>62.637999999999998</v>
      </c>
      <c r="DZ11" s="56">
        <v>62.912999999999997</v>
      </c>
      <c r="EA11" s="56">
        <v>63.255000000000003</v>
      </c>
      <c r="EB11" s="56">
        <v>63.448999999999998</v>
      </c>
      <c r="EC11" s="56">
        <v>63.558999999999997</v>
      </c>
      <c r="ED11" s="56">
        <v>64.085999999999999</v>
      </c>
      <c r="EE11" s="56">
        <v>64.153000000000006</v>
      </c>
      <c r="EF11" s="56">
        <v>64.233999999999995</v>
      </c>
      <c r="EG11" s="56">
        <v>64.412000000000006</v>
      </c>
      <c r="EH11" s="56">
        <v>64.831000000000003</v>
      </c>
      <c r="EI11" s="56">
        <v>66.022000000000006</v>
      </c>
      <c r="EJ11" s="56">
        <v>67.8</v>
      </c>
      <c r="EK11" s="56">
        <v>69.427999999999997</v>
      </c>
      <c r="EL11" s="56">
        <v>70.015000000000001</v>
      </c>
      <c r="EM11" s="56">
        <v>71.331999999999994</v>
      </c>
      <c r="EN11" s="56">
        <v>72.921000000000006</v>
      </c>
      <c r="EO11" s="56">
        <v>73.938000000000002</v>
      </c>
      <c r="EP11" s="56">
        <v>74.397000000000006</v>
      </c>
      <c r="EQ11" s="56">
        <v>76.037000000000006</v>
      </c>
      <c r="ER11" s="56">
        <v>77.094999999999999</v>
      </c>
      <c r="ES11" s="56">
        <v>78.903000000000006</v>
      </c>
      <c r="ET11" s="56">
        <v>80.894000000000005</v>
      </c>
      <c r="EU11" s="56">
        <v>81.739999999999995</v>
      </c>
      <c r="EV11" s="56">
        <v>82.527000000000001</v>
      </c>
      <c r="EW11" s="56">
        <v>83.498000000000005</v>
      </c>
      <c r="EX11" s="56">
        <v>84.29</v>
      </c>
      <c r="EY11" s="56">
        <v>84.938000000000002</v>
      </c>
      <c r="EZ11" s="56">
        <v>86.036000000000001</v>
      </c>
      <c r="FA11" s="56">
        <v>87.611999999999995</v>
      </c>
      <c r="FB11" s="56">
        <v>88.159000000000006</v>
      </c>
      <c r="FC11" s="56">
        <v>87.385000000000005</v>
      </c>
      <c r="FD11" s="56">
        <v>86.596999999999994</v>
      </c>
      <c r="FE11" s="56">
        <v>86.53</v>
      </c>
      <c r="FF11" s="56">
        <v>86.775000000000006</v>
      </c>
      <c r="FG11" s="56">
        <v>87.153000000000006</v>
      </c>
      <c r="FH11" s="56">
        <v>87.427000000000007</v>
      </c>
      <c r="FI11" s="56">
        <v>87.82</v>
      </c>
      <c r="FJ11" s="56">
        <v>88.35</v>
      </c>
      <c r="FK11" s="56">
        <v>89.242999999999995</v>
      </c>
      <c r="FL11" s="56">
        <v>90.251999999999995</v>
      </c>
      <c r="FM11" s="56">
        <v>91.1</v>
      </c>
      <c r="FN11" s="56">
        <v>91.778000000000006</v>
      </c>
      <c r="FO11" s="56">
        <v>92.497</v>
      </c>
      <c r="FP11" s="56">
        <v>93.001999999999995</v>
      </c>
      <c r="FQ11" s="56">
        <v>93.183000000000007</v>
      </c>
      <c r="FR11" s="56">
        <v>93.552000000000007</v>
      </c>
      <c r="FS11" s="56">
        <v>94.016000000000005</v>
      </c>
      <c r="FT11" s="56">
        <v>94.519000000000005</v>
      </c>
      <c r="FU11" s="56">
        <v>95.221999999999994</v>
      </c>
      <c r="FV11" s="56">
        <v>95.751000000000005</v>
      </c>
      <c r="FW11" s="56">
        <v>96.174999999999997</v>
      </c>
      <c r="FX11" s="56">
        <v>96.62</v>
      </c>
      <c r="FY11" s="56">
        <v>96.778999999999996</v>
      </c>
      <c r="FZ11" s="56">
        <v>96.742000000000004</v>
      </c>
      <c r="GA11" s="56">
        <v>97.147999999999996</v>
      </c>
      <c r="GB11" s="56">
        <v>97.418000000000006</v>
      </c>
      <c r="GC11" s="56">
        <v>97.352999999999994</v>
      </c>
      <c r="GD11" s="56">
        <v>97.113</v>
      </c>
      <c r="GE11" s="56">
        <v>97.894000000000005</v>
      </c>
      <c r="GF11" s="56">
        <v>97.953000000000003</v>
      </c>
      <c r="GG11" s="56">
        <v>98.42</v>
      </c>
      <c r="GH11" s="56">
        <v>99.05</v>
      </c>
      <c r="GI11" s="56">
        <v>99.57</v>
      </c>
      <c r="GJ11" s="56">
        <v>100.41200000000001</v>
      </c>
      <c r="GK11" s="56">
        <v>100.968</v>
      </c>
      <c r="GL11" s="56">
        <v>101.911</v>
      </c>
      <c r="GM11" s="56">
        <v>103.214</v>
      </c>
      <c r="GN11" s="56">
        <v>103.89700000000001</v>
      </c>
      <c r="GO11" s="56">
        <v>104.94499999999999</v>
      </c>
      <c r="GP11" s="56">
        <v>105.355</v>
      </c>
      <c r="GQ11" s="56">
        <v>106.47199999999999</v>
      </c>
      <c r="GR11" s="56">
        <v>106.917</v>
      </c>
      <c r="GS11" s="56">
        <v>107.06100000000001</v>
      </c>
      <c r="GT11" s="56">
        <v>107.322</v>
      </c>
      <c r="GU11" s="56">
        <v>106.98099999999999</v>
      </c>
      <c r="GV11" s="56">
        <v>108.051</v>
      </c>
      <c r="GW11" s="56">
        <v>108.63</v>
      </c>
      <c r="GX11" s="56">
        <v>110.369</v>
      </c>
      <c r="GY11" s="56">
        <v>112.94199999999999</v>
      </c>
      <c r="GZ11" s="56">
        <v>115.264</v>
      </c>
      <c r="HA11" s="56">
        <v>118.19799999999999</v>
      </c>
      <c r="HB11" s="56">
        <v>121.27</v>
      </c>
      <c r="HC11">
        <v>124.827</v>
      </c>
      <c r="HD11">
        <v>127.185</v>
      </c>
      <c r="HE11">
        <v>128.44900000000001</v>
      </c>
      <c r="HF11">
        <v>130.08600000000001</v>
      </c>
      <c r="HG11">
        <v>130.202</v>
      </c>
      <c r="HH11">
        <v>130.56700000000001</v>
      </c>
      <c r="HI11">
        <v>130.893</v>
      </c>
      <c r="HJ11">
        <v>131.68299999999999</v>
      </c>
    </row>
    <row r="12" spans="1:218" x14ac:dyDescent="0.35">
      <c r="A12" s="56" t="s">
        <v>2207</v>
      </c>
      <c r="B12" s="56">
        <v>7</v>
      </c>
      <c r="C12" s="56">
        <v>7.2</v>
      </c>
      <c r="D12" s="56">
        <v>7.3</v>
      </c>
      <c r="E12" s="56">
        <v>7.5</v>
      </c>
      <c r="F12" s="56">
        <v>7.8</v>
      </c>
      <c r="G12" s="56">
        <v>8</v>
      </c>
      <c r="H12" s="56">
        <v>8.1</v>
      </c>
      <c r="I12" s="56">
        <v>8.3000000000000007</v>
      </c>
      <c r="J12" s="56">
        <v>8.5</v>
      </c>
      <c r="K12" s="56">
        <v>8.6999999999999993</v>
      </c>
      <c r="L12" s="56">
        <v>8.9</v>
      </c>
      <c r="M12" s="56">
        <v>9.1999999999999993</v>
      </c>
      <c r="N12" s="56">
        <v>9.5</v>
      </c>
      <c r="O12" s="56">
        <v>10</v>
      </c>
      <c r="P12" s="56">
        <v>10.5</v>
      </c>
      <c r="Q12" s="56">
        <v>11</v>
      </c>
      <c r="R12" s="56">
        <v>11.7</v>
      </c>
      <c r="S12" s="56">
        <v>12.4</v>
      </c>
      <c r="T12" s="56">
        <v>13.1</v>
      </c>
      <c r="U12" s="56">
        <v>13.8</v>
      </c>
      <c r="V12" s="56">
        <v>14.5</v>
      </c>
      <c r="W12" s="56">
        <v>15.2</v>
      </c>
      <c r="X12" s="56">
        <v>16</v>
      </c>
      <c r="Y12" s="56">
        <v>16.8</v>
      </c>
      <c r="Z12" s="56">
        <v>17.600000000000001</v>
      </c>
      <c r="AA12" s="56">
        <v>18.399999999999999</v>
      </c>
      <c r="AB12" s="56">
        <v>19.2</v>
      </c>
      <c r="AC12" s="56">
        <v>20</v>
      </c>
      <c r="AD12" s="56">
        <v>20.9</v>
      </c>
      <c r="AE12" s="56">
        <v>21.7</v>
      </c>
      <c r="AF12" s="56">
        <v>22.5</v>
      </c>
      <c r="AG12" s="56">
        <v>23.3</v>
      </c>
      <c r="AH12" s="56">
        <v>24.2</v>
      </c>
      <c r="AI12" s="56">
        <v>25</v>
      </c>
      <c r="AJ12" s="56">
        <v>26</v>
      </c>
      <c r="AK12" s="56">
        <v>27</v>
      </c>
      <c r="AL12" s="56">
        <v>28</v>
      </c>
      <c r="AM12" s="56">
        <v>29.2</v>
      </c>
      <c r="AN12" s="56">
        <v>30.5</v>
      </c>
      <c r="AO12" s="56">
        <v>32</v>
      </c>
      <c r="AP12" s="56">
        <v>33.6</v>
      </c>
      <c r="AQ12" s="56">
        <v>35.299999999999997</v>
      </c>
      <c r="AR12" s="56">
        <v>37</v>
      </c>
      <c r="AS12" s="56">
        <v>38.799999999999997</v>
      </c>
      <c r="AT12" s="56">
        <v>40.700000000000003</v>
      </c>
      <c r="AU12" s="56">
        <v>42.6</v>
      </c>
      <c r="AV12" s="56">
        <v>44.4</v>
      </c>
      <c r="AW12" s="56">
        <v>46.3</v>
      </c>
      <c r="AX12" s="56">
        <v>48.2</v>
      </c>
      <c r="AY12" s="56">
        <v>50.1</v>
      </c>
      <c r="AZ12" s="56">
        <v>51.8</v>
      </c>
      <c r="BA12" s="56">
        <v>53.6</v>
      </c>
      <c r="BB12" s="56">
        <v>55.2</v>
      </c>
      <c r="BC12" s="56">
        <v>56.9</v>
      </c>
      <c r="BD12" s="56">
        <v>58.7</v>
      </c>
      <c r="BE12" s="56">
        <v>60.4</v>
      </c>
      <c r="BF12" s="56">
        <v>62.5</v>
      </c>
      <c r="BG12" s="56">
        <v>64.099999999999994</v>
      </c>
      <c r="BH12" s="56">
        <v>65.599999999999994</v>
      </c>
      <c r="BI12" s="56">
        <v>66.900000000000006</v>
      </c>
      <c r="BJ12" s="56">
        <v>67.900000000000006</v>
      </c>
      <c r="BK12" s="56">
        <v>69.099999999999994</v>
      </c>
      <c r="BL12" s="56">
        <v>70.3</v>
      </c>
      <c r="BM12" s="56">
        <v>71.599999999999994</v>
      </c>
      <c r="BN12" s="56">
        <v>73</v>
      </c>
      <c r="BO12" s="56">
        <v>74.5</v>
      </c>
      <c r="BP12" s="56">
        <v>76</v>
      </c>
      <c r="BQ12" s="56">
        <v>77.599999999999994</v>
      </c>
      <c r="BR12" s="56">
        <v>79.599999999999994</v>
      </c>
      <c r="BS12" s="56">
        <v>81.099999999999994</v>
      </c>
      <c r="BT12" s="56">
        <v>82.3</v>
      </c>
      <c r="BU12" s="56">
        <v>83.3</v>
      </c>
      <c r="BV12" s="56">
        <v>83.4</v>
      </c>
      <c r="BW12" s="56">
        <v>85</v>
      </c>
      <c r="BX12" s="56">
        <v>87</v>
      </c>
      <c r="BY12" s="56">
        <v>89.7</v>
      </c>
      <c r="BZ12" s="56">
        <v>93.8</v>
      </c>
      <c r="CA12" s="56">
        <v>96.9</v>
      </c>
      <c r="CB12" s="56">
        <v>99.7</v>
      </c>
      <c r="CC12" s="56">
        <v>102.3</v>
      </c>
      <c r="CD12" s="56">
        <v>104.3</v>
      </c>
      <c r="CE12" s="56">
        <v>106.5</v>
      </c>
      <c r="CF12" s="56">
        <v>108.7</v>
      </c>
      <c r="CG12" s="56">
        <v>111</v>
      </c>
      <c r="CH12" s="56">
        <v>112.9</v>
      </c>
      <c r="CI12" s="56">
        <v>115.7</v>
      </c>
      <c r="CJ12" s="56">
        <v>118.9</v>
      </c>
      <c r="CK12" s="56">
        <v>122.5</v>
      </c>
      <c r="CL12" s="56">
        <v>127.2</v>
      </c>
      <c r="CM12" s="56">
        <v>131</v>
      </c>
      <c r="CN12" s="56">
        <v>134.5</v>
      </c>
      <c r="CO12" s="56">
        <v>137.69999999999999</v>
      </c>
      <c r="CP12" s="56">
        <v>143.4</v>
      </c>
      <c r="CQ12" s="56">
        <v>144.69999999999999</v>
      </c>
      <c r="CR12" s="56">
        <v>147.5</v>
      </c>
      <c r="CS12" s="56">
        <v>151.6</v>
      </c>
      <c r="CT12" s="56">
        <v>156.9</v>
      </c>
      <c r="CU12" s="56">
        <v>162.19999999999999</v>
      </c>
      <c r="CV12" s="56">
        <v>167.1</v>
      </c>
      <c r="CW12" s="56">
        <v>171.6</v>
      </c>
      <c r="CX12" s="56">
        <v>175.7</v>
      </c>
      <c r="CY12" s="56">
        <v>179.6</v>
      </c>
      <c r="CZ12" s="56">
        <v>183.2</v>
      </c>
      <c r="DA12" s="56">
        <v>186.5</v>
      </c>
      <c r="DB12" s="56">
        <v>189.6</v>
      </c>
      <c r="DC12" s="56">
        <v>192.9</v>
      </c>
      <c r="DD12" s="56">
        <v>196.5</v>
      </c>
      <c r="DE12" s="56">
        <v>200.4</v>
      </c>
      <c r="DF12" s="56">
        <v>204.4</v>
      </c>
      <c r="DG12" s="56">
        <v>207.1</v>
      </c>
      <c r="DH12" s="56">
        <v>208.3</v>
      </c>
      <c r="DI12" s="56">
        <v>207.9</v>
      </c>
      <c r="DJ12" s="56">
        <v>206.4</v>
      </c>
      <c r="DK12" s="56">
        <v>205.3</v>
      </c>
      <c r="DL12" s="56">
        <v>205</v>
      </c>
      <c r="DM12" s="56">
        <v>205.5</v>
      </c>
      <c r="DN12" s="56">
        <v>206.6</v>
      </c>
      <c r="DO12" s="56">
        <v>207.9</v>
      </c>
      <c r="DP12" s="56">
        <v>209.4</v>
      </c>
      <c r="DQ12" s="56">
        <v>211</v>
      </c>
      <c r="DR12" s="56">
        <v>213</v>
      </c>
      <c r="DS12" s="56">
        <v>216.1</v>
      </c>
      <c r="DT12" s="56">
        <v>220.7</v>
      </c>
      <c r="DU12" s="56">
        <v>226.7</v>
      </c>
      <c r="DV12" s="56">
        <v>233.8</v>
      </c>
      <c r="DW12" s="56">
        <v>240.4</v>
      </c>
      <c r="DX12" s="56">
        <v>245.8</v>
      </c>
      <c r="DY12" s="56">
        <v>250.3</v>
      </c>
      <c r="DZ12" s="56">
        <v>254.1</v>
      </c>
      <c r="EA12" s="56">
        <v>257.89999999999998</v>
      </c>
      <c r="EB12" s="56">
        <v>261.60000000000002</v>
      </c>
      <c r="EC12" s="56">
        <v>265.2</v>
      </c>
      <c r="ED12" s="56">
        <v>268.89999999999998</v>
      </c>
      <c r="EE12" s="56">
        <v>273.39999999999998</v>
      </c>
      <c r="EF12" s="56">
        <v>279</v>
      </c>
      <c r="EG12" s="56">
        <v>285.5</v>
      </c>
      <c r="EH12" s="56">
        <v>293</v>
      </c>
      <c r="EI12" s="56">
        <v>300.39999999999998</v>
      </c>
      <c r="EJ12" s="56">
        <v>308.60000000000002</v>
      </c>
      <c r="EK12" s="56">
        <v>315.39999999999998</v>
      </c>
      <c r="EL12" s="56">
        <v>323.2</v>
      </c>
      <c r="EM12" s="56">
        <v>329.2</v>
      </c>
      <c r="EN12" s="56">
        <v>335.1</v>
      </c>
      <c r="EO12" s="56">
        <v>341</v>
      </c>
      <c r="EP12" s="56">
        <v>389.6</v>
      </c>
      <c r="EQ12" s="56">
        <v>395.6</v>
      </c>
      <c r="ER12" s="56">
        <v>402.1</v>
      </c>
      <c r="ES12" s="56">
        <v>409.1</v>
      </c>
      <c r="ET12" s="56">
        <v>416.4</v>
      </c>
      <c r="EU12" s="56">
        <v>424.1</v>
      </c>
      <c r="EV12" s="56">
        <v>432</v>
      </c>
      <c r="EW12" s="56">
        <v>440.3</v>
      </c>
      <c r="EX12" s="56">
        <v>448.8</v>
      </c>
      <c r="EY12" s="56">
        <v>457.3</v>
      </c>
      <c r="EZ12" s="56">
        <v>465.9</v>
      </c>
      <c r="FA12" s="56">
        <v>474.5</v>
      </c>
      <c r="FB12" s="56">
        <v>482.9</v>
      </c>
      <c r="FC12" s="56">
        <v>490.4</v>
      </c>
      <c r="FD12" s="56">
        <v>496.7</v>
      </c>
      <c r="FE12" s="56">
        <v>501.8</v>
      </c>
      <c r="FF12" s="56">
        <v>506</v>
      </c>
      <c r="FG12" s="56">
        <v>510.5</v>
      </c>
      <c r="FH12" s="56">
        <v>515.70000000000005</v>
      </c>
      <c r="FI12" s="56">
        <v>521.4</v>
      </c>
      <c r="FJ12" s="56">
        <v>527.6</v>
      </c>
      <c r="FK12" s="56">
        <v>533.4</v>
      </c>
      <c r="FL12" s="56">
        <v>538.5</v>
      </c>
      <c r="FM12" s="56">
        <v>542.9</v>
      </c>
      <c r="FN12" s="56">
        <v>547</v>
      </c>
      <c r="FO12" s="56">
        <v>551.6</v>
      </c>
      <c r="FP12" s="56">
        <v>557.1</v>
      </c>
      <c r="FQ12" s="56">
        <v>563.4</v>
      </c>
      <c r="FR12" s="56">
        <v>570.29999999999995</v>
      </c>
      <c r="FS12" s="56">
        <v>567.1</v>
      </c>
      <c r="FT12" s="56">
        <v>573.70000000000005</v>
      </c>
      <c r="FU12" s="56">
        <v>580.20000000000005</v>
      </c>
      <c r="FV12" s="56">
        <v>587.5</v>
      </c>
      <c r="FW12" s="56">
        <v>595.6</v>
      </c>
      <c r="FX12" s="56">
        <v>604</v>
      </c>
      <c r="FY12" s="56">
        <v>612.79999999999995</v>
      </c>
      <c r="FZ12" s="56">
        <v>622.4</v>
      </c>
      <c r="GA12" s="56">
        <v>631.5</v>
      </c>
      <c r="GB12" s="56">
        <v>639.5</v>
      </c>
      <c r="GC12" s="56">
        <v>646.4</v>
      </c>
      <c r="GD12" s="56">
        <v>652.4</v>
      </c>
      <c r="GE12" s="56">
        <v>658.6</v>
      </c>
      <c r="GF12" s="56">
        <v>665.2</v>
      </c>
      <c r="GG12" s="56">
        <v>672.2</v>
      </c>
      <c r="GH12" s="56">
        <v>678.5</v>
      </c>
      <c r="GI12" s="56">
        <v>687.4</v>
      </c>
      <c r="GJ12" s="56">
        <v>696.3</v>
      </c>
      <c r="GK12" s="56">
        <v>705.1</v>
      </c>
      <c r="GL12" s="56">
        <v>714.4</v>
      </c>
      <c r="GM12" s="56">
        <v>725.7</v>
      </c>
      <c r="GN12" s="56">
        <v>739.2</v>
      </c>
      <c r="GO12" s="56">
        <v>755</v>
      </c>
      <c r="GP12" s="56">
        <v>771.9</v>
      </c>
      <c r="GQ12" s="56">
        <v>785.3</v>
      </c>
      <c r="GR12" s="56">
        <v>793.9</v>
      </c>
      <c r="GS12" s="56">
        <v>797.9</v>
      </c>
      <c r="GT12" s="56">
        <v>798.4</v>
      </c>
      <c r="GU12" s="56">
        <v>811.1</v>
      </c>
      <c r="GV12" s="56">
        <v>823.1</v>
      </c>
      <c r="GW12" s="56">
        <v>834.5</v>
      </c>
      <c r="GX12" s="56">
        <v>849.4</v>
      </c>
      <c r="GY12" s="56">
        <v>865.6</v>
      </c>
      <c r="GZ12" s="56">
        <v>882.6</v>
      </c>
      <c r="HA12" s="56">
        <v>900.3</v>
      </c>
      <c r="HB12" s="56">
        <v>918.2</v>
      </c>
      <c r="HC12">
        <v>924.7</v>
      </c>
      <c r="HD12">
        <v>927.2</v>
      </c>
      <c r="HE12">
        <v>934.2</v>
      </c>
      <c r="HF12">
        <v>938.1</v>
      </c>
      <c r="HG12">
        <v>941.9</v>
      </c>
      <c r="HH12">
        <v>946.3</v>
      </c>
      <c r="HI12">
        <v>951.3</v>
      </c>
      <c r="HJ12">
        <v>965.3</v>
      </c>
    </row>
    <row r="13" spans="1:218" x14ac:dyDescent="0.35">
      <c r="A13" s="56" t="s">
        <v>2208</v>
      </c>
      <c r="B13" s="56">
        <v>5</v>
      </c>
      <c r="C13" s="56">
        <v>5.3</v>
      </c>
      <c r="D13" s="56">
        <v>5.6</v>
      </c>
      <c r="E13" s="56">
        <v>5.9</v>
      </c>
      <c r="F13" s="56">
        <v>6.2</v>
      </c>
      <c r="G13" s="56">
        <v>6.6</v>
      </c>
      <c r="H13" s="56">
        <v>6.9</v>
      </c>
      <c r="I13" s="56">
        <v>7.3</v>
      </c>
      <c r="J13" s="56">
        <v>7.8</v>
      </c>
      <c r="K13" s="56">
        <v>8</v>
      </c>
      <c r="L13" s="56">
        <v>8.6</v>
      </c>
      <c r="M13" s="56">
        <v>8.5</v>
      </c>
      <c r="N13" s="56">
        <v>9</v>
      </c>
      <c r="O13" s="56">
        <v>9.6</v>
      </c>
      <c r="P13" s="56">
        <v>9.6999999999999993</v>
      </c>
      <c r="Q13" s="56">
        <v>10.1</v>
      </c>
      <c r="R13" s="56">
        <v>10.199999999999999</v>
      </c>
      <c r="S13" s="56">
        <v>11.1</v>
      </c>
      <c r="T13" s="56">
        <v>11.4</v>
      </c>
      <c r="U13" s="56">
        <v>12</v>
      </c>
      <c r="V13" s="56">
        <v>13.3</v>
      </c>
      <c r="W13" s="56">
        <v>13.8</v>
      </c>
      <c r="X13" s="56">
        <v>13.8</v>
      </c>
      <c r="Y13" s="56">
        <v>14.6</v>
      </c>
      <c r="Z13" s="56">
        <v>15.2</v>
      </c>
      <c r="AA13" s="56">
        <v>14.9</v>
      </c>
      <c r="AB13" s="56">
        <v>15.9</v>
      </c>
      <c r="AC13" s="56">
        <v>15.9</v>
      </c>
      <c r="AD13" s="56">
        <v>16.2</v>
      </c>
      <c r="AE13" s="56">
        <v>17.5</v>
      </c>
      <c r="AF13" s="56">
        <v>16.7</v>
      </c>
      <c r="AG13" s="56">
        <v>16.5</v>
      </c>
      <c r="AH13" s="56">
        <v>17.5</v>
      </c>
      <c r="AI13" s="56">
        <v>18.600000000000001</v>
      </c>
      <c r="AJ13" s="56">
        <v>18.899999999999999</v>
      </c>
      <c r="AK13" s="56">
        <v>19.5</v>
      </c>
      <c r="AL13" s="56">
        <v>20</v>
      </c>
      <c r="AM13" s="56">
        <v>20.8</v>
      </c>
      <c r="AN13" s="56">
        <v>21.1</v>
      </c>
      <c r="AO13" s="56">
        <v>22.4</v>
      </c>
      <c r="AP13" s="56">
        <v>23.4</v>
      </c>
      <c r="AQ13" s="56">
        <v>22.2</v>
      </c>
      <c r="AR13" s="56">
        <v>24.2</v>
      </c>
      <c r="AS13" s="56">
        <v>25.6</v>
      </c>
      <c r="AT13" s="56">
        <v>26.5</v>
      </c>
      <c r="AU13" s="56">
        <v>28.1</v>
      </c>
      <c r="AV13" s="56">
        <v>28.3</v>
      </c>
      <c r="AW13" s="56">
        <v>28</v>
      </c>
      <c r="AX13" s="56">
        <v>28.8</v>
      </c>
      <c r="AY13" s="56">
        <v>30.2</v>
      </c>
      <c r="AZ13" s="56">
        <v>30.8</v>
      </c>
      <c r="BA13" s="56">
        <v>30.8</v>
      </c>
      <c r="BB13" s="56">
        <v>33.200000000000003</v>
      </c>
      <c r="BC13" s="56">
        <v>33.4</v>
      </c>
      <c r="BD13" s="56">
        <v>34</v>
      </c>
      <c r="BE13" s="56">
        <v>34.9</v>
      </c>
      <c r="BF13" s="56">
        <v>35.700000000000003</v>
      </c>
      <c r="BG13" s="56">
        <v>36.200000000000003</v>
      </c>
      <c r="BH13" s="56">
        <v>36.799999999999997</v>
      </c>
      <c r="BI13" s="56">
        <v>37.6</v>
      </c>
      <c r="BJ13" s="56">
        <v>38.4</v>
      </c>
      <c r="BK13" s="56">
        <v>39.200000000000003</v>
      </c>
      <c r="BL13" s="56">
        <v>40.1</v>
      </c>
      <c r="BM13" s="56">
        <v>41.1</v>
      </c>
      <c r="BN13" s="56">
        <v>42.1</v>
      </c>
      <c r="BO13" s="56">
        <v>43.1</v>
      </c>
      <c r="BP13" s="56">
        <v>44.1</v>
      </c>
      <c r="BQ13" s="56">
        <v>45.2</v>
      </c>
      <c r="BR13" s="56">
        <v>46.2</v>
      </c>
      <c r="BS13" s="56">
        <v>47.3</v>
      </c>
      <c r="BT13" s="56">
        <v>48.4</v>
      </c>
      <c r="BU13" s="56">
        <v>49.4</v>
      </c>
      <c r="BV13" s="56">
        <v>50.9</v>
      </c>
      <c r="BW13" s="56">
        <v>52.2</v>
      </c>
      <c r="BX13" s="56">
        <v>53.7</v>
      </c>
      <c r="BY13" s="56">
        <v>55.4</v>
      </c>
      <c r="BZ13" s="56">
        <v>57.4</v>
      </c>
      <c r="CA13" s="56">
        <v>59.6</v>
      </c>
      <c r="CB13" s="56">
        <v>61.9</v>
      </c>
      <c r="CC13" s="56">
        <v>64.400000000000006</v>
      </c>
      <c r="CD13" s="56">
        <v>66.599999999999994</v>
      </c>
      <c r="CE13" s="56">
        <v>70.3</v>
      </c>
      <c r="CF13" s="56">
        <v>74.900000000000006</v>
      </c>
      <c r="CG13" s="56">
        <v>80.7</v>
      </c>
      <c r="CH13" s="56">
        <v>83.7</v>
      </c>
      <c r="CI13" s="56">
        <v>93.1</v>
      </c>
      <c r="CJ13" s="56">
        <v>98.4</v>
      </c>
      <c r="CK13" s="56">
        <v>112.5</v>
      </c>
      <c r="CL13" s="56">
        <v>108.3</v>
      </c>
      <c r="CM13" s="56">
        <v>115.4</v>
      </c>
      <c r="CN13" s="56">
        <v>120.6</v>
      </c>
      <c r="CO13" s="56">
        <v>120.8</v>
      </c>
      <c r="CP13" s="56">
        <v>124.4</v>
      </c>
      <c r="CQ13" s="56">
        <v>124.8</v>
      </c>
      <c r="CR13" s="56">
        <v>135.19999999999999</v>
      </c>
      <c r="CS13" s="56">
        <v>136</v>
      </c>
      <c r="CT13" s="56">
        <v>136.6</v>
      </c>
      <c r="CU13" s="56">
        <v>137.1</v>
      </c>
      <c r="CV13" s="56">
        <v>136.19999999999999</v>
      </c>
      <c r="CW13" s="56">
        <v>147.80000000000001</v>
      </c>
      <c r="CX13" s="56">
        <v>152.5</v>
      </c>
      <c r="CY13" s="56">
        <v>152.5</v>
      </c>
      <c r="CZ13" s="56">
        <v>152.69999999999999</v>
      </c>
      <c r="DA13" s="56">
        <v>140.69999999999999</v>
      </c>
      <c r="DB13" s="56">
        <v>151.30000000000001</v>
      </c>
      <c r="DC13" s="56">
        <v>165.8</v>
      </c>
      <c r="DD13" s="56">
        <v>158.80000000000001</v>
      </c>
      <c r="DE13" s="56">
        <v>156.9</v>
      </c>
      <c r="DF13" s="56">
        <v>161.4</v>
      </c>
      <c r="DG13" s="56">
        <v>159.4</v>
      </c>
      <c r="DH13" s="56">
        <v>163.69999999999999</v>
      </c>
      <c r="DI13" s="56">
        <v>168</v>
      </c>
      <c r="DJ13" s="56">
        <v>167.2</v>
      </c>
      <c r="DK13" s="56">
        <v>170</v>
      </c>
      <c r="DL13" s="56">
        <v>168.1</v>
      </c>
      <c r="DM13" s="56">
        <v>175.4</v>
      </c>
      <c r="DN13" s="56">
        <v>181.1</v>
      </c>
      <c r="DO13" s="56">
        <v>179.1</v>
      </c>
      <c r="DP13" s="56">
        <v>186.7</v>
      </c>
      <c r="DQ13" s="56">
        <v>191.3</v>
      </c>
      <c r="DR13" s="56">
        <v>190.2</v>
      </c>
      <c r="DS13" s="56">
        <v>198.3</v>
      </c>
      <c r="DT13" s="56">
        <v>204.8</v>
      </c>
      <c r="DU13" s="56">
        <v>204.8</v>
      </c>
      <c r="DV13" s="56">
        <v>215</v>
      </c>
      <c r="DW13" s="56">
        <v>230.1</v>
      </c>
      <c r="DX13" s="56">
        <v>217.4</v>
      </c>
      <c r="DY13" s="56">
        <v>246.5</v>
      </c>
      <c r="DZ13" s="56">
        <v>244.9</v>
      </c>
      <c r="EA13" s="56">
        <v>243.8</v>
      </c>
      <c r="EB13" s="56">
        <v>251.1</v>
      </c>
      <c r="EC13" s="56">
        <v>260.3</v>
      </c>
      <c r="ED13" s="56">
        <v>260.7</v>
      </c>
      <c r="EE13" s="56">
        <v>260.10000000000002</v>
      </c>
      <c r="EF13" s="56">
        <v>271.7</v>
      </c>
      <c r="EG13" s="56">
        <v>265.7</v>
      </c>
      <c r="EH13" s="56">
        <v>283.39999999999998</v>
      </c>
      <c r="EI13" s="56">
        <v>293</v>
      </c>
      <c r="EJ13" s="56">
        <v>288.3</v>
      </c>
      <c r="EK13" s="56">
        <v>294.5</v>
      </c>
      <c r="EL13" s="56">
        <v>301.3</v>
      </c>
      <c r="EM13" s="56">
        <v>310.8</v>
      </c>
      <c r="EN13" s="56">
        <v>300.10000000000002</v>
      </c>
      <c r="EO13" s="56">
        <v>305.39999999999998</v>
      </c>
      <c r="EP13" s="56">
        <v>291.3</v>
      </c>
      <c r="EQ13" s="56">
        <v>294.89999999999998</v>
      </c>
      <c r="ER13" s="56">
        <v>308.7</v>
      </c>
      <c r="ES13" s="56">
        <v>301.39999999999998</v>
      </c>
      <c r="ET13" s="56">
        <v>332.5</v>
      </c>
      <c r="EU13" s="56">
        <v>314.7</v>
      </c>
      <c r="EV13" s="56">
        <v>319.60000000000002</v>
      </c>
      <c r="EW13" s="56">
        <v>329.9</v>
      </c>
      <c r="EX13" s="56">
        <v>331.6</v>
      </c>
      <c r="EY13" s="56">
        <v>339.2</v>
      </c>
      <c r="EZ13" s="56">
        <v>340.8</v>
      </c>
      <c r="FA13" s="56">
        <v>341.8</v>
      </c>
      <c r="FB13" s="56">
        <v>358.4</v>
      </c>
      <c r="FC13" s="56">
        <v>368.9</v>
      </c>
      <c r="FD13" s="56">
        <v>378.2</v>
      </c>
      <c r="FE13" s="56">
        <v>372.8</v>
      </c>
      <c r="FF13" s="56">
        <v>382.1</v>
      </c>
      <c r="FG13" s="56">
        <v>385.7</v>
      </c>
      <c r="FH13" s="56">
        <v>405.6</v>
      </c>
      <c r="FI13" s="56">
        <v>414.1</v>
      </c>
      <c r="FJ13" s="56">
        <v>418.8</v>
      </c>
      <c r="FK13" s="56">
        <v>409.7</v>
      </c>
      <c r="FL13" s="56">
        <v>396.4</v>
      </c>
      <c r="FM13" s="56">
        <v>399.3</v>
      </c>
      <c r="FN13" s="56">
        <v>400.6</v>
      </c>
      <c r="FO13" s="56">
        <v>421.7</v>
      </c>
      <c r="FP13" s="56">
        <v>419</v>
      </c>
      <c r="FQ13" s="56">
        <v>428.9</v>
      </c>
      <c r="FR13" s="56">
        <v>424.8</v>
      </c>
      <c r="FS13" s="56">
        <v>438.4</v>
      </c>
      <c r="FT13" s="56">
        <v>448.2</v>
      </c>
      <c r="FU13" s="56">
        <v>448.6</v>
      </c>
      <c r="FV13" s="56">
        <v>459.5</v>
      </c>
      <c r="FW13" s="56">
        <v>481.5</v>
      </c>
      <c r="FX13" s="56">
        <v>507.2</v>
      </c>
      <c r="FY13" s="56">
        <v>515.29999999999995</v>
      </c>
      <c r="FZ13" s="56">
        <v>523.6</v>
      </c>
      <c r="GA13" s="56">
        <v>537.9</v>
      </c>
      <c r="GB13" s="56">
        <v>540.4</v>
      </c>
      <c r="GC13" s="56">
        <v>541.79999999999995</v>
      </c>
      <c r="GD13" s="56">
        <v>550.5</v>
      </c>
      <c r="GE13" s="56">
        <v>558.79999999999995</v>
      </c>
      <c r="GF13" s="56">
        <v>566.5</v>
      </c>
      <c r="GG13" s="56">
        <v>575.29999999999995</v>
      </c>
      <c r="GH13" s="56">
        <v>572.4</v>
      </c>
      <c r="GI13" s="56">
        <v>567.9</v>
      </c>
      <c r="GJ13" s="56">
        <v>578.79999999999995</v>
      </c>
      <c r="GK13" s="56">
        <v>575.79999999999995</v>
      </c>
      <c r="GL13" s="56">
        <v>581.9</v>
      </c>
      <c r="GM13" s="56">
        <v>592.6</v>
      </c>
      <c r="GN13" s="56">
        <v>595</v>
      </c>
      <c r="GO13" s="56">
        <v>589.5</v>
      </c>
      <c r="GP13" s="56">
        <v>598.70000000000005</v>
      </c>
      <c r="GQ13" s="56">
        <v>614.4</v>
      </c>
      <c r="GR13" s="56">
        <v>622.4</v>
      </c>
      <c r="GS13" s="56">
        <v>620.6</v>
      </c>
      <c r="GT13" s="56">
        <v>606.4</v>
      </c>
      <c r="GU13" s="56">
        <v>654.6</v>
      </c>
      <c r="GV13" s="56">
        <v>690.8</v>
      </c>
      <c r="GW13" s="56">
        <v>678.6</v>
      </c>
      <c r="GX13" s="56">
        <v>705</v>
      </c>
      <c r="GY13" s="56">
        <v>745.7</v>
      </c>
      <c r="GZ13" s="56">
        <v>749.2</v>
      </c>
      <c r="HA13" s="56">
        <v>746.1</v>
      </c>
      <c r="HB13" s="56">
        <v>791.4</v>
      </c>
      <c r="HC13">
        <v>818.7</v>
      </c>
      <c r="HD13">
        <v>819</v>
      </c>
      <c r="HE13">
        <v>828.4</v>
      </c>
      <c r="HF13">
        <v>871.5</v>
      </c>
      <c r="HG13">
        <v>911.4</v>
      </c>
      <c r="HH13">
        <v>880.6</v>
      </c>
      <c r="HI13">
        <v>868.3</v>
      </c>
      <c r="HJ13">
        <v>916.9</v>
      </c>
    </row>
    <row r="14" spans="1:218" x14ac:dyDescent="0.35">
      <c r="A14" s="56" t="s">
        <v>2209</v>
      </c>
      <c r="B14" s="56">
        <v>2.9</v>
      </c>
      <c r="C14" s="56">
        <v>3.9</v>
      </c>
      <c r="D14" s="56">
        <v>4.5999999999999996</v>
      </c>
      <c r="E14" s="56">
        <v>5.4</v>
      </c>
      <c r="F14" s="56">
        <v>5.7</v>
      </c>
      <c r="G14" s="56">
        <v>6.3</v>
      </c>
      <c r="H14" s="56">
        <v>6.3</v>
      </c>
      <c r="I14" s="56">
        <v>6.3</v>
      </c>
      <c r="J14" s="56">
        <v>6.5</v>
      </c>
      <c r="K14" s="56">
        <v>6.9</v>
      </c>
      <c r="L14" s="56">
        <v>5.8</v>
      </c>
      <c r="M14" s="56">
        <v>5</v>
      </c>
      <c r="N14" s="56">
        <v>4.5999999999999996</v>
      </c>
      <c r="O14" s="56">
        <v>4.5</v>
      </c>
      <c r="P14" s="56">
        <v>4.5</v>
      </c>
      <c r="Q14" s="56">
        <v>4.7</v>
      </c>
      <c r="R14" s="56">
        <v>5.8</v>
      </c>
      <c r="S14" s="56">
        <v>6.7</v>
      </c>
      <c r="T14" s="56">
        <v>6.9</v>
      </c>
      <c r="U14" s="56">
        <v>8.6</v>
      </c>
      <c r="V14" s="56">
        <v>14.2</v>
      </c>
      <c r="W14" s="56">
        <v>19.399999999999999</v>
      </c>
      <c r="X14" s="56">
        <v>20.2</v>
      </c>
      <c r="Y14" s="56">
        <v>18.8</v>
      </c>
      <c r="Z14" s="56">
        <v>17.7</v>
      </c>
      <c r="AA14" s="56">
        <v>16.3</v>
      </c>
      <c r="AB14" s="56">
        <v>16.100000000000001</v>
      </c>
      <c r="AC14" s="56">
        <v>15.5</v>
      </c>
      <c r="AD14" s="56">
        <v>15.5</v>
      </c>
      <c r="AE14" s="56">
        <v>13.3</v>
      </c>
      <c r="AF14" s="56">
        <v>11.9</v>
      </c>
      <c r="AG14" s="56">
        <v>11.8</v>
      </c>
      <c r="AH14" s="56">
        <v>10.8</v>
      </c>
      <c r="AI14" s="56">
        <v>9.4</v>
      </c>
      <c r="AJ14" s="56">
        <v>9</v>
      </c>
      <c r="AK14" s="56">
        <v>8.5</v>
      </c>
      <c r="AL14" s="56">
        <v>9.4</v>
      </c>
      <c r="AM14" s="56">
        <v>9.1999999999999993</v>
      </c>
      <c r="AN14" s="56">
        <v>9.6</v>
      </c>
      <c r="AO14" s="56">
        <v>10.6</v>
      </c>
      <c r="AP14" s="56">
        <v>12</v>
      </c>
      <c r="AQ14" s="56">
        <v>15.7</v>
      </c>
      <c r="AR14" s="56">
        <v>19</v>
      </c>
      <c r="AS14" s="56">
        <v>17.8</v>
      </c>
      <c r="AT14" s="56">
        <v>16.399999999999999</v>
      </c>
      <c r="AU14" s="56">
        <v>15.5</v>
      </c>
      <c r="AV14" s="56">
        <v>15</v>
      </c>
      <c r="AW14" s="56">
        <v>16.600000000000001</v>
      </c>
      <c r="AX14" s="56">
        <v>19.100000000000001</v>
      </c>
      <c r="AY14" s="56">
        <v>23.9</v>
      </c>
      <c r="AZ14" s="56">
        <v>26.1</v>
      </c>
      <c r="BA14" s="56">
        <v>31.8</v>
      </c>
      <c r="BB14" s="56">
        <v>30.3</v>
      </c>
      <c r="BC14" s="56">
        <v>32.1</v>
      </c>
      <c r="BD14" s="56">
        <v>23.3</v>
      </c>
      <c r="BE14" s="56">
        <v>20</v>
      </c>
      <c r="BF14" s="56">
        <v>17.3</v>
      </c>
      <c r="BG14" s="56">
        <v>15.7</v>
      </c>
      <c r="BH14" s="56">
        <v>15.1</v>
      </c>
      <c r="BI14" s="56">
        <v>15.9</v>
      </c>
      <c r="BJ14" s="56">
        <v>16.899999999999999</v>
      </c>
      <c r="BK14" s="56">
        <v>16</v>
      </c>
      <c r="BL14" s="56">
        <v>15</v>
      </c>
      <c r="BM14" s="56">
        <v>15.6</v>
      </c>
      <c r="BN14" s="56">
        <v>15.6</v>
      </c>
      <c r="BO14" s="56">
        <v>16.399999999999999</v>
      </c>
      <c r="BP14" s="56">
        <v>17</v>
      </c>
      <c r="BQ14" s="56">
        <v>16.899999999999999</v>
      </c>
      <c r="BR14" s="56">
        <v>15.5</v>
      </c>
      <c r="BS14" s="56">
        <v>15.1</v>
      </c>
      <c r="BT14" s="56">
        <v>14.4</v>
      </c>
      <c r="BU14" s="56">
        <v>13.5</v>
      </c>
      <c r="BV14" s="56">
        <v>13.9</v>
      </c>
      <c r="BW14" s="56">
        <v>13.2</v>
      </c>
      <c r="BX14" s="56">
        <v>13.2</v>
      </c>
      <c r="BY14" s="56">
        <v>13</v>
      </c>
      <c r="BZ14" s="56">
        <v>13.6</v>
      </c>
      <c r="CA14" s="56">
        <v>13.7</v>
      </c>
      <c r="CB14" s="56">
        <v>14.6</v>
      </c>
      <c r="CC14" s="56">
        <v>15.8</v>
      </c>
      <c r="CD14" s="56">
        <v>16.399999999999999</v>
      </c>
      <c r="CE14" s="56">
        <v>17.100000000000001</v>
      </c>
      <c r="CF14" s="56">
        <v>18.2</v>
      </c>
      <c r="CG14" s="56">
        <v>21</v>
      </c>
      <c r="CH14" s="56">
        <v>24.3</v>
      </c>
      <c r="CI14" s="56">
        <v>27.5</v>
      </c>
      <c r="CJ14" s="56">
        <v>25.9</v>
      </c>
      <c r="CK14" s="56">
        <v>29.4</v>
      </c>
      <c r="CL14" s="56">
        <v>39.700000000000003</v>
      </c>
      <c r="CM14" s="56">
        <v>41.2</v>
      </c>
      <c r="CN14" s="56">
        <v>39.6</v>
      </c>
      <c r="CO14" s="56">
        <v>38</v>
      </c>
      <c r="CP14" s="56">
        <v>35.1</v>
      </c>
      <c r="CQ14" s="56">
        <v>35.5</v>
      </c>
      <c r="CR14" s="56">
        <v>35.5</v>
      </c>
      <c r="CS14" s="56">
        <v>33.200000000000003</v>
      </c>
      <c r="CT14" s="56">
        <v>28</v>
      </c>
      <c r="CU14" s="56">
        <v>24.4</v>
      </c>
      <c r="CV14" s="56">
        <v>22.1</v>
      </c>
      <c r="CW14" s="56">
        <v>21.3</v>
      </c>
      <c r="CX14" s="56">
        <v>20.9</v>
      </c>
      <c r="CY14" s="56">
        <v>21.6</v>
      </c>
      <c r="CZ14" s="56">
        <v>22</v>
      </c>
      <c r="DA14" s="56">
        <v>22.5</v>
      </c>
      <c r="DB14" s="56">
        <v>23</v>
      </c>
      <c r="DC14" s="56">
        <v>22.7</v>
      </c>
      <c r="DD14" s="56">
        <v>21.6</v>
      </c>
      <c r="DE14" s="56">
        <v>21.7</v>
      </c>
      <c r="DF14" s="56">
        <v>21</v>
      </c>
      <c r="DG14" s="56">
        <v>20.399999999999999</v>
      </c>
      <c r="DH14" s="56">
        <v>19.600000000000001</v>
      </c>
      <c r="DI14" s="56">
        <v>19.399999999999999</v>
      </c>
      <c r="DJ14" s="56">
        <v>19.399999999999999</v>
      </c>
      <c r="DK14" s="56">
        <v>19.3</v>
      </c>
      <c r="DL14" s="56">
        <v>20.3</v>
      </c>
      <c r="DM14" s="56">
        <v>19.8</v>
      </c>
      <c r="DN14" s="56">
        <v>20.8</v>
      </c>
      <c r="DO14" s="56">
        <v>20.9</v>
      </c>
      <c r="DP14" s="56">
        <v>20.3</v>
      </c>
      <c r="DQ14" s="56">
        <v>20</v>
      </c>
      <c r="DR14" s="56">
        <v>20.5</v>
      </c>
      <c r="DS14" s="56">
        <v>20</v>
      </c>
      <c r="DT14" s="56">
        <v>20.6</v>
      </c>
      <c r="DU14" s="56">
        <v>21.9</v>
      </c>
      <c r="DV14" s="56">
        <v>25.5</v>
      </c>
      <c r="DW14" s="56">
        <v>28.4</v>
      </c>
      <c r="DX14" s="56">
        <v>33.1</v>
      </c>
      <c r="DY14" s="56">
        <v>40.6</v>
      </c>
      <c r="DZ14" s="56">
        <v>42.8</v>
      </c>
      <c r="EA14" s="56">
        <v>60.5</v>
      </c>
      <c r="EB14" s="56">
        <v>56.9</v>
      </c>
      <c r="EC14" s="56">
        <v>53.7</v>
      </c>
      <c r="ED14" s="56">
        <v>51.8</v>
      </c>
      <c r="EE14" s="56">
        <v>55.2</v>
      </c>
      <c r="EF14" s="56">
        <v>54.2</v>
      </c>
      <c r="EG14" s="56">
        <v>51.5</v>
      </c>
      <c r="EH14" s="56">
        <v>42.3</v>
      </c>
      <c r="EI14" s="56">
        <v>35.9</v>
      </c>
      <c r="EJ14" s="56">
        <v>34.700000000000003</v>
      </c>
      <c r="EK14" s="56">
        <v>32.9</v>
      </c>
      <c r="EL14" s="56">
        <v>32.1</v>
      </c>
      <c r="EM14" s="56">
        <v>30.9</v>
      </c>
      <c r="EN14" s="56">
        <v>31.6</v>
      </c>
      <c r="EO14" s="56">
        <v>32.5</v>
      </c>
      <c r="EP14" s="56">
        <v>30.3</v>
      </c>
      <c r="EQ14" s="56">
        <v>29.5</v>
      </c>
      <c r="ER14" s="56">
        <v>30.6</v>
      </c>
      <c r="ES14" s="56">
        <v>31.1</v>
      </c>
      <c r="ET14" s="56">
        <v>32.299999999999997</v>
      </c>
      <c r="EU14" s="56">
        <v>31.8</v>
      </c>
      <c r="EV14" s="56">
        <v>32.799999999999997</v>
      </c>
      <c r="EW14" s="56">
        <v>34</v>
      </c>
      <c r="EX14" s="56">
        <v>36.299999999999997</v>
      </c>
      <c r="EY14" s="56">
        <v>38.200000000000003</v>
      </c>
      <c r="EZ14" s="56">
        <v>58.2</v>
      </c>
      <c r="FA14" s="56">
        <v>71.900000000000006</v>
      </c>
      <c r="FB14" s="56">
        <v>101.6</v>
      </c>
      <c r="FC14" s="56">
        <v>130.30000000000001</v>
      </c>
      <c r="FD14" s="56">
        <v>144.4</v>
      </c>
      <c r="FE14" s="56">
        <v>148.6</v>
      </c>
      <c r="FF14" s="56">
        <v>159.30000000000001</v>
      </c>
      <c r="FG14" s="56">
        <v>141.19999999999999</v>
      </c>
      <c r="FH14" s="56">
        <v>131</v>
      </c>
      <c r="FI14" s="56">
        <v>123.9</v>
      </c>
      <c r="FJ14" s="56">
        <v>116.7</v>
      </c>
      <c r="FK14" s="56">
        <v>109.3</v>
      </c>
      <c r="FL14" s="56">
        <v>102.9</v>
      </c>
      <c r="FM14" s="56">
        <v>99.8</v>
      </c>
      <c r="FN14" s="56">
        <v>94.6</v>
      </c>
      <c r="FO14" s="56">
        <v>86.3</v>
      </c>
      <c r="FP14" s="56">
        <v>78.400000000000006</v>
      </c>
      <c r="FQ14" s="56">
        <v>75.099999999999994</v>
      </c>
      <c r="FR14" s="56">
        <v>69</v>
      </c>
      <c r="FS14" s="56">
        <v>64.8</v>
      </c>
      <c r="FT14" s="56">
        <v>59.1</v>
      </c>
      <c r="FU14" s="56">
        <v>57.1</v>
      </c>
      <c r="FV14" s="56">
        <v>39</v>
      </c>
      <c r="FW14" s="56">
        <v>35.799999999999997</v>
      </c>
      <c r="FX14" s="56">
        <v>34</v>
      </c>
      <c r="FY14" s="56">
        <v>33</v>
      </c>
      <c r="FZ14" s="56">
        <v>32.9</v>
      </c>
      <c r="GA14" s="56">
        <v>32.4</v>
      </c>
      <c r="GB14" s="56">
        <v>32.5</v>
      </c>
      <c r="GC14" s="56">
        <v>32.4</v>
      </c>
      <c r="GD14" s="56">
        <v>32.4</v>
      </c>
      <c r="GE14" s="56">
        <v>32.299999999999997</v>
      </c>
      <c r="GF14" s="56">
        <v>32.1</v>
      </c>
      <c r="GG14" s="56">
        <v>31.3</v>
      </c>
      <c r="GH14" s="56">
        <v>31.3</v>
      </c>
      <c r="GI14" s="56">
        <v>29.6</v>
      </c>
      <c r="GJ14" s="56">
        <v>29.6</v>
      </c>
      <c r="GK14" s="56">
        <v>30.3</v>
      </c>
      <c r="GL14" s="56">
        <v>30.5</v>
      </c>
      <c r="GM14" s="56">
        <v>27.5</v>
      </c>
      <c r="GN14" s="56">
        <v>25.3</v>
      </c>
      <c r="GO14" s="56">
        <v>27.1</v>
      </c>
      <c r="GP14" s="56">
        <v>30.5</v>
      </c>
      <c r="GQ14" s="56">
        <v>27.7</v>
      </c>
      <c r="GR14" s="56">
        <v>25</v>
      </c>
      <c r="GS14" s="56">
        <v>26.7</v>
      </c>
      <c r="GT14" s="56">
        <v>40.9</v>
      </c>
      <c r="GU14" s="56">
        <v>951.4</v>
      </c>
      <c r="GV14" s="56">
        <v>802.3</v>
      </c>
      <c r="GW14" s="56">
        <v>323.5</v>
      </c>
      <c r="GX14" s="56">
        <v>583.5</v>
      </c>
      <c r="GY14" s="56">
        <v>451.8</v>
      </c>
      <c r="GZ14" s="56">
        <v>226.8</v>
      </c>
      <c r="HA14" s="56">
        <v>33.9</v>
      </c>
      <c r="HB14" s="56">
        <v>26.2</v>
      </c>
      <c r="HC14">
        <v>21.4</v>
      </c>
      <c r="HD14">
        <v>19.600000000000001</v>
      </c>
      <c r="HE14">
        <v>22.1</v>
      </c>
      <c r="HF14">
        <v>22</v>
      </c>
      <c r="HG14">
        <v>22.3</v>
      </c>
      <c r="HH14">
        <v>21</v>
      </c>
      <c r="HI14">
        <v>22.7</v>
      </c>
      <c r="HJ14">
        <v>22.7</v>
      </c>
    </row>
    <row r="15" spans="1:218" x14ac:dyDescent="0.35">
      <c r="A15" s="56" t="s">
        <v>2210</v>
      </c>
      <c r="B15" s="56">
        <v>63</v>
      </c>
      <c r="C15" s="56">
        <v>73.099999999999994</v>
      </c>
      <c r="D15" s="56">
        <v>73.5</v>
      </c>
      <c r="E15" s="56">
        <v>77.400000000000006</v>
      </c>
      <c r="F15" s="56">
        <v>79.3</v>
      </c>
      <c r="G15" s="56">
        <v>86.9</v>
      </c>
      <c r="H15" s="56">
        <v>86.9</v>
      </c>
      <c r="I15" s="56">
        <v>88.5</v>
      </c>
      <c r="J15" s="56">
        <v>91.4</v>
      </c>
      <c r="K15" s="56">
        <v>91.9</v>
      </c>
      <c r="L15" s="56">
        <v>92.9</v>
      </c>
      <c r="M15" s="56">
        <v>103.1</v>
      </c>
      <c r="N15" s="56">
        <v>105.4</v>
      </c>
      <c r="O15" s="56">
        <v>107.6</v>
      </c>
      <c r="P15" s="56">
        <v>109.2</v>
      </c>
      <c r="Q15" s="56">
        <v>112.3</v>
      </c>
      <c r="R15" s="56">
        <v>117.5</v>
      </c>
      <c r="S15" s="56">
        <v>125.4</v>
      </c>
      <c r="T15" s="56">
        <v>132.19999999999999</v>
      </c>
      <c r="U15" s="56">
        <v>139.1</v>
      </c>
      <c r="V15" s="56">
        <v>149.80000000000001</v>
      </c>
      <c r="W15" s="56">
        <v>164.6</v>
      </c>
      <c r="X15" s="56">
        <v>167.7</v>
      </c>
      <c r="Y15" s="56">
        <v>170.4</v>
      </c>
      <c r="Z15" s="56">
        <v>174.7</v>
      </c>
      <c r="AA15" s="56">
        <v>173.1</v>
      </c>
      <c r="AB15" s="56">
        <v>180.1</v>
      </c>
      <c r="AC15" s="56">
        <v>182.7</v>
      </c>
      <c r="AD15" s="56">
        <v>185.5</v>
      </c>
      <c r="AE15" s="56">
        <v>186.4</v>
      </c>
      <c r="AF15" s="56">
        <v>191.7</v>
      </c>
      <c r="AG15" s="56">
        <v>194.3</v>
      </c>
      <c r="AH15" s="56">
        <v>197.7</v>
      </c>
      <c r="AI15" s="56">
        <v>199</v>
      </c>
      <c r="AJ15" s="56">
        <v>207.1</v>
      </c>
      <c r="AK15" s="56">
        <v>209.9</v>
      </c>
      <c r="AL15" s="56">
        <v>214.9</v>
      </c>
      <c r="AM15" s="56">
        <v>219.2</v>
      </c>
      <c r="AN15" s="56">
        <v>234.6</v>
      </c>
      <c r="AO15" s="56">
        <v>240.7</v>
      </c>
      <c r="AP15" s="56">
        <v>251.2</v>
      </c>
      <c r="AQ15" s="56">
        <v>256.2</v>
      </c>
      <c r="AR15" s="56">
        <v>287.89999999999998</v>
      </c>
      <c r="AS15" s="56">
        <v>290.7</v>
      </c>
      <c r="AT15" s="56">
        <v>296.10000000000002</v>
      </c>
      <c r="AU15" s="56">
        <v>299</v>
      </c>
      <c r="AV15" s="56">
        <v>317</v>
      </c>
      <c r="AW15" s="56">
        <v>319.2</v>
      </c>
      <c r="AX15" s="56">
        <v>324.3</v>
      </c>
      <c r="AY15" s="56">
        <v>333.2</v>
      </c>
      <c r="AZ15" s="56">
        <v>349.7</v>
      </c>
      <c r="BA15" s="56">
        <v>365.2</v>
      </c>
      <c r="BB15" s="56">
        <v>368</v>
      </c>
      <c r="BC15" s="56">
        <v>373.7</v>
      </c>
      <c r="BD15" s="56">
        <v>368.5</v>
      </c>
      <c r="BE15" s="56">
        <v>371.8</v>
      </c>
      <c r="BF15" s="56">
        <v>376.3</v>
      </c>
      <c r="BG15" s="56">
        <v>379</v>
      </c>
      <c r="BH15" s="56">
        <v>380.4</v>
      </c>
      <c r="BI15" s="56">
        <v>387.9</v>
      </c>
      <c r="BJ15" s="56">
        <v>398.1</v>
      </c>
      <c r="BK15" s="56">
        <v>400.5</v>
      </c>
      <c r="BL15" s="56">
        <v>405.6</v>
      </c>
      <c r="BM15" s="56">
        <v>408.3</v>
      </c>
      <c r="BN15" s="56">
        <v>419.9</v>
      </c>
      <c r="BO15" s="56">
        <v>425.6</v>
      </c>
      <c r="BP15" s="56">
        <v>433.1</v>
      </c>
      <c r="BQ15" s="56">
        <v>435.8</v>
      </c>
      <c r="BR15" s="56">
        <v>441.9</v>
      </c>
      <c r="BS15" s="56">
        <v>447.5</v>
      </c>
      <c r="BT15" s="56">
        <v>449.4</v>
      </c>
      <c r="BU15" s="56">
        <v>452.8</v>
      </c>
      <c r="BV15" s="56">
        <v>470.3</v>
      </c>
      <c r="BW15" s="56">
        <v>473.4</v>
      </c>
      <c r="BX15" s="56">
        <v>478.8</v>
      </c>
      <c r="BY15" s="56">
        <v>484.9</v>
      </c>
      <c r="BZ15" s="56">
        <v>508.2</v>
      </c>
      <c r="CA15" s="56">
        <v>515.70000000000005</v>
      </c>
      <c r="CB15" s="56">
        <v>524.70000000000005</v>
      </c>
      <c r="CC15" s="56">
        <v>535.79999999999995</v>
      </c>
      <c r="CD15" s="56">
        <v>556.20000000000005</v>
      </c>
      <c r="CE15" s="56">
        <v>567.5</v>
      </c>
      <c r="CF15" s="56">
        <v>578.1</v>
      </c>
      <c r="CG15" s="56">
        <v>596.79999999999995</v>
      </c>
      <c r="CH15" s="56">
        <v>622.5</v>
      </c>
      <c r="CI15" s="56">
        <v>643.5</v>
      </c>
      <c r="CJ15" s="56">
        <v>653.79999999999995</v>
      </c>
      <c r="CK15" s="56">
        <v>682.3</v>
      </c>
      <c r="CL15" s="56">
        <v>710.5</v>
      </c>
      <c r="CM15" s="56">
        <v>729.1</v>
      </c>
      <c r="CN15" s="56">
        <v>741.3</v>
      </c>
      <c r="CO15" s="56">
        <v>746</v>
      </c>
      <c r="CP15" s="56">
        <v>766.5</v>
      </c>
      <c r="CQ15" s="56">
        <v>771.7</v>
      </c>
      <c r="CR15" s="56">
        <v>786.3</v>
      </c>
      <c r="CS15" s="56">
        <v>791.3</v>
      </c>
      <c r="CT15" s="56">
        <v>805.3</v>
      </c>
      <c r="CU15" s="56">
        <v>810.1</v>
      </c>
      <c r="CV15" s="56">
        <v>813.6</v>
      </c>
      <c r="CW15" s="56">
        <v>833.8</v>
      </c>
      <c r="CX15" s="56">
        <v>857.9</v>
      </c>
      <c r="CY15" s="56">
        <v>865.6</v>
      </c>
      <c r="CZ15" s="56">
        <v>870.7</v>
      </c>
      <c r="DA15" s="56">
        <v>864.6</v>
      </c>
      <c r="DB15" s="56">
        <v>893.2</v>
      </c>
      <c r="DC15" s="56">
        <v>912.9</v>
      </c>
      <c r="DD15" s="56">
        <v>908.5</v>
      </c>
      <c r="DE15" s="56">
        <v>910.7</v>
      </c>
      <c r="DF15" s="56">
        <v>930.5</v>
      </c>
      <c r="DG15" s="56">
        <v>931.3</v>
      </c>
      <c r="DH15" s="56">
        <v>937.2</v>
      </c>
      <c r="DI15" s="56">
        <v>942.7</v>
      </c>
      <c r="DJ15" s="56">
        <v>951.8</v>
      </c>
      <c r="DK15" s="56">
        <v>956</v>
      </c>
      <c r="DL15" s="56">
        <v>957.4</v>
      </c>
      <c r="DM15" s="56">
        <v>966.4</v>
      </c>
      <c r="DN15" s="56">
        <v>983.4</v>
      </c>
      <c r="DO15" s="56">
        <v>985</v>
      </c>
      <c r="DP15" s="56">
        <v>996.1</v>
      </c>
      <c r="DQ15" s="56">
        <v>1004.3</v>
      </c>
      <c r="DR15" s="56">
        <v>1016.9</v>
      </c>
      <c r="DS15" s="56">
        <v>1042.3</v>
      </c>
      <c r="DT15" s="56">
        <v>1054.7</v>
      </c>
      <c r="DU15" s="56">
        <v>1065.5999999999999</v>
      </c>
      <c r="DV15" s="56">
        <v>1107.8</v>
      </c>
      <c r="DW15" s="56">
        <v>1139.0999999999999</v>
      </c>
      <c r="DX15" s="56">
        <v>1145.2</v>
      </c>
      <c r="DY15" s="56">
        <v>1191.2</v>
      </c>
      <c r="DZ15" s="56">
        <v>1221</v>
      </c>
      <c r="EA15" s="56">
        <v>1247.0999999999999</v>
      </c>
      <c r="EB15" s="56">
        <v>1259.9000000000001</v>
      </c>
      <c r="EC15" s="56">
        <v>1276.2</v>
      </c>
      <c r="ED15" s="56">
        <v>1294.5999999999999</v>
      </c>
      <c r="EE15" s="56">
        <v>1312.6</v>
      </c>
      <c r="EF15" s="56">
        <v>1335.5</v>
      </c>
      <c r="EG15" s="56">
        <v>1341.2</v>
      </c>
      <c r="EH15" s="56">
        <v>1379.6</v>
      </c>
      <c r="EI15" s="56">
        <v>1400.6</v>
      </c>
      <c r="EJ15" s="56">
        <v>1409.8</v>
      </c>
      <c r="EK15" s="56">
        <v>1427.9</v>
      </c>
      <c r="EL15" s="56">
        <v>1464.4</v>
      </c>
      <c r="EM15" s="56">
        <v>1486</v>
      </c>
      <c r="EN15" s="56">
        <v>1501</v>
      </c>
      <c r="EO15" s="56">
        <v>1512.3</v>
      </c>
      <c r="EP15" s="56">
        <v>1566.7</v>
      </c>
      <c r="EQ15" s="56">
        <v>1583.2</v>
      </c>
      <c r="ER15" s="56">
        <v>1608.5</v>
      </c>
      <c r="ES15" s="56">
        <v>1613.8</v>
      </c>
      <c r="ET15" s="56">
        <v>1680.2</v>
      </c>
      <c r="EU15" s="56">
        <v>1680.4</v>
      </c>
      <c r="EV15" s="56">
        <v>1700.2</v>
      </c>
      <c r="EW15" s="56">
        <v>1728.6</v>
      </c>
      <c r="EX15" s="56">
        <v>1768.2</v>
      </c>
      <c r="EY15" s="56">
        <v>2113</v>
      </c>
      <c r="EZ15" s="56">
        <v>1905.3</v>
      </c>
      <c r="FA15" s="56">
        <v>1890.8</v>
      </c>
      <c r="FB15" s="56">
        <v>2001.9</v>
      </c>
      <c r="FC15" s="56">
        <v>2140</v>
      </c>
      <c r="FD15" s="56">
        <v>2136.9</v>
      </c>
      <c r="FE15" s="56">
        <v>2152.1</v>
      </c>
      <c r="FF15" s="56">
        <v>2262.1999999999998</v>
      </c>
      <c r="FG15" s="56">
        <v>2268.6999999999998</v>
      </c>
      <c r="FH15" s="56">
        <v>2292</v>
      </c>
      <c r="FI15" s="56">
        <v>2302.6999999999998</v>
      </c>
      <c r="FJ15" s="56">
        <v>2313</v>
      </c>
      <c r="FK15" s="56">
        <v>2312.1</v>
      </c>
      <c r="FL15" s="56">
        <v>2303.1999999999998</v>
      </c>
      <c r="FM15" s="56">
        <v>2312.1999999999998</v>
      </c>
      <c r="FN15" s="56">
        <v>2296.8000000000002</v>
      </c>
      <c r="FO15" s="56">
        <v>2321.8000000000002</v>
      </c>
      <c r="FP15" s="56">
        <v>2325.6</v>
      </c>
      <c r="FQ15" s="56">
        <v>2346.1</v>
      </c>
      <c r="FR15" s="56">
        <v>2365.6999999999998</v>
      </c>
      <c r="FS15" s="56">
        <v>2378.3000000000002</v>
      </c>
      <c r="FT15" s="56">
        <v>2396</v>
      </c>
      <c r="FU15" s="56">
        <v>2403.6999999999998</v>
      </c>
      <c r="FV15" s="56">
        <v>2433.1999999999998</v>
      </c>
      <c r="FW15" s="56">
        <v>2484.5</v>
      </c>
      <c r="FX15" s="56">
        <v>2524.6</v>
      </c>
      <c r="FY15" s="56">
        <v>2552.1</v>
      </c>
      <c r="FZ15" s="56">
        <v>2597.6999999999998</v>
      </c>
      <c r="GA15" s="56">
        <v>2633.9</v>
      </c>
      <c r="GB15" s="56">
        <v>2647.8</v>
      </c>
      <c r="GC15" s="56">
        <v>2661.2</v>
      </c>
      <c r="GD15" s="56">
        <v>2686.2</v>
      </c>
      <c r="GE15" s="56">
        <v>2706.5</v>
      </c>
      <c r="GF15" s="56">
        <v>2726.3</v>
      </c>
      <c r="GG15" s="56">
        <v>2750.1</v>
      </c>
      <c r="GH15" s="56">
        <v>2779.1</v>
      </c>
      <c r="GI15" s="56">
        <v>2789.7</v>
      </c>
      <c r="GJ15" s="56">
        <v>2823.4</v>
      </c>
      <c r="GK15" s="56">
        <v>2837.6</v>
      </c>
      <c r="GL15" s="56">
        <v>2892.2</v>
      </c>
      <c r="GM15" s="56">
        <v>2917.2</v>
      </c>
      <c r="GN15" s="56">
        <v>2937.9</v>
      </c>
      <c r="GO15" s="56">
        <v>2956.5</v>
      </c>
      <c r="GP15" s="56">
        <v>3047.8</v>
      </c>
      <c r="GQ15" s="56">
        <v>3082.2</v>
      </c>
      <c r="GR15" s="56">
        <v>3105.1</v>
      </c>
      <c r="GS15" s="56">
        <v>3119</v>
      </c>
      <c r="GT15" s="56">
        <v>3174.3</v>
      </c>
      <c r="GU15" s="56">
        <v>5464.2</v>
      </c>
      <c r="GV15" s="56">
        <v>4358.2</v>
      </c>
      <c r="GW15" s="56">
        <v>3734.2</v>
      </c>
      <c r="GX15" s="56">
        <v>5993.5</v>
      </c>
      <c r="GY15" s="56">
        <v>4311.8</v>
      </c>
      <c r="GZ15" s="56">
        <v>4050.6</v>
      </c>
      <c r="HA15" s="56">
        <v>3860.6</v>
      </c>
      <c r="HB15" s="56">
        <v>3863.6</v>
      </c>
      <c r="HC15">
        <v>3890.5</v>
      </c>
      <c r="HD15">
        <v>3882.9</v>
      </c>
      <c r="HE15">
        <v>3974.9</v>
      </c>
      <c r="HF15">
        <v>4001.5</v>
      </c>
      <c r="HG15">
        <v>4017.3</v>
      </c>
      <c r="HH15">
        <v>3987.8</v>
      </c>
      <c r="HI15">
        <v>3979.2</v>
      </c>
      <c r="HJ15">
        <v>4135</v>
      </c>
    </row>
    <row r="16" spans="1:218" x14ac:dyDescent="0.35">
      <c r="A16" s="56" t="s">
        <v>2211</v>
      </c>
      <c r="B16" s="56">
        <v>1.2</v>
      </c>
      <c r="C16" s="56">
        <v>1.3</v>
      </c>
      <c r="D16" s="56">
        <v>1.3</v>
      </c>
      <c r="E16" s="56">
        <v>1.3</v>
      </c>
      <c r="F16" s="56">
        <v>1.4</v>
      </c>
      <c r="G16" s="56">
        <v>1.4</v>
      </c>
      <c r="H16" s="56">
        <v>1.5</v>
      </c>
      <c r="I16" s="56">
        <v>1.5</v>
      </c>
      <c r="J16" s="56">
        <v>1.7</v>
      </c>
      <c r="K16" s="56">
        <v>1.8</v>
      </c>
      <c r="L16" s="56">
        <v>1.8</v>
      </c>
      <c r="M16" s="56">
        <v>1.9</v>
      </c>
      <c r="N16" s="56">
        <v>1.8</v>
      </c>
      <c r="O16" s="56">
        <v>1.8</v>
      </c>
      <c r="P16" s="56">
        <v>1.8</v>
      </c>
      <c r="Q16" s="56">
        <v>1.9</v>
      </c>
      <c r="R16" s="56">
        <v>1.9</v>
      </c>
      <c r="S16" s="56">
        <v>2</v>
      </c>
      <c r="T16" s="56">
        <v>2.1</v>
      </c>
      <c r="U16" s="56">
        <v>2.2000000000000002</v>
      </c>
      <c r="V16" s="56">
        <v>2.2999999999999998</v>
      </c>
      <c r="W16" s="56">
        <v>2.4</v>
      </c>
      <c r="X16" s="56">
        <v>2.6</v>
      </c>
      <c r="Y16" s="56">
        <v>2.7</v>
      </c>
      <c r="Z16" s="56">
        <v>2.8</v>
      </c>
      <c r="AA16" s="56">
        <v>3</v>
      </c>
      <c r="AB16" s="56">
        <v>3.1</v>
      </c>
      <c r="AC16" s="56">
        <v>3.2</v>
      </c>
      <c r="AD16" s="56">
        <v>3.3</v>
      </c>
      <c r="AE16" s="56">
        <v>3.4</v>
      </c>
      <c r="AF16" s="56">
        <v>3.5</v>
      </c>
      <c r="AG16" s="56">
        <v>3.6</v>
      </c>
      <c r="AH16" s="56">
        <v>3.7</v>
      </c>
      <c r="AI16" s="56">
        <v>3.8</v>
      </c>
      <c r="AJ16" s="56">
        <v>3.9</v>
      </c>
      <c r="AK16" s="56">
        <v>4</v>
      </c>
      <c r="AL16" s="56">
        <v>4.0999999999999996</v>
      </c>
      <c r="AM16" s="56">
        <v>4.3</v>
      </c>
      <c r="AN16" s="56">
        <v>4.4000000000000004</v>
      </c>
      <c r="AO16" s="56">
        <v>4.5</v>
      </c>
      <c r="AP16" s="56">
        <v>4.5999999999999996</v>
      </c>
      <c r="AQ16" s="56">
        <v>4.8</v>
      </c>
      <c r="AR16" s="56">
        <v>5</v>
      </c>
      <c r="AS16" s="56">
        <v>5.3</v>
      </c>
      <c r="AT16" s="56">
        <v>5.6</v>
      </c>
      <c r="AU16" s="56">
        <v>5.9</v>
      </c>
      <c r="AV16" s="56">
        <v>6.1</v>
      </c>
      <c r="AW16" s="56">
        <v>6.3</v>
      </c>
      <c r="AX16" s="56">
        <v>6.7</v>
      </c>
      <c r="AY16" s="56">
        <v>6.9</v>
      </c>
      <c r="AZ16" s="56">
        <v>7.2</v>
      </c>
      <c r="BA16" s="56">
        <v>7.5</v>
      </c>
      <c r="BB16" s="56">
        <v>7.7</v>
      </c>
      <c r="BC16" s="56">
        <v>8</v>
      </c>
      <c r="BD16" s="56">
        <v>8.3000000000000007</v>
      </c>
      <c r="BE16" s="56">
        <v>8.5</v>
      </c>
      <c r="BF16" s="56">
        <v>8.8000000000000007</v>
      </c>
      <c r="BG16" s="56">
        <v>9.1</v>
      </c>
      <c r="BH16" s="56">
        <v>9.3000000000000007</v>
      </c>
      <c r="BI16" s="56">
        <v>9.5</v>
      </c>
      <c r="BJ16" s="56">
        <v>9.9</v>
      </c>
      <c r="BK16" s="56">
        <v>10.199999999999999</v>
      </c>
      <c r="BL16" s="56">
        <v>10.6</v>
      </c>
      <c r="BM16" s="56">
        <v>11</v>
      </c>
      <c r="BN16" s="56">
        <v>11.3</v>
      </c>
      <c r="BO16" s="56">
        <v>11.7</v>
      </c>
      <c r="BP16" s="56">
        <v>12.1</v>
      </c>
      <c r="BQ16" s="56">
        <v>12.7</v>
      </c>
      <c r="BR16" s="56">
        <v>12.7</v>
      </c>
      <c r="BS16" s="56">
        <v>12.9</v>
      </c>
      <c r="BT16" s="56">
        <v>13.5</v>
      </c>
      <c r="BU16" s="56">
        <v>13.7</v>
      </c>
      <c r="BV16" s="56">
        <v>14.2</v>
      </c>
      <c r="BW16" s="56">
        <v>14.8</v>
      </c>
      <c r="BX16" s="56">
        <v>15.1</v>
      </c>
      <c r="BY16" s="56">
        <v>15.4</v>
      </c>
      <c r="BZ16" s="56">
        <v>15.9</v>
      </c>
      <c r="CA16" s="56">
        <v>16.3</v>
      </c>
      <c r="CB16" s="56">
        <v>16.7</v>
      </c>
      <c r="CC16" s="56">
        <v>17.100000000000001</v>
      </c>
      <c r="CD16" s="56">
        <v>17.3</v>
      </c>
      <c r="CE16" s="56">
        <v>17.899999999999999</v>
      </c>
      <c r="CF16" s="56">
        <v>18.7</v>
      </c>
      <c r="CG16" s="56">
        <v>19.600000000000001</v>
      </c>
      <c r="CH16" s="56">
        <v>20.9</v>
      </c>
      <c r="CI16" s="56">
        <v>22.1</v>
      </c>
      <c r="CJ16" s="56">
        <v>23.1</v>
      </c>
      <c r="CK16" s="56">
        <v>24.2</v>
      </c>
      <c r="CL16" s="56">
        <v>25</v>
      </c>
      <c r="CM16" s="56">
        <v>25.8</v>
      </c>
      <c r="CN16" s="56">
        <v>26.4</v>
      </c>
      <c r="CO16" s="56">
        <v>26.8</v>
      </c>
      <c r="CP16" s="56">
        <v>28</v>
      </c>
      <c r="CQ16" s="56">
        <v>28.3</v>
      </c>
      <c r="CR16" s="56">
        <v>28.7</v>
      </c>
      <c r="CS16" s="56">
        <v>29.2</v>
      </c>
      <c r="CT16" s="56">
        <v>30.1</v>
      </c>
      <c r="CU16" s="56">
        <v>30.7</v>
      </c>
      <c r="CV16" s="56">
        <v>31.2</v>
      </c>
      <c r="CW16" s="56">
        <v>31.6</v>
      </c>
      <c r="CX16" s="56">
        <v>31.9</v>
      </c>
      <c r="CY16" s="56">
        <v>32.299999999999997</v>
      </c>
      <c r="CZ16" s="56">
        <v>32.9</v>
      </c>
      <c r="DA16" s="56">
        <v>33.5</v>
      </c>
      <c r="DB16" s="56">
        <v>34</v>
      </c>
      <c r="DC16" s="56">
        <v>34.6</v>
      </c>
      <c r="DD16" s="56">
        <v>35.200000000000003</v>
      </c>
      <c r="DE16" s="56">
        <v>35.799999999999997</v>
      </c>
      <c r="DF16" s="56">
        <v>37.200000000000003</v>
      </c>
      <c r="DG16" s="56">
        <v>38</v>
      </c>
      <c r="DH16" s="56">
        <v>38.6</v>
      </c>
      <c r="DI16" s="56">
        <v>39</v>
      </c>
      <c r="DJ16" s="56">
        <v>39.1</v>
      </c>
      <c r="DK16" s="56">
        <v>39.299999999999997</v>
      </c>
      <c r="DL16" s="56">
        <v>40</v>
      </c>
      <c r="DM16" s="56">
        <v>41.1</v>
      </c>
      <c r="DN16" s="56">
        <v>42.3</v>
      </c>
      <c r="DO16" s="56">
        <v>43.5</v>
      </c>
      <c r="DP16" s="56">
        <v>44.7</v>
      </c>
      <c r="DQ16" s="56">
        <v>45.8</v>
      </c>
      <c r="DR16" s="56">
        <v>46.9</v>
      </c>
      <c r="DS16" s="56">
        <v>48.1</v>
      </c>
      <c r="DT16" s="56">
        <v>49.3</v>
      </c>
      <c r="DU16" s="56">
        <v>50.6</v>
      </c>
      <c r="DV16" s="56">
        <v>51.5</v>
      </c>
      <c r="DW16" s="56">
        <v>52.5</v>
      </c>
      <c r="DX16" s="56">
        <v>53.4</v>
      </c>
      <c r="DY16" s="56">
        <v>54.3</v>
      </c>
      <c r="DZ16" s="56">
        <v>55.2</v>
      </c>
      <c r="EA16" s="56">
        <v>56</v>
      </c>
      <c r="EB16" s="56">
        <v>56.8</v>
      </c>
      <c r="EC16" s="56">
        <v>57.6</v>
      </c>
      <c r="ED16" s="56">
        <v>58.5</v>
      </c>
      <c r="EE16" s="56">
        <v>59.7</v>
      </c>
      <c r="EF16" s="56">
        <v>61.1</v>
      </c>
      <c r="EG16" s="56">
        <v>62.7</v>
      </c>
      <c r="EH16" s="56">
        <v>64.8</v>
      </c>
      <c r="EI16" s="56">
        <v>66.400000000000006</v>
      </c>
      <c r="EJ16" s="56">
        <v>67.7</v>
      </c>
      <c r="EK16" s="56">
        <v>68.7</v>
      </c>
      <c r="EL16" s="56">
        <v>70.3</v>
      </c>
      <c r="EM16" s="56">
        <v>71.2</v>
      </c>
      <c r="EN16" s="56">
        <v>72.099999999999994</v>
      </c>
      <c r="EO16" s="56">
        <v>73</v>
      </c>
      <c r="EP16" s="56">
        <v>74.400000000000006</v>
      </c>
      <c r="EQ16" s="56">
        <v>74.900000000000006</v>
      </c>
      <c r="ER16" s="56">
        <v>75.5</v>
      </c>
      <c r="ES16" s="56">
        <v>76.3</v>
      </c>
      <c r="ET16" s="56">
        <v>78</v>
      </c>
      <c r="EU16" s="56">
        <v>78.8</v>
      </c>
      <c r="EV16" s="56">
        <v>79.599999999999994</v>
      </c>
      <c r="EW16" s="56">
        <v>80.3</v>
      </c>
      <c r="EX16" s="56">
        <v>80.5</v>
      </c>
      <c r="EY16" s="56">
        <v>81</v>
      </c>
      <c r="EZ16" s="56">
        <v>81.2</v>
      </c>
      <c r="FA16" s="56">
        <v>81.2</v>
      </c>
      <c r="FB16" s="56">
        <v>80.599999999999994</v>
      </c>
      <c r="FC16" s="56">
        <v>80.3</v>
      </c>
      <c r="FD16" s="56">
        <v>79.900000000000006</v>
      </c>
      <c r="FE16" s="56">
        <v>79.5</v>
      </c>
      <c r="FF16" s="56">
        <v>79.5</v>
      </c>
      <c r="FG16" s="56">
        <v>79.3</v>
      </c>
      <c r="FH16" s="56">
        <v>79.3</v>
      </c>
      <c r="FI16" s="56">
        <v>79.5</v>
      </c>
      <c r="FJ16" s="56">
        <v>80.400000000000006</v>
      </c>
      <c r="FK16" s="56">
        <v>81.5</v>
      </c>
      <c r="FL16" s="56">
        <v>82.7</v>
      </c>
      <c r="FM16" s="56">
        <v>84.1</v>
      </c>
      <c r="FN16" s="56">
        <v>85.2</v>
      </c>
      <c r="FO16" s="56">
        <v>86.3</v>
      </c>
      <c r="FP16" s="56">
        <v>86.9</v>
      </c>
      <c r="FQ16" s="56">
        <v>86.8</v>
      </c>
      <c r="FR16" s="56">
        <v>86.7</v>
      </c>
      <c r="FS16" s="56">
        <v>86.5</v>
      </c>
      <c r="FT16" s="56">
        <v>86.9</v>
      </c>
      <c r="FU16" s="56">
        <v>87.9</v>
      </c>
      <c r="FV16" s="56">
        <v>89.7</v>
      </c>
      <c r="FW16" s="56">
        <v>91.2</v>
      </c>
      <c r="FX16" s="56">
        <v>92.7</v>
      </c>
      <c r="FY16" s="56">
        <v>94.2</v>
      </c>
      <c r="FZ16" s="56">
        <v>97.5</v>
      </c>
      <c r="GA16" s="56">
        <v>98.6</v>
      </c>
      <c r="GB16" s="56">
        <v>99.4</v>
      </c>
      <c r="GC16" s="56">
        <v>99.9</v>
      </c>
      <c r="GD16" s="56">
        <v>101.3</v>
      </c>
      <c r="GE16" s="56">
        <v>101.5</v>
      </c>
      <c r="GF16" s="56">
        <v>101.8</v>
      </c>
      <c r="GG16" s="56">
        <v>102.1</v>
      </c>
      <c r="GH16" s="56">
        <v>103.2</v>
      </c>
      <c r="GI16" s="56">
        <v>103.9</v>
      </c>
      <c r="GJ16" s="56">
        <v>104.9</v>
      </c>
      <c r="GK16" s="56">
        <v>106.3</v>
      </c>
      <c r="GL16" s="56">
        <v>109.1</v>
      </c>
      <c r="GM16" s="56">
        <v>110.6</v>
      </c>
      <c r="GN16" s="56">
        <v>112</v>
      </c>
      <c r="GO16" s="56">
        <v>113.3</v>
      </c>
      <c r="GP16" s="56">
        <v>114.2</v>
      </c>
      <c r="GQ16" s="56">
        <v>114.9</v>
      </c>
      <c r="GR16" s="56">
        <v>114.9</v>
      </c>
      <c r="GS16" s="56">
        <v>114.4</v>
      </c>
      <c r="GT16" s="56">
        <v>107</v>
      </c>
      <c r="GU16" s="56">
        <v>107.2</v>
      </c>
      <c r="GV16" s="56">
        <v>108.7</v>
      </c>
      <c r="GW16" s="56">
        <v>111.6</v>
      </c>
      <c r="GX16" s="56">
        <v>115.6</v>
      </c>
      <c r="GY16" s="56">
        <v>119.1</v>
      </c>
      <c r="GZ16" s="56">
        <v>121.9</v>
      </c>
      <c r="HA16" s="56">
        <v>124.2</v>
      </c>
      <c r="HB16" s="56">
        <v>125.9</v>
      </c>
      <c r="HC16">
        <v>127.3</v>
      </c>
      <c r="HD16">
        <v>128.4</v>
      </c>
      <c r="HE16">
        <v>129.19999999999999</v>
      </c>
      <c r="HF16">
        <v>129.69999999999999</v>
      </c>
      <c r="HG16">
        <v>130.4</v>
      </c>
      <c r="HH16">
        <v>131.19999999999999</v>
      </c>
      <c r="HI16">
        <v>132.1</v>
      </c>
      <c r="HJ16">
        <v>133.30000000000001</v>
      </c>
    </row>
    <row r="17" spans="1:218" x14ac:dyDescent="0.35">
      <c r="A17" s="56" t="s">
        <v>2212</v>
      </c>
      <c r="B17" s="56">
        <v>104.6</v>
      </c>
      <c r="C17" s="56">
        <v>105.5</v>
      </c>
      <c r="D17" s="56">
        <v>100.7</v>
      </c>
      <c r="E17" s="56">
        <v>101.5</v>
      </c>
      <c r="F17" s="56">
        <v>98.3</v>
      </c>
      <c r="G17" s="56">
        <v>100.7</v>
      </c>
      <c r="H17" s="56">
        <v>102.3</v>
      </c>
      <c r="I17" s="56">
        <v>105.5</v>
      </c>
      <c r="J17" s="56">
        <v>119.8</v>
      </c>
      <c r="K17" s="56">
        <v>123.4</v>
      </c>
      <c r="L17" s="56">
        <v>124.3</v>
      </c>
      <c r="M17" s="56">
        <v>127.1</v>
      </c>
      <c r="N17" s="56">
        <v>126.4</v>
      </c>
      <c r="O17" s="56">
        <v>129.19999999999999</v>
      </c>
      <c r="P17" s="56">
        <v>134.1</v>
      </c>
      <c r="Q17" s="56">
        <v>140</v>
      </c>
      <c r="R17" s="56">
        <v>142.80000000000001</v>
      </c>
      <c r="S17" s="56">
        <v>148.9</v>
      </c>
      <c r="T17" s="56">
        <v>154.9</v>
      </c>
      <c r="U17" s="56">
        <v>157.6</v>
      </c>
      <c r="V17" s="56">
        <v>158</v>
      </c>
      <c r="W17" s="56">
        <v>121.1</v>
      </c>
      <c r="X17" s="56">
        <v>152.80000000000001</v>
      </c>
      <c r="Y17" s="56">
        <v>158.5</v>
      </c>
      <c r="Z17" s="56">
        <v>162.5</v>
      </c>
      <c r="AA17" s="56">
        <v>169.3</v>
      </c>
      <c r="AB17" s="56">
        <v>176.1</v>
      </c>
      <c r="AC17" s="56">
        <v>182.7</v>
      </c>
      <c r="AD17" s="56">
        <v>188.8</v>
      </c>
      <c r="AE17" s="56">
        <v>195.7</v>
      </c>
      <c r="AF17" s="56">
        <v>198.6</v>
      </c>
      <c r="AG17" s="56">
        <v>208.5</v>
      </c>
      <c r="AH17" s="56">
        <v>212</v>
      </c>
      <c r="AI17" s="56">
        <v>223.1</v>
      </c>
      <c r="AJ17" s="56">
        <v>236.3</v>
      </c>
      <c r="AK17" s="56">
        <v>247.2</v>
      </c>
      <c r="AL17" s="56">
        <v>253.6</v>
      </c>
      <c r="AM17" s="56">
        <v>262</v>
      </c>
      <c r="AN17" s="56">
        <v>274.8</v>
      </c>
      <c r="AO17" s="56">
        <v>285.2</v>
      </c>
      <c r="AP17" s="56">
        <v>284.8</v>
      </c>
      <c r="AQ17" s="56">
        <v>292.2</v>
      </c>
      <c r="AR17" s="56">
        <v>302.2</v>
      </c>
      <c r="AS17" s="56">
        <v>318.89999999999998</v>
      </c>
      <c r="AT17" s="56">
        <v>330.9</v>
      </c>
      <c r="AU17" s="56">
        <v>342.7</v>
      </c>
      <c r="AV17" s="56">
        <v>356.9</v>
      </c>
      <c r="AW17" s="56">
        <v>352.7</v>
      </c>
      <c r="AX17" s="56">
        <v>352.5</v>
      </c>
      <c r="AY17" s="56">
        <v>359.7</v>
      </c>
      <c r="AZ17" s="56">
        <v>350.1</v>
      </c>
      <c r="BA17" s="56">
        <v>356.6</v>
      </c>
      <c r="BB17" s="56">
        <v>350.9</v>
      </c>
      <c r="BC17" s="56">
        <v>359.6</v>
      </c>
      <c r="BD17" s="56">
        <v>345.4</v>
      </c>
      <c r="BE17" s="56">
        <v>355.7</v>
      </c>
      <c r="BF17" s="56">
        <v>361.2</v>
      </c>
      <c r="BG17" s="56">
        <v>370.4</v>
      </c>
      <c r="BH17" s="56">
        <v>384.1</v>
      </c>
      <c r="BI17" s="56">
        <v>395.9</v>
      </c>
      <c r="BJ17" s="56">
        <v>432.3</v>
      </c>
      <c r="BK17" s="56">
        <v>388.5</v>
      </c>
      <c r="BL17" s="56">
        <v>421.5</v>
      </c>
      <c r="BM17" s="56">
        <v>428.9</v>
      </c>
      <c r="BN17" s="56">
        <v>426.3</v>
      </c>
      <c r="BO17" s="56">
        <v>429.4</v>
      </c>
      <c r="BP17" s="56">
        <v>439.5</v>
      </c>
      <c r="BQ17" s="56">
        <v>456</v>
      </c>
      <c r="BR17" s="56">
        <v>450.7</v>
      </c>
      <c r="BS17" s="56">
        <v>511.7</v>
      </c>
      <c r="BT17" s="56">
        <v>489</v>
      </c>
      <c r="BU17" s="56">
        <v>507</v>
      </c>
      <c r="BV17" s="56">
        <v>502.1</v>
      </c>
      <c r="BW17" s="56">
        <v>497.8</v>
      </c>
      <c r="BX17" s="56">
        <v>506.7</v>
      </c>
      <c r="BY17" s="56">
        <v>517.20000000000005</v>
      </c>
      <c r="BZ17" s="56">
        <v>552.9</v>
      </c>
      <c r="CA17" s="56">
        <v>566.70000000000005</v>
      </c>
      <c r="CB17" s="56">
        <v>571.6</v>
      </c>
      <c r="CC17" s="56">
        <v>579.79999999999995</v>
      </c>
      <c r="CD17" s="56">
        <v>582.5</v>
      </c>
      <c r="CE17" s="56">
        <v>594.6</v>
      </c>
      <c r="CF17" s="56">
        <v>600.70000000000005</v>
      </c>
      <c r="CG17" s="56">
        <v>600.79999999999995</v>
      </c>
      <c r="CH17" s="56">
        <v>580.79999999999995</v>
      </c>
      <c r="CI17" s="56">
        <v>585.9</v>
      </c>
      <c r="CJ17" s="56">
        <v>590.20000000000005</v>
      </c>
      <c r="CK17" s="56">
        <v>598.70000000000005</v>
      </c>
      <c r="CL17" s="56">
        <v>588.9</v>
      </c>
      <c r="CM17" s="56">
        <v>607.20000000000005</v>
      </c>
      <c r="CN17" s="56">
        <v>616.20000000000005</v>
      </c>
      <c r="CO17" s="56">
        <v>638.9</v>
      </c>
      <c r="CP17" s="56">
        <v>617</v>
      </c>
      <c r="CQ17" s="56">
        <v>643.5</v>
      </c>
      <c r="CR17" s="56">
        <v>659.2</v>
      </c>
      <c r="CS17" s="56">
        <v>675.3</v>
      </c>
      <c r="CT17" s="56">
        <v>673.7</v>
      </c>
      <c r="CU17" s="56">
        <v>697.8</v>
      </c>
      <c r="CV17" s="56">
        <v>695.4</v>
      </c>
      <c r="CW17" s="56">
        <v>705.4</v>
      </c>
      <c r="CX17" s="56">
        <v>724.6</v>
      </c>
      <c r="CY17" s="56">
        <v>746.8</v>
      </c>
      <c r="CZ17" s="56">
        <v>752.2</v>
      </c>
      <c r="DA17" s="56">
        <v>770</v>
      </c>
      <c r="DB17" s="56">
        <v>801.7</v>
      </c>
      <c r="DC17" s="56">
        <v>839.6</v>
      </c>
      <c r="DD17" s="56">
        <v>843.5</v>
      </c>
      <c r="DE17" s="56">
        <v>863.5</v>
      </c>
      <c r="DF17" s="56">
        <v>902.1</v>
      </c>
      <c r="DG17" s="56">
        <v>916.2</v>
      </c>
      <c r="DH17" s="56">
        <v>941.1</v>
      </c>
      <c r="DI17" s="56">
        <v>967.8</v>
      </c>
      <c r="DJ17" s="56">
        <v>996.1</v>
      </c>
      <c r="DK17" s="56">
        <v>1022.4</v>
      </c>
      <c r="DL17" s="56">
        <v>1043.2</v>
      </c>
      <c r="DM17" s="56">
        <v>1068</v>
      </c>
      <c r="DN17" s="56">
        <v>1077.9000000000001</v>
      </c>
      <c r="DO17" s="56">
        <v>1095.2</v>
      </c>
      <c r="DP17" s="56">
        <v>1120.5999999999999</v>
      </c>
      <c r="DQ17" s="56">
        <v>1154</v>
      </c>
      <c r="DR17" s="56">
        <v>1208.8</v>
      </c>
      <c r="DS17" s="56">
        <v>1230.2</v>
      </c>
      <c r="DT17" s="56">
        <v>1247.7</v>
      </c>
      <c r="DU17" s="56">
        <v>1258.7</v>
      </c>
      <c r="DV17" s="56">
        <v>1301.9000000000001</v>
      </c>
      <c r="DW17" s="56">
        <v>1308.9000000000001</v>
      </c>
      <c r="DX17" s="56">
        <v>1113.5999999999999</v>
      </c>
      <c r="DY17" s="56">
        <v>1231.8</v>
      </c>
      <c r="DZ17" s="56">
        <v>1075.2</v>
      </c>
      <c r="EA17" s="56">
        <v>1051</v>
      </c>
      <c r="EB17" s="56">
        <v>1044.0999999999999</v>
      </c>
      <c r="EC17" s="56">
        <v>1038.4000000000001</v>
      </c>
      <c r="ED17" s="56">
        <v>1021.3</v>
      </c>
      <c r="EE17" s="56">
        <v>1020.8</v>
      </c>
      <c r="EF17" s="56">
        <v>950.7</v>
      </c>
      <c r="EG17" s="56">
        <v>1021.3</v>
      </c>
      <c r="EH17" s="56">
        <v>1012.3</v>
      </c>
      <c r="EI17" s="56">
        <v>1026.8</v>
      </c>
      <c r="EJ17" s="56">
        <v>1064.4000000000001</v>
      </c>
      <c r="EK17" s="56">
        <v>1091.5999999999999</v>
      </c>
      <c r="EL17" s="56">
        <v>1172.3</v>
      </c>
      <c r="EM17" s="56">
        <v>1196.3</v>
      </c>
      <c r="EN17" s="56">
        <v>1225.5</v>
      </c>
      <c r="EO17" s="56">
        <v>1255.8</v>
      </c>
      <c r="EP17" s="56">
        <v>1320.5</v>
      </c>
      <c r="EQ17" s="56">
        <v>1351.3</v>
      </c>
      <c r="ER17" s="56">
        <v>1358.6</v>
      </c>
      <c r="ES17" s="56">
        <v>1397.5</v>
      </c>
      <c r="ET17" s="56">
        <v>1466.5</v>
      </c>
      <c r="EU17" s="56">
        <v>1495.9</v>
      </c>
      <c r="EV17" s="56">
        <v>1498.9</v>
      </c>
      <c r="EW17" s="56">
        <v>1508.6</v>
      </c>
      <c r="EX17" s="56">
        <v>1535.1</v>
      </c>
      <c r="EY17" s="56">
        <v>1552.5</v>
      </c>
      <c r="EZ17" s="56">
        <v>1497.5</v>
      </c>
      <c r="FA17" s="56">
        <v>1444.9</v>
      </c>
      <c r="FB17" s="56">
        <v>1202.4000000000001</v>
      </c>
      <c r="FC17" s="56">
        <v>1131.0999999999999</v>
      </c>
      <c r="FD17" s="56">
        <v>1135.3</v>
      </c>
      <c r="FE17" s="56">
        <v>1140.7</v>
      </c>
      <c r="FF17" s="56">
        <v>1191.8</v>
      </c>
      <c r="FG17" s="56">
        <v>1213.2</v>
      </c>
      <c r="FH17" s="56">
        <v>1256.3</v>
      </c>
      <c r="FI17" s="56">
        <v>1289.0999999999999</v>
      </c>
      <c r="FJ17" s="56">
        <v>1426.6</v>
      </c>
      <c r="FK17" s="56">
        <v>1445.9</v>
      </c>
      <c r="FL17" s="56">
        <v>1471.4</v>
      </c>
      <c r="FM17" s="56">
        <v>1470.9</v>
      </c>
      <c r="FN17" s="56">
        <v>1468.3</v>
      </c>
      <c r="FO17" s="56">
        <v>1487.7</v>
      </c>
      <c r="FP17" s="56">
        <v>1510</v>
      </c>
      <c r="FQ17" s="56">
        <v>1572</v>
      </c>
      <c r="FR17" s="56">
        <v>1650.8</v>
      </c>
      <c r="FS17" s="56">
        <v>1683.9</v>
      </c>
      <c r="FT17" s="56">
        <v>1676.3</v>
      </c>
      <c r="FU17" s="56">
        <v>1699.1</v>
      </c>
      <c r="FV17" s="56">
        <v>1745.8</v>
      </c>
      <c r="FW17" s="56">
        <v>1759.5</v>
      </c>
      <c r="FX17" s="56">
        <v>1799.8</v>
      </c>
      <c r="FY17" s="56">
        <v>1837.7</v>
      </c>
      <c r="FZ17" s="56">
        <v>1905.6</v>
      </c>
      <c r="GA17" s="56">
        <v>1943.9</v>
      </c>
      <c r="GB17" s="56">
        <v>1948.3</v>
      </c>
      <c r="GC17" s="56">
        <v>1965.8</v>
      </c>
      <c r="GD17" s="56">
        <v>1925.3</v>
      </c>
      <c r="GE17" s="56">
        <v>1944</v>
      </c>
      <c r="GF17" s="56">
        <v>1972.5</v>
      </c>
      <c r="GG17" s="56">
        <v>1993.2</v>
      </c>
      <c r="GH17" s="56">
        <v>2004.2</v>
      </c>
      <c r="GI17" s="56">
        <v>2012.3</v>
      </c>
      <c r="GJ17" s="56">
        <v>2055.1</v>
      </c>
      <c r="GK17" s="56">
        <v>2123.6999999999998</v>
      </c>
      <c r="GL17" s="56">
        <v>2071.6</v>
      </c>
      <c r="GM17" s="56">
        <v>2058.1</v>
      </c>
      <c r="GN17" s="56">
        <v>2085.3000000000002</v>
      </c>
      <c r="GO17" s="56">
        <v>2081.6</v>
      </c>
      <c r="GP17" s="56">
        <v>2156.6999999999998</v>
      </c>
      <c r="GQ17" s="56">
        <v>2222.1999999999998</v>
      </c>
      <c r="GR17" s="56">
        <v>2197.9</v>
      </c>
      <c r="GS17" s="56">
        <v>2220.4</v>
      </c>
      <c r="GT17" s="56">
        <v>2255.9</v>
      </c>
      <c r="GU17" s="56">
        <v>2111.9</v>
      </c>
      <c r="GV17" s="56">
        <v>2263.3000000000002</v>
      </c>
      <c r="GW17" s="56">
        <v>2394.6999999999998</v>
      </c>
      <c r="GX17" s="56">
        <v>2577.6</v>
      </c>
      <c r="GY17" s="56">
        <v>2703.9</v>
      </c>
      <c r="GZ17" s="56">
        <v>2789.9</v>
      </c>
      <c r="HA17" s="56">
        <v>2901.6</v>
      </c>
      <c r="HB17" s="56">
        <v>3162.8</v>
      </c>
      <c r="HC17">
        <v>3157.8</v>
      </c>
      <c r="HD17">
        <v>3137</v>
      </c>
      <c r="HE17">
        <v>3095.7</v>
      </c>
      <c r="HF17">
        <v>2763.7</v>
      </c>
      <c r="HG17">
        <v>2703.8</v>
      </c>
      <c r="HH17">
        <v>2765.3</v>
      </c>
      <c r="HI17">
        <v>2792.5</v>
      </c>
      <c r="HJ17">
        <v>2949.1</v>
      </c>
    </row>
    <row r="18" spans="1:218" x14ac:dyDescent="0.35">
      <c r="A18" s="56" t="s">
        <v>2213</v>
      </c>
      <c r="B18" s="56">
        <v>88.5</v>
      </c>
      <c r="C18" s="56">
        <v>90.5</v>
      </c>
      <c r="D18" s="56">
        <v>92.5</v>
      </c>
      <c r="E18" s="56">
        <v>94.1</v>
      </c>
      <c r="F18" s="56">
        <v>97.7</v>
      </c>
      <c r="G18" s="56">
        <v>98.9</v>
      </c>
      <c r="H18" s="56">
        <v>101.7</v>
      </c>
      <c r="I18" s="56">
        <v>103.7</v>
      </c>
      <c r="J18" s="56">
        <v>104.6</v>
      </c>
      <c r="K18" s="56">
        <v>106.8</v>
      </c>
      <c r="L18" s="56">
        <v>108.9</v>
      </c>
      <c r="M18" s="56">
        <v>111.5</v>
      </c>
      <c r="N18" s="56">
        <v>114.6</v>
      </c>
      <c r="O18" s="56">
        <v>116.2</v>
      </c>
      <c r="P18" s="56">
        <v>118.4</v>
      </c>
      <c r="Q18" s="56">
        <v>119.7</v>
      </c>
      <c r="R18" s="56">
        <v>120.8</v>
      </c>
      <c r="S18" s="56">
        <v>124.1</v>
      </c>
      <c r="T18" s="56">
        <v>127.1</v>
      </c>
      <c r="U18" s="56">
        <v>127.7</v>
      </c>
      <c r="V18" s="56">
        <v>128.80000000000001</v>
      </c>
      <c r="W18" s="56">
        <v>133</v>
      </c>
      <c r="X18" s="56">
        <v>138.19999999999999</v>
      </c>
      <c r="Y18" s="56">
        <v>141.1</v>
      </c>
      <c r="Z18" s="56">
        <v>141.69999999999999</v>
      </c>
      <c r="AA18" s="56">
        <v>144.9</v>
      </c>
      <c r="AB18" s="56">
        <v>147.69999999999999</v>
      </c>
      <c r="AC18" s="56">
        <v>151.30000000000001</v>
      </c>
      <c r="AD18" s="56">
        <v>154.80000000000001</v>
      </c>
      <c r="AE18" s="56">
        <v>158</v>
      </c>
      <c r="AF18" s="56">
        <v>161.5</v>
      </c>
      <c r="AG18" s="56">
        <v>164.3</v>
      </c>
      <c r="AH18" s="56">
        <v>166.9</v>
      </c>
      <c r="AI18" s="56">
        <v>173.1</v>
      </c>
      <c r="AJ18" s="56">
        <v>169.7</v>
      </c>
      <c r="AK18" s="56">
        <v>173.9</v>
      </c>
      <c r="AL18" s="56">
        <v>176.4</v>
      </c>
      <c r="AM18" s="56">
        <v>178.5</v>
      </c>
      <c r="AN18" s="56">
        <v>180.9</v>
      </c>
      <c r="AO18" s="56">
        <v>184.6</v>
      </c>
      <c r="AP18" s="56">
        <v>189.5</v>
      </c>
      <c r="AQ18" s="56">
        <v>196.9</v>
      </c>
      <c r="AR18" s="56">
        <v>204.3</v>
      </c>
      <c r="AS18" s="56">
        <v>210.6</v>
      </c>
      <c r="AT18" s="56">
        <v>230.8</v>
      </c>
      <c r="AU18" s="56">
        <v>235.5</v>
      </c>
      <c r="AV18" s="56">
        <v>237.5</v>
      </c>
      <c r="AW18" s="56">
        <v>238.8</v>
      </c>
      <c r="AX18" s="56">
        <v>237.4</v>
      </c>
      <c r="AY18" s="56">
        <v>238.3</v>
      </c>
      <c r="AZ18" s="56">
        <v>241.8</v>
      </c>
      <c r="BA18" s="56">
        <v>246.3</v>
      </c>
      <c r="BB18" s="56">
        <v>250.7</v>
      </c>
      <c r="BC18" s="56">
        <v>261.2</v>
      </c>
      <c r="BD18" s="56">
        <v>267.5</v>
      </c>
      <c r="BE18" s="56">
        <v>273.7</v>
      </c>
      <c r="BF18" s="56">
        <v>281.60000000000002</v>
      </c>
      <c r="BG18" s="56">
        <v>287.7</v>
      </c>
      <c r="BH18" s="56">
        <v>292.2</v>
      </c>
      <c r="BI18" s="56">
        <v>297.5</v>
      </c>
      <c r="BJ18" s="56">
        <v>301</v>
      </c>
      <c r="BK18" s="56">
        <v>305.7</v>
      </c>
      <c r="BL18" s="56">
        <v>311.89999999999998</v>
      </c>
      <c r="BM18" s="56">
        <v>313.89999999999998</v>
      </c>
      <c r="BN18" s="56">
        <v>317.5</v>
      </c>
      <c r="BO18" s="56">
        <v>319.5</v>
      </c>
      <c r="BP18" s="56">
        <v>326.2</v>
      </c>
      <c r="BQ18" s="56">
        <v>330.4</v>
      </c>
      <c r="BR18" s="56">
        <v>336</v>
      </c>
      <c r="BS18" s="56">
        <v>344.4</v>
      </c>
      <c r="BT18" s="56">
        <v>352.4</v>
      </c>
      <c r="BU18" s="56">
        <v>357.4</v>
      </c>
      <c r="BV18" s="56">
        <v>365.2</v>
      </c>
      <c r="BW18" s="56">
        <v>372.5</v>
      </c>
      <c r="BX18" s="56">
        <v>377.5</v>
      </c>
      <c r="BY18" s="56">
        <v>382.6</v>
      </c>
      <c r="BZ18" s="56">
        <v>391</v>
      </c>
      <c r="CA18" s="56">
        <v>397.5</v>
      </c>
      <c r="CB18" s="56">
        <v>403.9</v>
      </c>
      <c r="CC18" s="56">
        <v>403</v>
      </c>
      <c r="CD18" s="56">
        <v>419.5</v>
      </c>
      <c r="CE18" s="56">
        <v>419.5</v>
      </c>
      <c r="CF18" s="56">
        <v>426.8</v>
      </c>
      <c r="CG18" s="56">
        <v>434.2</v>
      </c>
      <c r="CH18" s="56">
        <v>444</v>
      </c>
      <c r="CI18" s="56">
        <v>451.6</v>
      </c>
      <c r="CJ18" s="56">
        <v>461.3</v>
      </c>
      <c r="CK18" s="56">
        <v>471.5</v>
      </c>
      <c r="CL18" s="56">
        <v>476.4</v>
      </c>
      <c r="CM18" s="56">
        <v>481.2</v>
      </c>
      <c r="CN18" s="56">
        <v>486</v>
      </c>
      <c r="CO18" s="56">
        <v>489.9</v>
      </c>
      <c r="CP18" s="56">
        <v>489.7</v>
      </c>
      <c r="CQ18" s="56">
        <v>497.6</v>
      </c>
      <c r="CR18" s="56">
        <v>504.9</v>
      </c>
      <c r="CS18" s="56">
        <v>520.29999999999995</v>
      </c>
      <c r="CT18" s="56">
        <v>531.5</v>
      </c>
      <c r="CU18" s="56">
        <v>544.4</v>
      </c>
      <c r="CV18" s="56">
        <v>550.5</v>
      </c>
      <c r="CW18" s="56">
        <v>554.6</v>
      </c>
      <c r="CX18" s="56">
        <v>555.29999999999995</v>
      </c>
      <c r="CY18" s="56">
        <v>553.6</v>
      </c>
      <c r="CZ18" s="56">
        <v>558.9</v>
      </c>
      <c r="DA18" s="56">
        <v>563.79999999999995</v>
      </c>
      <c r="DB18" s="56">
        <v>570.4</v>
      </c>
      <c r="DC18" s="56">
        <v>577.70000000000005</v>
      </c>
      <c r="DD18" s="56">
        <v>581.79999999999995</v>
      </c>
      <c r="DE18" s="56">
        <v>593.20000000000005</v>
      </c>
      <c r="DF18" s="56">
        <v>595.70000000000005</v>
      </c>
      <c r="DG18" s="56">
        <v>610.4</v>
      </c>
      <c r="DH18" s="56">
        <v>616.6</v>
      </c>
      <c r="DI18" s="56">
        <v>623.79999999999995</v>
      </c>
      <c r="DJ18" s="56">
        <v>629.1</v>
      </c>
      <c r="DK18" s="56">
        <v>635.5</v>
      </c>
      <c r="DL18" s="56">
        <v>643</v>
      </c>
      <c r="DM18" s="56">
        <v>650.29999999999995</v>
      </c>
      <c r="DN18" s="56">
        <v>657.5</v>
      </c>
      <c r="DO18" s="56">
        <v>667.1</v>
      </c>
      <c r="DP18" s="56">
        <v>679</v>
      </c>
      <c r="DQ18" s="56">
        <v>690.7</v>
      </c>
      <c r="DR18" s="56">
        <v>698.6</v>
      </c>
      <c r="DS18" s="56">
        <v>707.3</v>
      </c>
      <c r="DT18" s="56">
        <v>711.3</v>
      </c>
      <c r="DU18" s="56">
        <v>717.1</v>
      </c>
      <c r="DV18" s="56">
        <v>724.2</v>
      </c>
      <c r="DW18" s="56">
        <v>724.1</v>
      </c>
      <c r="DX18" s="56">
        <v>725.3</v>
      </c>
      <c r="DY18" s="56">
        <v>737.1</v>
      </c>
      <c r="DZ18" s="56">
        <v>744</v>
      </c>
      <c r="EA18" s="56">
        <v>751.3</v>
      </c>
      <c r="EB18" s="56">
        <v>768.5</v>
      </c>
      <c r="EC18" s="56">
        <v>776.3</v>
      </c>
      <c r="ED18" s="56">
        <v>788.6</v>
      </c>
      <c r="EE18" s="56">
        <v>800</v>
      </c>
      <c r="EF18" s="56">
        <v>813</v>
      </c>
      <c r="EG18" s="56">
        <v>820.9</v>
      </c>
      <c r="EH18" s="56">
        <v>847.3</v>
      </c>
      <c r="EI18" s="56">
        <v>859.9</v>
      </c>
      <c r="EJ18" s="56">
        <v>871.3</v>
      </c>
      <c r="EK18" s="56">
        <v>893.8</v>
      </c>
      <c r="EL18" s="56">
        <v>915.1</v>
      </c>
      <c r="EM18" s="56">
        <v>937.3</v>
      </c>
      <c r="EN18" s="56">
        <v>952.1</v>
      </c>
      <c r="EO18" s="56">
        <v>965.3</v>
      </c>
      <c r="EP18" s="56">
        <v>981.8</v>
      </c>
      <c r="EQ18" s="56">
        <v>991.7</v>
      </c>
      <c r="ER18" s="56">
        <v>1004.1</v>
      </c>
      <c r="ES18" s="56">
        <v>1010.5</v>
      </c>
      <c r="ET18" s="56">
        <v>1025.9000000000001</v>
      </c>
      <c r="EU18" s="56">
        <v>1033.0999999999999</v>
      </c>
      <c r="EV18" s="56">
        <v>1035.8</v>
      </c>
      <c r="EW18" s="56">
        <v>1052.5999999999999</v>
      </c>
      <c r="EX18" s="56">
        <v>1045.7</v>
      </c>
      <c r="EY18" s="56">
        <v>1054.7</v>
      </c>
      <c r="EZ18" s="56">
        <v>1058.5</v>
      </c>
      <c r="FA18" s="56">
        <v>1040</v>
      </c>
      <c r="FB18" s="56">
        <v>1015.9</v>
      </c>
      <c r="FC18" s="56">
        <v>1017.3</v>
      </c>
      <c r="FD18" s="56">
        <v>1028.8</v>
      </c>
      <c r="FE18" s="56">
        <v>1045.3</v>
      </c>
      <c r="FF18" s="56">
        <v>1044.5999999999999</v>
      </c>
      <c r="FG18" s="56">
        <v>1062.0999999999999</v>
      </c>
      <c r="FH18" s="56">
        <v>1069.0999999999999</v>
      </c>
      <c r="FI18" s="56">
        <v>1076.4000000000001</v>
      </c>
      <c r="FJ18" s="56">
        <v>1091.5</v>
      </c>
      <c r="FK18" s="56">
        <v>1105.5</v>
      </c>
      <c r="FL18" s="56">
        <v>1103.9000000000001</v>
      </c>
      <c r="FM18" s="56">
        <v>1114</v>
      </c>
      <c r="FN18" s="56">
        <v>1130.9000000000001</v>
      </c>
      <c r="FO18" s="56">
        <v>1133.9000000000001</v>
      </c>
      <c r="FP18" s="56">
        <v>1131.3</v>
      </c>
      <c r="FQ18" s="56">
        <v>1148.4000000000001</v>
      </c>
      <c r="FR18" s="56">
        <v>1175.4000000000001</v>
      </c>
      <c r="FS18" s="56">
        <v>1179.4000000000001</v>
      </c>
      <c r="FT18" s="56">
        <v>1190.2</v>
      </c>
      <c r="FU18" s="56">
        <v>1198.3</v>
      </c>
      <c r="FV18" s="56">
        <v>1215.9000000000001</v>
      </c>
      <c r="FW18" s="56">
        <v>1234.8</v>
      </c>
      <c r="FX18" s="56">
        <v>1245.5999999999999</v>
      </c>
      <c r="FY18" s="56">
        <v>1254.4000000000001</v>
      </c>
      <c r="FZ18" s="56">
        <v>1259.0999999999999</v>
      </c>
      <c r="GA18" s="56">
        <v>1270.9000000000001</v>
      </c>
      <c r="GB18" s="56">
        <v>1275.8</v>
      </c>
      <c r="GC18" s="56">
        <v>1288</v>
      </c>
      <c r="GD18" s="56">
        <v>1292.5</v>
      </c>
      <c r="GE18" s="56">
        <v>1297.5</v>
      </c>
      <c r="GF18" s="56">
        <v>1320.1</v>
      </c>
      <c r="GG18" s="56">
        <v>1326.4</v>
      </c>
      <c r="GH18" s="56">
        <v>1336.9</v>
      </c>
      <c r="GI18" s="56">
        <v>1353.5</v>
      </c>
      <c r="GJ18" s="56">
        <v>1372</v>
      </c>
      <c r="GK18" s="56">
        <v>1393.5</v>
      </c>
      <c r="GL18" s="56">
        <v>1423.3</v>
      </c>
      <c r="GM18" s="56">
        <v>1440.9</v>
      </c>
      <c r="GN18" s="56">
        <v>1463.6</v>
      </c>
      <c r="GO18" s="56">
        <v>1500.6</v>
      </c>
      <c r="GP18" s="56">
        <v>1507.5</v>
      </c>
      <c r="GQ18" s="56">
        <v>1519.2</v>
      </c>
      <c r="GR18" s="56">
        <v>1552</v>
      </c>
      <c r="GS18" s="56">
        <v>1553.8</v>
      </c>
      <c r="GT18" s="56">
        <v>1562.6</v>
      </c>
      <c r="GU18" s="56">
        <v>1420.9</v>
      </c>
      <c r="GV18" s="56">
        <v>1535.8</v>
      </c>
      <c r="GW18" s="56">
        <v>1562.7</v>
      </c>
      <c r="GX18" s="56">
        <v>1581.7</v>
      </c>
      <c r="GY18" s="56">
        <v>1675.1</v>
      </c>
      <c r="GZ18" s="56">
        <v>1685.4</v>
      </c>
      <c r="HA18" s="56">
        <v>1745.5</v>
      </c>
      <c r="HB18" s="56">
        <v>1784</v>
      </c>
      <c r="HC18">
        <v>1812.3</v>
      </c>
      <c r="HD18">
        <v>1824</v>
      </c>
      <c r="HE18">
        <v>1820.6</v>
      </c>
      <c r="HF18">
        <v>1831.1</v>
      </c>
      <c r="HG18">
        <v>1821.6</v>
      </c>
      <c r="HH18">
        <v>1830.7</v>
      </c>
      <c r="HI18">
        <v>1847.2</v>
      </c>
      <c r="HJ18">
        <v>1859.5</v>
      </c>
    </row>
    <row r="19" spans="1:218" x14ac:dyDescent="0.35">
      <c r="A19" s="56" t="s">
        <v>2214</v>
      </c>
      <c r="B19" s="56">
        <v>30.7</v>
      </c>
      <c r="C19" s="56">
        <v>30.8</v>
      </c>
      <c r="D19" s="56">
        <v>31.7</v>
      </c>
      <c r="E19" s="56">
        <v>30.2</v>
      </c>
      <c r="F19" s="56">
        <v>34</v>
      </c>
      <c r="G19" s="56">
        <v>34.9</v>
      </c>
      <c r="H19" s="56">
        <v>34.1</v>
      </c>
      <c r="I19" s="56">
        <v>34.6</v>
      </c>
      <c r="J19" s="56">
        <v>36.799999999999997</v>
      </c>
      <c r="K19" s="56">
        <v>37.1</v>
      </c>
      <c r="L19" s="56">
        <v>38.299999999999997</v>
      </c>
      <c r="M19" s="56">
        <v>42.4</v>
      </c>
      <c r="N19" s="56">
        <v>45.3</v>
      </c>
      <c r="O19" s="56">
        <v>45.4</v>
      </c>
      <c r="P19" s="56">
        <v>43.4</v>
      </c>
      <c r="Q19" s="56">
        <v>45.6</v>
      </c>
      <c r="R19" s="56">
        <v>43.7</v>
      </c>
      <c r="S19" s="56">
        <v>45.9</v>
      </c>
      <c r="T19" s="56">
        <v>50.8</v>
      </c>
      <c r="U19" s="56">
        <v>44.6</v>
      </c>
      <c r="V19" s="56">
        <v>37.6</v>
      </c>
      <c r="W19" s="56">
        <v>40.799999999999997</v>
      </c>
      <c r="X19" s="56">
        <v>51.4</v>
      </c>
      <c r="Y19" s="56">
        <v>52.3</v>
      </c>
      <c r="Z19" s="56">
        <v>59.6</v>
      </c>
      <c r="AA19" s="56">
        <v>58.6</v>
      </c>
      <c r="AB19" s="56">
        <v>58.1</v>
      </c>
      <c r="AC19" s="56">
        <v>57.1</v>
      </c>
      <c r="AD19" s="56">
        <v>61.5</v>
      </c>
      <c r="AE19" s="56">
        <v>67.099999999999994</v>
      </c>
      <c r="AF19" s="56">
        <v>69.7</v>
      </c>
      <c r="AG19" s="56">
        <v>70.099999999999994</v>
      </c>
      <c r="AH19" s="56">
        <v>65</v>
      </c>
      <c r="AI19" s="56">
        <v>78.599999999999994</v>
      </c>
      <c r="AJ19" s="56">
        <v>79.099999999999994</v>
      </c>
      <c r="AK19" s="56">
        <v>83.3</v>
      </c>
      <c r="AL19" s="56">
        <v>80.3</v>
      </c>
      <c r="AM19" s="56">
        <v>80.3</v>
      </c>
      <c r="AN19" s="56">
        <v>78.900000000000006</v>
      </c>
      <c r="AO19" s="56">
        <v>75.3</v>
      </c>
      <c r="AP19" s="56">
        <v>83.1</v>
      </c>
      <c r="AQ19" s="56">
        <v>62.6</v>
      </c>
      <c r="AR19" s="56">
        <v>69.900000000000006</v>
      </c>
      <c r="AS19" s="56">
        <v>76.8</v>
      </c>
      <c r="AT19" s="56">
        <v>75.400000000000006</v>
      </c>
      <c r="AU19" s="56">
        <v>65.900000000000006</v>
      </c>
      <c r="AV19" s="56">
        <v>68.400000000000006</v>
      </c>
      <c r="AW19" s="56">
        <v>58.9</v>
      </c>
      <c r="AX19" s="56">
        <v>47.6</v>
      </c>
      <c r="AY19" s="56">
        <v>49</v>
      </c>
      <c r="AZ19" s="56">
        <v>49.8</v>
      </c>
      <c r="BA19" s="56">
        <v>45.1</v>
      </c>
      <c r="BB19" s="56">
        <v>47.1</v>
      </c>
      <c r="BC19" s="56">
        <v>61.9</v>
      </c>
      <c r="BD19" s="56">
        <v>70.7</v>
      </c>
      <c r="BE19" s="56">
        <v>72.400000000000006</v>
      </c>
      <c r="BF19" s="56">
        <v>84.9</v>
      </c>
      <c r="BG19" s="56">
        <v>83.7</v>
      </c>
      <c r="BH19" s="56">
        <v>71.3</v>
      </c>
      <c r="BI19" s="56">
        <v>72.099999999999994</v>
      </c>
      <c r="BJ19" s="56">
        <v>77.7</v>
      </c>
      <c r="BK19" s="56">
        <v>76</v>
      </c>
      <c r="BL19" s="56">
        <v>81.7</v>
      </c>
      <c r="BM19" s="56">
        <v>79.5</v>
      </c>
      <c r="BN19" s="56">
        <v>84.4</v>
      </c>
      <c r="BO19" s="56">
        <v>85.5</v>
      </c>
      <c r="BP19" s="56">
        <v>86.9</v>
      </c>
      <c r="BQ19" s="56">
        <v>97.9</v>
      </c>
      <c r="BR19" s="56">
        <v>98.7</v>
      </c>
      <c r="BS19" s="56">
        <v>111.8</v>
      </c>
      <c r="BT19" s="56">
        <v>116.2</v>
      </c>
      <c r="BU19" s="56">
        <v>110.7</v>
      </c>
      <c r="BV19" s="56">
        <v>108</v>
      </c>
      <c r="BW19" s="56">
        <v>115.3</v>
      </c>
      <c r="BX19" s="56">
        <v>125.1</v>
      </c>
      <c r="BY19" s="56">
        <v>130.9</v>
      </c>
      <c r="BZ19" s="56">
        <v>132.69999999999999</v>
      </c>
      <c r="CA19" s="56">
        <v>118.7</v>
      </c>
      <c r="CB19" s="56">
        <v>114.4</v>
      </c>
      <c r="CC19" s="56">
        <v>113.5</v>
      </c>
      <c r="CD19" s="56">
        <v>112.5</v>
      </c>
      <c r="CE19" s="56">
        <v>116.8</v>
      </c>
      <c r="CF19" s="56">
        <v>119.9</v>
      </c>
      <c r="CG19" s="56">
        <v>118.8</v>
      </c>
      <c r="CH19" s="56">
        <v>115.3</v>
      </c>
      <c r="CI19" s="56">
        <v>110.9</v>
      </c>
      <c r="CJ19" s="56">
        <v>111.9</v>
      </c>
      <c r="CK19" s="56">
        <v>113.1</v>
      </c>
      <c r="CL19" s="56">
        <v>125</v>
      </c>
      <c r="CM19" s="56">
        <v>126.8</v>
      </c>
      <c r="CN19" s="56">
        <v>122.1</v>
      </c>
      <c r="CO19" s="56">
        <v>131.6</v>
      </c>
      <c r="CP19" s="56">
        <v>136.4</v>
      </c>
      <c r="CQ19" s="56">
        <v>148.69999999999999</v>
      </c>
      <c r="CR19" s="56">
        <v>140.69999999999999</v>
      </c>
      <c r="CS19" s="56">
        <v>171.9</v>
      </c>
      <c r="CT19" s="56">
        <v>149.5</v>
      </c>
      <c r="CU19" s="56">
        <v>158</v>
      </c>
      <c r="CV19" s="56">
        <v>173.8</v>
      </c>
      <c r="CW19" s="56">
        <v>183.6</v>
      </c>
      <c r="CX19" s="56">
        <v>187.8</v>
      </c>
      <c r="CY19" s="56">
        <v>184.4</v>
      </c>
      <c r="CZ19" s="56">
        <v>191</v>
      </c>
      <c r="DA19" s="56">
        <v>187.1</v>
      </c>
      <c r="DB19" s="56">
        <v>194.3</v>
      </c>
      <c r="DC19" s="56">
        <v>205.5</v>
      </c>
      <c r="DD19" s="56">
        <v>205.9</v>
      </c>
      <c r="DE19" s="56">
        <v>208.6</v>
      </c>
      <c r="DF19" s="56">
        <v>210</v>
      </c>
      <c r="DG19" s="56">
        <v>214</v>
      </c>
      <c r="DH19" s="56">
        <v>226</v>
      </c>
      <c r="DI19" s="56">
        <v>215.9</v>
      </c>
      <c r="DJ19" s="56">
        <v>213.5</v>
      </c>
      <c r="DK19" s="56">
        <v>209.9</v>
      </c>
      <c r="DL19" s="56">
        <v>215.8</v>
      </c>
      <c r="DM19" s="56">
        <v>211.3</v>
      </c>
      <c r="DN19" s="56">
        <v>222.3</v>
      </c>
      <c r="DO19" s="56">
        <v>219.9</v>
      </c>
      <c r="DP19" s="56">
        <v>223.3</v>
      </c>
      <c r="DQ19" s="56">
        <v>228</v>
      </c>
      <c r="DR19" s="56">
        <v>239.4</v>
      </c>
      <c r="DS19" s="56">
        <v>237.6</v>
      </c>
      <c r="DT19" s="56">
        <v>219</v>
      </c>
      <c r="DU19" s="56">
        <v>221.3</v>
      </c>
      <c r="DV19" s="56">
        <v>185.1</v>
      </c>
      <c r="DW19" s="56">
        <v>179</v>
      </c>
      <c r="DX19" s="56">
        <v>159.30000000000001</v>
      </c>
      <c r="DY19" s="56">
        <v>142.4</v>
      </c>
      <c r="DZ19" s="56">
        <v>143.80000000000001</v>
      </c>
      <c r="EA19" s="56">
        <v>150</v>
      </c>
      <c r="EB19" s="56">
        <v>158</v>
      </c>
      <c r="EC19" s="56">
        <v>175.5</v>
      </c>
      <c r="ED19" s="56">
        <v>196.1</v>
      </c>
      <c r="EE19" s="56">
        <v>192.6</v>
      </c>
      <c r="EF19" s="56">
        <v>213.9</v>
      </c>
      <c r="EG19" s="56">
        <v>236.6</v>
      </c>
      <c r="EH19" s="56">
        <v>247</v>
      </c>
      <c r="EI19" s="56">
        <v>266.8</v>
      </c>
      <c r="EJ19" s="56">
        <v>288.3</v>
      </c>
      <c r="EK19" s="56">
        <v>293.60000000000002</v>
      </c>
      <c r="EL19" s="56">
        <v>370.6</v>
      </c>
      <c r="EM19" s="56">
        <v>359</v>
      </c>
      <c r="EN19" s="56">
        <v>365.2</v>
      </c>
      <c r="EO19" s="56">
        <v>402.9</v>
      </c>
      <c r="EP19" s="56">
        <v>416.9</v>
      </c>
      <c r="EQ19" s="56">
        <v>427.6</v>
      </c>
      <c r="ER19" s="56">
        <v>446.6</v>
      </c>
      <c r="ES19" s="56">
        <v>409.8</v>
      </c>
      <c r="ET19" s="56">
        <v>413.6</v>
      </c>
      <c r="EU19" s="56">
        <v>407.2</v>
      </c>
      <c r="EV19" s="56">
        <v>370.9</v>
      </c>
      <c r="EW19" s="56">
        <v>352.7</v>
      </c>
      <c r="EX19" s="56">
        <v>291.89999999999998</v>
      </c>
      <c r="EY19" s="56">
        <v>278.7</v>
      </c>
      <c r="EZ19" s="56">
        <v>264.39999999999998</v>
      </c>
      <c r="FA19" s="56">
        <v>162.6</v>
      </c>
      <c r="FB19" s="56">
        <v>166.5</v>
      </c>
      <c r="FC19" s="56">
        <v>188.6</v>
      </c>
      <c r="FD19" s="56">
        <v>200.7</v>
      </c>
      <c r="FE19" s="56">
        <v>234.2</v>
      </c>
      <c r="FF19" s="56">
        <v>249.8</v>
      </c>
      <c r="FG19" s="56">
        <v>255.6</v>
      </c>
      <c r="FH19" s="56">
        <v>272.60000000000002</v>
      </c>
      <c r="FI19" s="56">
        <v>284</v>
      </c>
      <c r="FJ19" s="56">
        <v>277.3</v>
      </c>
      <c r="FK19" s="56">
        <v>276.89999999999998</v>
      </c>
      <c r="FL19" s="56">
        <v>248.2</v>
      </c>
      <c r="FM19" s="56">
        <v>287</v>
      </c>
      <c r="FN19" s="56">
        <v>310.7</v>
      </c>
      <c r="FO19" s="56">
        <v>325</v>
      </c>
      <c r="FP19" s="56">
        <v>332.9</v>
      </c>
      <c r="FQ19" s="56">
        <v>332.8</v>
      </c>
      <c r="FR19" s="56">
        <v>350.6</v>
      </c>
      <c r="FS19" s="56">
        <v>347.2</v>
      </c>
      <c r="FT19" s="56">
        <v>353.9</v>
      </c>
      <c r="FU19" s="56">
        <v>356.6</v>
      </c>
      <c r="FV19" s="56">
        <v>392.6</v>
      </c>
      <c r="FW19" s="56">
        <v>414.3</v>
      </c>
      <c r="FX19" s="56">
        <v>386.7</v>
      </c>
      <c r="FY19" s="56">
        <v>390.4</v>
      </c>
      <c r="FZ19" s="56">
        <v>402.7</v>
      </c>
      <c r="GA19" s="56">
        <v>408.3</v>
      </c>
      <c r="GB19" s="56">
        <v>380.2</v>
      </c>
      <c r="GC19" s="56">
        <v>349.3</v>
      </c>
      <c r="GD19" s="56">
        <v>364.1</v>
      </c>
      <c r="GE19" s="56">
        <v>367.1</v>
      </c>
      <c r="GF19" s="56">
        <v>375.5</v>
      </c>
      <c r="GG19" s="56">
        <v>353.4</v>
      </c>
      <c r="GH19" s="56">
        <v>266.89999999999998</v>
      </c>
      <c r="GI19" s="56">
        <v>279.60000000000002</v>
      </c>
      <c r="GJ19" s="56">
        <v>295.7</v>
      </c>
      <c r="GK19" s="56">
        <v>296.89999999999998</v>
      </c>
      <c r="GL19" s="56">
        <v>270.39999999999998</v>
      </c>
      <c r="GM19" s="56">
        <v>289.5</v>
      </c>
      <c r="GN19" s="56">
        <v>287.10000000000002</v>
      </c>
      <c r="GO19" s="56">
        <v>293.3</v>
      </c>
      <c r="GP19" s="56">
        <v>273.3</v>
      </c>
      <c r="GQ19" s="56">
        <v>285.10000000000002</v>
      </c>
      <c r="GR19" s="56">
        <v>272.5</v>
      </c>
      <c r="GS19" s="56">
        <v>304.8</v>
      </c>
      <c r="GT19" s="56">
        <v>255.4</v>
      </c>
      <c r="GU19" s="56">
        <v>263.5</v>
      </c>
      <c r="GV19" s="56">
        <v>326.39999999999998</v>
      </c>
      <c r="GW19" s="56">
        <v>333.2</v>
      </c>
      <c r="GX19" s="56">
        <v>338.9</v>
      </c>
      <c r="GY19" s="56">
        <v>378.9</v>
      </c>
      <c r="GZ19" s="56">
        <v>391.5</v>
      </c>
      <c r="HA19" s="56">
        <v>454</v>
      </c>
      <c r="HB19">
        <v>513.9</v>
      </c>
      <c r="HC19">
        <v>532.29999999999995</v>
      </c>
      <c r="HD19">
        <v>529.79999999999995</v>
      </c>
      <c r="HE19">
        <v>534.1</v>
      </c>
      <c r="HF19">
        <v>561.1</v>
      </c>
      <c r="HG19">
        <v>554.1</v>
      </c>
      <c r="HH19">
        <v>566.70000000000005</v>
      </c>
      <c r="HI19">
        <v>595.1</v>
      </c>
      <c r="HJ19">
        <v>622.9</v>
      </c>
    </row>
    <row r="20" spans="1:218" x14ac:dyDescent="0.35">
      <c r="A20" s="56" t="s">
        <v>2215</v>
      </c>
      <c r="B20" s="56">
        <v>247.9</v>
      </c>
      <c r="C20" s="56">
        <v>249.1</v>
      </c>
      <c r="D20" s="56">
        <v>254.6</v>
      </c>
      <c r="E20" s="56">
        <v>258.7</v>
      </c>
      <c r="F20" s="56">
        <v>261.89999999999998</v>
      </c>
      <c r="G20" s="56">
        <v>266.10000000000002</v>
      </c>
      <c r="H20" s="56">
        <v>269.8</v>
      </c>
      <c r="I20" s="56">
        <v>272.10000000000002</v>
      </c>
      <c r="J20" s="56">
        <v>282.2</v>
      </c>
      <c r="K20" s="56">
        <v>286.5</v>
      </c>
      <c r="L20" s="56">
        <v>284.3</v>
      </c>
      <c r="M20" s="56">
        <v>291.7</v>
      </c>
      <c r="N20" s="56">
        <v>299.60000000000002</v>
      </c>
      <c r="O20" s="56">
        <v>302.7</v>
      </c>
      <c r="P20" s="56">
        <v>304.2</v>
      </c>
      <c r="Q20" s="56">
        <v>312.60000000000002</v>
      </c>
      <c r="R20" s="56">
        <v>324.60000000000002</v>
      </c>
      <c r="S20" s="56">
        <v>335</v>
      </c>
      <c r="T20" s="56">
        <v>346.7</v>
      </c>
      <c r="U20" s="56">
        <v>359.2</v>
      </c>
      <c r="V20" s="56">
        <v>370.1</v>
      </c>
      <c r="W20" s="56">
        <v>373.4</v>
      </c>
      <c r="X20" s="56">
        <v>385.4</v>
      </c>
      <c r="Y20" s="56">
        <v>395.6</v>
      </c>
      <c r="Z20" s="56">
        <v>401.3</v>
      </c>
      <c r="AA20" s="56">
        <v>401</v>
      </c>
      <c r="AB20" s="56">
        <v>403.5</v>
      </c>
      <c r="AC20" s="56">
        <v>410.8</v>
      </c>
      <c r="AD20" s="56">
        <v>421.2</v>
      </c>
      <c r="AE20" s="56">
        <v>431.4</v>
      </c>
      <c r="AF20" s="56">
        <v>438</v>
      </c>
      <c r="AG20" s="56">
        <v>446.7</v>
      </c>
      <c r="AH20" s="56">
        <v>452.6</v>
      </c>
      <c r="AI20" s="56">
        <v>472.3</v>
      </c>
      <c r="AJ20" s="56">
        <v>484.2</v>
      </c>
      <c r="AK20" s="56">
        <v>496.2</v>
      </c>
      <c r="AL20" s="56">
        <v>501.8</v>
      </c>
      <c r="AM20" s="56">
        <v>516.5</v>
      </c>
      <c r="AN20" s="56">
        <v>533.1</v>
      </c>
      <c r="AO20" s="56">
        <v>547.79999999999995</v>
      </c>
      <c r="AP20" s="56">
        <v>568.79999999999995</v>
      </c>
      <c r="AQ20" s="56">
        <v>588.5</v>
      </c>
      <c r="AR20" s="56">
        <v>592.20000000000005</v>
      </c>
      <c r="AS20" s="56">
        <v>608.9</v>
      </c>
      <c r="AT20" s="56">
        <v>633.4</v>
      </c>
      <c r="AU20" s="56">
        <v>648.70000000000005</v>
      </c>
      <c r="AV20" s="56">
        <v>657.8</v>
      </c>
      <c r="AW20" s="56">
        <v>677.7</v>
      </c>
      <c r="AX20" s="56">
        <v>688.1</v>
      </c>
      <c r="AY20" s="56">
        <v>703.1</v>
      </c>
      <c r="AZ20" s="56">
        <v>717.3</v>
      </c>
      <c r="BA20" s="56">
        <v>737.4</v>
      </c>
      <c r="BB20" s="56">
        <v>747.9</v>
      </c>
      <c r="BC20" s="56">
        <v>761.1</v>
      </c>
      <c r="BD20" s="56">
        <v>782.2</v>
      </c>
      <c r="BE20" s="56">
        <v>775.1</v>
      </c>
      <c r="BF20" s="56">
        <v>794</v>
      </c>
      <c r="BG20" s="56">
        <v>819.1</v>
      </c>
      <c r="BH20" s="56">
        <v>835.7</v>
      </c>
      <c r="BI20" s="56">
        <v>862.8</v>
      </c>
      <c r="BJ20" s="56">
        <v>875.6</v>
      </c>
      <c r="BK20" s="56">
        <v>900.5</v>
      </c>
      <c r="BL20" s="56">
        <v>927.4</v>
      </c>
      <c r="BM20" s="56">
        <v>938.6</v>
      </c>
      <c r="BN20" s="56">
        <v>946.8</v>
      </c>
      <c r="BO20" s="56">
        <v>967.5</v>
      </c>
      <c r="BP20" s="56">
        <v>993.6</v>
      </c>
      <c r="BQ20" s="56">
        <v>996.4</v>
      </c>
      <c r="BR20" s="56">
        <v>1008.7</v>
      </c>
      <c r="BS20" s="56">
        <v>1025.2</v>
      </c>
      <c r="BT20" s="56">
        <v>1036.2</v>
      </c>
      <c r="BU20" s="56">
        <v>1056</v>
      </c>
      <c r="BV20" s="56">
        <v>1056.9000000000001</v>
      </c>
      <c r="BW20" s="56">
        <v>1070.4000000000001</v>
      </c>
      <c r="BX20" s="56">
        <v>1078.2</v>
      </c>
      <c r="BY20" s="56">
        <v>1109.9000000000001</v>
      </c>
      <c r="BZ20" s="56">
        <v>1116.5999999999999</v>
      </c>
      <c r="CA20" s="56">
        <v>1145.8</v>
      </c>
      <c r="CB20" s="56">
        <v>1164.5999999999999</v>
      </c>
      <c r="CC20" s="56">
        <v>1180.5</v>
      </c>
      <c r="CD20" s="56">
        <v>1212.5</v>
      </c>
      <c r="CE20" s="56">
        <v>1230.7</v>
      </c>
      <c r="CF20" s="56">
        <v>1242.5999999999999</v>
      </c>
      <c r="CG20" s="56">
        <v>1268.5</v>
      </c>
      <c r="CH20" s="56">
        <v>1284.2</v>
      </c>
      <c r="CI20" s="56">
        <v>1296.5999999999999</v>
      </c>
      <c r="CJ20" s="56">
        <v>1306.3</v>
      </c>
      <c r="CK20" s="56">
        <v>1308.8</v>
      </c>
      <c r="CL20" s="56">
        <v>1326.4</v>
      </c>
      <c r="CM20" s="56">
        <v>1334.8</v>
      </c>
      <c r="CN20" s="56">
        <v>1354</v>
      </c>
      <c r="CO20" s="56">
        <v>1362.8</v>
      </c>
      <c r="CP20" s="56">
        <v>1351.8</v>
      </c>
      <c r="CQ20" s="56">
        <v>1359.1</v>
      </c>
      <c r="CR20" s="56">
        <v>1367.4</v>
      </c>
      <c r="CS20" s="56">
        <v>1381.4</v>
      </c>
      <c r="CT20" s="56">
        <v>1373.4</v>
      </c>
      <c r="CU20" s="56">
        <v>1389.4</v>
      </c>
      <c r="CV20" s="56">
        <v>1423.4</v>
      </c>
      <c r="CW20" s="56">
        <v>1422.9</v>
      </c>
      <c r="CX20" s="56">
        <v>1437.6</v>
      </c>
      <c r="CY20" s="56">
        <v>1452.9</v>
      </c>
      <c r="CZ20" s="56">
        <v>1455.7</v>
      </c>
      <c r="DA20" s="56">
        <v>1451.6</v>
      </c>
      <c r="DB20" s="56">
        <v>1471.3</v>
      </c>
      <c r="DC20" s="56">
        <v>1487.7</v>
      </c>
      <c r="DD20" s="56">
        <v>1496.7</v>
      </c>
      <c r="DE20" s="56">
        <v>1515.7</v>
      </c>
      <c r="DF20" s="56">
        <v>1516</v>
      </c>
      <c r="DG20" s="56">
        <v>1542.5</v>
      </c>
      <c r="DH20" s="56">
        <v>1555.2</v>
      </c>
      <c r="DI20" s="56">
        <v>1574.8</v>
      </c>
      <c r="DJ20" s="56">
        <v>1568</v>
      </c>
      <c r="DK20" s="56">
        <v>1603.7</v>
      </c>
      <c r="DL20" s="56">
        <v>1627.3</v>
      </c>
      <c r="DM20" s="56">
        <v>1647.5</v>
      </c>
      <c r="DN20" s="56">
        <v>1669.1</v>
      </c>
      <c r="DO20" s="56">
        <v>1694.8</v>
      </c>
      <c r="DP20" s="56">
        <v>1734</v>
      </c>
      <c r="DQ20" s="56">
        <v>1781.7</v>
      </c>
      <c r="DR20" s="56">
        <v>1789.9</v>
      </c>
      <c r="DS20" s="56">
        <v>1822.5</v>
      </c>
      <c r="DT20" s="56">
        <v>1832.1</v>
      </c>
      <c r="DU20" s="56">
        <v>1861.3</v>
      </c>
      <c r="DV20" s="56">
        <v>1906.3</v>
      </c>
      <c r="DW20" s="56">
        <v>1947.7</v>
      </c>
      <c r="DX20" s="56">
        <v>1953.4</v>
      </c>
      <c r="DY20" s="56">
        <v>1992.7</v>
      </c>
      <c r="DZ20" s="56">
        <v>2040</v>
      </c>
      <c r="EA20" s="56">
        <v>2074.5</v>
      </c>
      <c r="EB20" s="56">
        <v>2101.3000000000002</v>
      </c>
      <c r="EC20" s="56">
        <v>2142.1999999999998</v>
      </c>
      <c r="ED20" s="56">
        <v>2172</v>
      </c>
      <c r="EE20" s="56">
        <v>2198.8000000000002</v>
      </c>
      <c r="EF20" s="56">
        <v>2220.4</v>
      </c>
      <c r="EG20" s="56">
        <v>2251.1999999999998</v>
      </c>
      <c r="EH20" s="56">
        <v>2286.6</v>
      </c>
      <c r="EI20" s="56">
        <v>2320.6999999999998</v>
      </c>
      <c r="EJ20" s="56">
        <v>2356.4</v>
      </c>
      <c r="EK20" s="56">
        <v>2388.8000000000002</v>
      </c>
      <c r="EL20" s="56">
        <v>2426.1</v>
      </c>
      <c r="EM20" s="56">
        <v>2452.1999999999998</v>
      </c>
      <c r="EN20" s="56">
        <v>2494.4</v>
      </c>
      <c r="EO20" s="56">
        <v>2528.4</v>
      </c>
      <c r="EP20" s="56">
        <v>2580.1</v>
      </c>
      <c r="EQ20" s="56">
        <v>2610.6</v>
      </c>
      <c r="ER20" s="56">
        <v>2630.3</v>
      </c>
      <c r="ES20" s="56">
        <v>2674.5</v>
      </c>
      <c r="ET20" s="56">
        <v>2718.5</v>
      </c>
      <c r="EU20" s="56">
        <v>2770</v>
      </c>
      <c r="EV20" s="56">
        <v>2808.7</v>
      </c>
      <c r="EW20" s="56">
        <v>2865.1</v>
      </c>
      <c r="EX20" s="56">
        <v>2909.6</v>
      </c>
      <c r="EY20" s="56">
        <v>2971.6</v>
      </c>
      <c r="EZ20" s="56">
        <v>3029</v>
      </c>
      <c r="FA20" s="56">
        <v>3021.8</v>
      </c>
      <c r="FB20" s="56">
        <v>3022</v>
      </c>
      <c r="FC20" s="56">
        <v>3070.5</v>
      </c>
      <c r="FD20" s="56">
        <v>3092.1</v>
      </c>
      <c r="FE20" s="56">
        <v>3120.8</v>
      </c>
      <c r="FF20" s="56">
        <v>3133.8</v>
      </c>
      <c r="FG20" s="56">
        <v>3165.8</v>
      </c>
      <c r="FH20" s="56">
        <v>3158.3</v>
      </c>
      <c r="FI20" s="56">
        <v>3164.3</v>
      </c>
      <c r="FJ20" s="56">
        <v>3155.8</v>
      </c>
      <c r="FK20" s="56">
        <v>3168.3</v>
      </c>
      <c r="FL20" s="56">
        <v>3136.9</v>
      </c>
      <c r="FM20" s="56">
        <v>3130.8</v>
      </c>
      <c r="FN20" s="56">
        <v>3144</v>
      </c>
      <c r="FO20" s="56">
        <v>3130.4</v>
      </c>
      <c r="FP20" s="56">
        <v>3139.1</v>
      </c>
      <c r="FQ20" s="56">
        <v>3132.3</v>
      </c>
      <c r="FR20" s="56">
        <v>3123.5</v>
      </c>
      <c r="FS20" s="56">
        <v>3131.1</v>
      </c>
      <c r="FT20" s="56">
        <v>3135.2</v>
      </c>
      <c r="FU20" s="56">
        <v>3140.5</v>
      </c>
      <c r="FV20" s="56">
        <v>3139.1</v>
      </c>
      <c r="FW20" s="56">
        <v>3154.4</v>
      </c>
      <c r="FX20" s="56">
        <v>3191.7</v>
      </c>
      <c r="FY20" s="56">
        <v>3189.3</v>
      </c>
      <c r="FZ20" s="56">
        <v>3187.9</v>
      </c>
      <c r="GA20" s="56">
        <v>3234.1</v>
      </c>
      <c r="GB20" s="56">
        <v>3253.6</v>
      </c>
      <c r="GC20" s="56">
        <v>3258.1</v>
      </c>
      <c r="GD20" s="56">
        <v>3270.1</v>
      </c>
      <c r="GE20" s="56">
        <v>3289.6</v>
      </c>
      <c r="GF20" s="56">
        <v>3315.2</v>
      </c>
      <c r="GG20" s="56">
        <v>3337.2</v>
      </c>
      <c r="GH20" s="56">
        <v>3353.1</v>
      </c>
      <c r="GI20" s="56">
        <v>3370.4</v>
      </c>
      <c r="GJ20" s="56">
        <v>3398.9</v>
      </c>
      <c r="GK20" s="56">
        <v>3466.1</v>
      </c>
      <c r="GL20" s="56">
        <v>3513.9</v>
      </c>
      <c r="GM20" s="56">
        <v>3570.7</v>
      </c>
      <c r="GN20" s="56">
        <v>3626.1</v>
      </c>
      <c r="GO20" s="56">
        <v>3650.8</v>
      </c>
      <c r="GP20" s="56">
        <v>3704.5</v>
      </c>
      <c r="GQ20" s="56">
        <v>3768.2</v>
      </c>
      <c r="GR20" s="56">
        <v>3821.5</v>
      </c>
      <c r="GS20" s="56">
        <v>3865.3</v>
      </c>
      <c r="GT20" s="56">
        <v>3943.7</v>
      </c>
      <c r="GU20" s="56">
        <v>4021.1</v>
      </c>
      <c r="GV20" s="56">
        <v>3996</v>
      </c>
      <c r="GW20" s="56">
        <v>4018.3</v>
      </c>
      <c r="GX20" s="56">
        <v>4143.8999999999996</v>
      </c>
      <c r="GY20" s="56">
        <v>4160.2</v>
      </c>
      <c r="GZ20" s="56">
        <v>4201.5</v>
      </c>
      <c r="HA20" s="56">
        <v>4266.6000000000004</v>
      </c>
      <c r="HB20" s="56">
        <v>4321.3999999999996</v>
      </c>
      <c r="HC20">
        <v>4415.7</v>
      </c>
      <c r="HD20">
        <v>4477.8999999999996</v>
      </c>
      <c r="HE20">
        <v>4572.3999999999996</v>
      </c>
      <c r="HF20">
        <v>4643.8999999999996</v>
      </c>
      <c r="HG20">
        <v>4669.8</v>
      </c>
      <c r="HH20">
        <v>4794.8</v>
      </c>
      <c r="HI20">
        <v>4871.8</v>
      </c>
      <c r="HJ20">
        <v>4941</v>
      </c>
    </row>
    <row r="21" spans="1:218" x14ac:dyDescent="0.35">
      <c r="A21" s="56" t="s">
        <v>2216</v>
      </c>
      <c r="B21" s="56">
        <v>46.2</v>
      </c>
      <c r="C21" s="56">
        <v>46.5</v>
      </c>
      <c r="D21" s="56">
        <v>46.9</v>
      </c>
      <c r="E21" s="56">
        <v>46.7</v>
      </c>
      <c r="F21" s="56">
        <v>50.8</v>
      </c>
      <c r="G21" s="56">
        <v>51.4</v>
      </c>
      <c r="H21" s="56">
        <v>51.6</v>
      </c>
      <c r="I21" s="56">
        <v>52.2</v>
      </c>
      <c r="J21" s="56">
        <v>58.5</v>
      </c>
      <c r="K21" s="56">
        <v>59.2</v>
      </c>
      <c r="L21" s="56">
        <v>59.9</v>
      </c>
      <c r="M21" s="56">
        <v>60.8</v>
      </c>
      <c r="N21" s="56">
        <v>74.099999999999994</v>
      </c>
      <c r="O21" s="56">
        <v>75.3</v>
      </c>
      <c r="P21" s="56">
        <v>76.599999999999994</v>
      </c>
      <c r="Q21" s="56">
        <v>78.099999999999994</v>
      </c>
      <c r="R21" s="56">
        <v>83.7</v>
      </c>
      <c r="S21" s="56">
        <v>85.3</v>
      </c>
      <c r="T21" s="56">
        <v>86.9</v>
      </c>
      <c r="U21" s="56">
        <v>87.1</v>
      </c>
      <c r="V21" s="56">
        <v>88.2</v>
      </c>
      <c r="W21" s="56">
        <v>88.6</v>
      </c>
      <c r="X21" s="56">
        <v>90.3</v>
      </c>
      <c r="Y21" s="56">
        <v>92.4</v>
      </c>
      <c r="Z21" s="56">
        <v>99.6</v>
      </c>
      <c r="AA21" s="56">
        <v>101.1</v>
      </c>
      <c r="AB21" s="56">
        <v>102.8</v>
      </c>
      <c r="AC21" s="56">
        <v>104.4</v>
      </c>
      <c r="AD21" s="56">
        <v>110</v>
      </c>
      <c r="AE21" s="56">
        <v>112.8</v>
      </c>
      <c r="AF21" s="56">
        <v>115.1</v>
      </c>
      <c r="AG21" s="56">
        <v>117.5</v>
      </c>
      <c r="AH21" s="56">
        <v>124.7</v>
      </c>
      <c r="AI21" s="56">
        <v>129.9</v>
      </c>
      <c r="AJ21" s="56">
        <v>134.19999999999999</v>
      </c>
      <c r="AK21" s="56">
        <v>139.6</v>
      </c>
      <c r="AL21" s="56">
        <v>146.9</v>
      </c>
      <c r="AM21" s="56">
        <v>151.19999999999999</v>
      </c>
      <c r="AN21" s="56">
        <v>156.30000000000001</v>
      </c>
      <c r="AO21" s="56">
        <v>160.30000000000001</v>
      </c>
      <c r="AP21" s="56">
        <v>162.9</v>
      </c>
      <c r="AQ21" s="56">
        <v>163.9</v>
      </c>
      <c r="AR21" s="56">
        <v>168</v>
      </c>
      <c r="AS21" s="56">
        <v>174</v>
      </c>
      <c r="AT21" s="56">
        <v>191</v>
      </c>
      <c r="AU21" s="56">
        <v>194.8</v>
      </c>
      <c r="AV21" s="56">
        <v>199.5</v>
      </c>
      <c r="AW21" s="56">
        <v>202.2</v>
      </c>
      <c r="AX21" s="56">
        <v>207.2</v>
      </c>
      <c r="AY21" s="56">
        <v>209.2</v>
      </c>
      <c r="AZ21" s="56">
        <v>211.5</v>
      </c>
      <c r="BA21" s="56">
        <v>212.4</v>
      </c>
      <c r="BB21" s="56">
        <v>220.2</v>
      </c>
      <c r="BC21" s="56">
        <v>224.2</v>
      </c>
      <c r="BD21" s="56">
        <v>228.9</v>
      </c>
      <c r="BE21" s="56">
        <v>235.5</v>
      </c>
      <c r="BF21" s="56">
        <v>250.8</v>
      </c>
      <c r="BG21" s="56">
        <v>256.8</v>
      </c>
      <c r="BH21" s="56">
        <v>261.8</v>
      </c>
      <c r="BI21" s="56">
        <v>265.8</v>
      </c>
      <c r="BJ21" s="56">
        <v>275.7</v>
      </c>
      <c r="BK21" s="56">
        <v>279.8</v>
      </c>
      <c r="BL21" s="56">
        <v>284.60000000000002</v>
      </c>
      <c r="BM21" s="56">
        <v>291.10000000000002</v>
      </c>
      <c r="BN21" s="56">
        <v>298.2</v>
      </c>
      <c r="BO21" s="56">
        <v>301.89999999999998</v>
      </c>
      <c r="BP21" s="56">
        <v>306.89999999999998</v>
      </c>
      <c r="BQ21" s="56">
        <v>312.60000000000002</v>
      </c>
      <c r="BR21" s="56">
        <v>317.39999999999998</v>
      </c>
      <c r="BS21" s="56">
        <v>321.5</v>
      </c>
      <c r="BT21" s="56">
        <v>326.3</v>
      </c>
      <c r="BU21" s="56">
        <v>333.3</v>
      </c>
      <c r="BV21" s="56">
        <v>352.7</v>
      </c>
      <c r="BW21" s="56">
        <v>360</v>
      </c>
      <c r="BX21" s="56">
        <v>366.2</v>
      </c>
      <c r="BY21" s="56">
        <v>373.7</v>
      </c>
      <c r="BZ21" s="56">
        <v>379.7</v>
      </c>
      <c r="CA21" s="56">
        <v>384.3</v>
      </c>
      <c r="CB21" s="56">
        <v>388.9</v>
      </c>
      <c r="CC21" s="56">
        <v>394.9</v>
      </c>
      <c r="CD21" s="56">
        <v>403.5</v>
      </c>
      <c r="CE21" s="56">
        <v>408.8</v>
      </c>
      <c r="CF21" s="56">
        <v>416.6</v>
      </c>
      <c r="CG21" s="56">
        <v>419.4</v>
      </c>
      <c r="CH21" s="56">
        <v>423</v>
      </c>
      <c r="CI21" s="56">
        <v>429.7</v>
      </c>
      <c r="CJ21" s="56">
        <v>435.6</v>
      </c>
      <c r="CK21" s="56">
        <v>440.6</v>
      </c>
      <c r="CL21" s="56">
        <v>452.5</v>
      </c>
      <c r="CM21" s="56">
        <v>458.1</v>
      </c>
      <c r="CN21" s="56">
        <v>461.2</v>
      </c>
      <c r="CO21" s="56">
        <v>456.5</v>
      </c>
      <c r="CP21" s="56">
        <v>475.9</v>
      </c>
      <c r="CQ21" s="56">
        <v>476.4</v>
      </c>
      <c r="CR21" s="56">
        <v>481</v>
      </c>
      <c r="CS21" s="56">
        <v>485.2</v>
      </c>
      <c r="CT21" s="56">
        <v>500.4</v>
      </c>
      <c r="CU21" s="56">
        <v>507.6</v>
      </c>
      <c r="CV21" s="56">
        <v>513.6</v>
      </c>
      <c r="CW21" s="56">
        <v>521.1</v>
      </c>
      <c r="CX21" s="56">
        <v>528.20000000000005</v>
      </c>
      <c r="CY21" s="56">
        <v>532.70000000000005</v>
      </c>
      <c r="CZ21" s="56">
        <v>538.1</v>
      </c>
      <c r="DA21" s="56">
        <v>543.1</v>
      </c>
      <c r="DB21" s="56">
        <v>545.9</v>
      </c>
      <c r="DC21" s="56">
        <v>554.4</v>
      </c>
      <c r="DD21" s="56">
        <v>561.79999999999995</v>
      </c>
      <c r="DE21" s="56">
        <v>569.4</v>
      </c>
      <c r="DF21" s="56">
        <v>577.29999999999995</v>
      </c>
      <c r="DG21" s="56">
        <v>584.9</v>
      </c>
      <c r="DH21" s="56">
        <v>593.6</v>
      </c>
      <c r="DI21" s="56">
        <v>605.29999999999995</v>
      </c>
      <c r="DJ21" s="56">
        <v>613.29999999999995</v>
      </c>
      <c r="DK21" s="56">
        <v>622.79999999999995</v>
      </c>
      <c r="DL21" s="56">
        <v>632.6</v>
      </c>
      <c r="DM21" s="56">
        <v>642.4</v>
      </c>
      <c r="DN21" s="56">
        <v>653.29999999999995</v>
      </c>
      <c r="DO21" s="56">
        <v>659</v>
      </c>
      <c r="DP21" s="56">
        <v>666.4</v>
      </c>
      <c r="DQ21" s="56">
        <v>679.6</v>
      </c>
      <c r="DR21" s="56">
        <v>699.5</v>
      </c>
      <c r="DS21" s="56">
        <v>701.9</v>
      </c>
      <c r="DT21" s="56">
        <v>715.2</v>
      </c>
      <c r="DU21" s="56">
        <v>721</v>
      </c>
      <c r="DV21" s="56">
        <v>736.1</v>
      </c>
      <c r="DW21" s="56">
        <v>736.9</v>
      </c>
      <c r="DX21" s="56">
        <v>736.1</v>
      </c>
      <c r="DY21" s="56">
        <v>738.7</v>
      </c>
      <c r="DZ21" s="56">
        <v>746.9</v>
      </c>
      <c r="EA21" s="56">
        <v>755.3</v>
      </c>
      <c r="EB21" s="56">
        <v>758.1</v>
      </c>
      <c r="EC21" s="56">
        <v>760.8</v>
      </c>
      <c r="ED21" s="56">
        <v>767.1</v>
      </c>
      <c r="EE21" s="56">
        <v>777.8</v>
      </c>
      <c r="EF21" s="56">
        <v>787.7</v>
      </c>
      <c r="EG21" s="56">
        <v>800.1</v>
      </c>
      <c r="EH21" s="56">
        <v>813.4</v>
      </c>
      <c r="EI21" s="56">
        <v>828</v>
      </c>
      <c r="EJ21" s="56">
        <v>843.7</v>
      </c>
      <c r="EK21" s="56">
        <v>849.5</v>
      </c>
      <c r="EL21" s="56">
        <v>862.7</v>
      </c>
      <c r="EM21" s="56">
        <v>871</v>
      </c>
      <c r="EN21" s="56">
        <v>884.2</v>
      </c>
      <c r="EO21" s="56">
        <v>894.1</v>
      </c>
      <c r="EP21" s="56">
        <v>917.9</v>
      </c>
      <c r="EQ21" s="56">
        <v>922.7</v>
      </c>
      <c r="ER21" s="56">
        <v>927.2</v>
      </c>
      <c r="ES21" s="56">
        <v>940.8</v>
      </c>
      <c r="ET21" s="56">
        <v>960.4</v>
      </c>
      <c r="EU21" s="56">
        <v>962</v>
      </c>
      <c r="EV21" s="56">
        <v>965.3</v>
      </c>
      <c r="EW21" s="56">
        <v>976.9</v>
      </c>
      <c r="EX21" s="56">
        <v>988.8</v>
      </c>
      <c r="EY21" s="56">
        <v>991</v>
      </c>
      <c r="EZ21" s="56">
        <v>996.4</v>
      </c>
      <c r="FA21" s="56">
        <v>996.6</v>
      </c>
      <c r="FB21" s="56">
        <v>964.7</v>
      </c>
      <c r="FC21" s="56">
        <v>971.2</v>
      </c>
      <c r="FD21" s="56">
        <v>968.8</v>
      </c>
      <c r="FE21" s="56">
        <v>972.2</v>
      </c>
      <c r="FF21" s="56">
        <v>978.6</v>
      </c>
      <c r="FG21" s="56">
        <v>989.5</v>
      </c>
      <c r="FH21" s="56">
        <v>992.3</v>
      </c>
      <c r="FI21" s="56">
        <v>994.3</v>
      </c>
      <c r="FJ21" s="56">
        <v>916.2</v>
      </c>
      <c r="FK21" s="56">
        <v>918.9</v>
      </c>
      <c r="FL21" s="56">
        <v>927.3</v>
      </c>
      <c r="FM21" s="56">
        <v>921.9</v>
      </c>
      <c r="FN21" s="56">
        <v>944.9</v>
      </c>
      <c r="FO21" s="56">
        <v>949.4</v>
      </c>
      <c r="FP21" s="56">
        <v>952.3</v>
      </c>
      <c r="FQ21" s="56">
        <v>974.1</v>
      </c>
      <c r="FR21" s="56">
        <v>1095.9000000000001</v>
      </c>
      <c r="FS21" s="56">
        <v>1108.2</v>
      </c>
      <c r="FT21" s="56">
        <v>1111.4000000000001</v>
      </c>
      <c r="FU21" s="56">
        <v>1122.3</v>
      </c>
      <c r="FV21" s="56">
        <v>1145</v>
      </c>
      <c r="FW21" s="56">
        <v>1149.7</v>
      </c>
      <c r="FX21" s="56">
        <v>1161.4000000000001</v>
      </c>
      <c r="FY21" s="56">
        <v>1179.0999999999999</v>
      </c>
      <c r="FZ21" s="56">
        <v>1194.2</v>
      </c>
      <c r="GA21" s="56">
        <v>1206.0999999999999</v>
      </c>
      <c r="GB21" s="56">
        <v>1216.0999999999999</v>
      </c>
      <c r="GC21" s="56">
        <v>1223.5999999999999</v>
      </c>
      <c r="GD21" s="56">
        <v>1230.8</v>
      </c>
      <c r="GE21" s="56">
        <v>1237</v>
      </c>
      <c r="GF21" s="56">
        <v>1248.0999999999999</v>
      </c>
      <c r="GG21" s="56">
        <v>1261.5</v>
      </c>
      <c r="GH21" s="56">
        <v>1282.5999999999999</v>
      </c>
      <c r="GI21" s="56">
        <v>1294.9000000000001</v>
      </c>
      <c r="GJ21" s="56">
        <v>1310.0999999999999</v>
      </c>
      <c r="GK21" s="56">
        <v>1329.1</v>
      </c>
      <c r="GL21" s="56">
        <v>1349.1</v>
      </c>
      <c r="GM21" s="56">
        <v>1359</v>
      </c>
      <c r="GN21" s="56">
        <v>1375.7</v>
      </c>
      <c r="GO21" s="56">
        <v>1384.3</v>
      </c>
      <c r="GP21" s="56">
        <v>1416.8</v>
      </c>
      <c r="GQ21" s="56">
        <v>1424.1</v>
      </c>
      <c r="GR21" s="56">
        <v>1430.6</v>
      </c>
      <c r="GS21" s="56">
        <v>1448.4</v>
      </c>
      <c r="GT21" s="56">
        <v>1473.5</v>
      </c>
      <c r="GU21" s="56">
        <v>1402.7</v>
      </c>
      <c r="GV21" s="56">
        <v>1452.4</v>
      </c>
      <c r="GW21" s="56">
        <v>1489.7</v>
      </c>
      <c r="GX21" s="56">
        <v>1505.9</v>
      </c>
      <c r="GY21" s="56">
        <v>1541.8</v>
      </c>
      <c r="GZ21" s="56">
        <v>1579.4</v>
      </c>
      <c r="HA21" s="56">
        <v>1626.3</v>
      </c>
      <c r="HB21" s="56">
        <v>1668.8</v>
      </c>
      <c r="HC21">
        <v>1690.4</v>
      </c>
      <c r="HD21">
        <v>1731.9</v>
      </c>
      <c r="HE21">
        <v>1738.6</v>
      </c>
      <c r="HF21">
        <v>1779.9</v>
      </c>
      <c r="HG21">
        <v>1800.1</v>
      </c>
      <c r="HH21">
        <v>1823.3</v>
      </c>
      <c r="HI21">
        <v>1831.7</v>
      </c>
      <c r="HJ21">
        <v>1869.6</v>
      </c>
    </row>
    <row r="22" spans="1:218" x14ac:dyDescent="0.35">
      <c r="A22" s="56" t="s">
        <v>2217</v>
      </c>
      <c r="B22" s="56">
        <v>19.443000000000001</v>
      </c>
      <c r="C22" s="56">
        <v>19.658999999999999</v>
      </c>
      <c r="D22" s="56">
        <v>19.850000000000001</v>
      </c>
      <c r="E22" s="56">
        <v>20.106999999999999</v>
      </c>
      <c r="F22" s="56">
        <v>20.297000000000001</v>
      </c>
      <c r="G22" s="56">
        <v>20.527999999999999</v>
      </c>
      <c r="H22" s="56">
        <v>20.728999999999999</v>
      </c>
      <c r="I22" s="56">
        <v>20.856999999999999</v>
      </c>
      <c r="J22" s="56">
        <v>21.076000000000001</v>
      </c>
      <c r="K22" s="56">
        <v>21.198</v>
      </c>
      <c r="L22" s="56">
        <v>21.384</v>
      </c>
      <c r="M22" s="56">
        <v>21.559000000000001</v>
      </c>
      <c r="N22" s="56">
        <v>21.821000000000002</v>
      </c>
      <c r="O22" s="56">
        <v>22.241</v>
      </c>
      <c r="P22" s="56">
        <v>22.646999999999998</v>
      </c>
      <c r="Q22" s="56">
        <v>23.111999999999998</v>
      </c>
      <c r="R22" s="56">
        <v>23.8</v>
      </c>
      <c r="S22" s="56">
        <v>24.474</v>
      </c>
      <c r="T22" s="56">
        <v>25.134</v>
      </c>
      <c r="U22" s="56">
        <v>25.77</v>
      </c>
      <c r="V22" s="56">
        <v>26.251000000000001</v>
      </c>
      <c r="W22" s="56">
        <v>26.571000000000002</v>
      </c>
      <c r="X22" s="56">
        <v>27.067</v>
      </c>
      <c r="Y22" s="56">
        <v>27.521000000000001</v>
      </c>
      <c r="Z22" s="56">
        <v>27.826000000000001</v>
      </c>
      <c r="AA22" s="56">
        <v>28.06</v>
      </c>
      <c r="AB22" s="56">
        <v>28.488</v>
      </c>
      <c r="AC22" s="56">
        <v>28.937999999999999</v>
      </c>
      <c r="AD22" s="56">
        <v>29.46</v>
      </c>
      <c r="AE22" s="56">
        <v>29.963000000000001</v>
      </c>
      <c r="AF22" s="56">
        <v>30.414000000000001</v>
      </c>
      <c r="AG22" s="56">
        <v>30.846</v>
      </c>
      <c r="AH22" s="56">
        <v>31.35</v>
      </c>
      <c r="AI22" s="56">
        <v>31.994</v>
      </c>
      <c r="AJ22" s="56">
        <v>32.555999999999997</v>
      </c>
      <c r="AK22" s="56">
        <v>33.171999999999997</v>
      </c>
      <c r="AL22" s="56">
        <v>33.798000000000002</v>
      </c>
      <c r="AM22" s="56">
        <v>34.722999999999999</v>
      </c>
      <c r="AN22" s="56">
        <v>35.585000000000001</v>
      </c>
      <c r="AO22" s="56">
        <v>36.448</v>
      </c>
      <c r="AP22" s="56">
        <v>37.542000000000002</v>
      </c>
      <c r="AQ22" s="56">
        <v>38.462000000000003</v>
      </c>
      <c r="AR22" s="56">
        <v>39.362000000000002</v>
      </c>
      <c r="AS22" s="56">
        <v>40.337000000000003</v>
      </c>
      <c r="AT22" s="56">
        <v>41.384999999999998</v>
      </c>
      <c r="AU22" s="56">
        <v>42.079000000000001</v>
      </c>
      <c r="AV22" s="56">
        <v>42.771999999999998</v>
      </c>
      <c r="AW22" s="56">
        <v>43.426000000000002</v>
      </c>
      <c r="AX22" s="56">
        <v>43.975000000000001</v>
      </c>
      <c r="AY22" s="56">
        <v>44.396999999999998</v>
      </c>
      <c r="AZ22" s="56">
        <v>45.095999999999997</v>
      </c>
      <c r="BA22" s="56">
        <v>45.591999999999999</v>
      </c>
      <c r="BB22" s="56">
        <v>45.966999999999999</v>
      </c>
      <c r="BC22" s="56">
        <v>46.387</v>
      </c>
      <c r="BD22" s="56">
        <v>46.997</v>
      </c>
      <c r="BE22" s="56">
        <v>47.308999999999997</v>
      </c>
      <c r="BF22" s="56">
        <v>47.823</v>
      </c>
      <c r="BG22" s="56">
        <v>48.287999999999997</v>
      </c>
      <c r="BH22" s="56">
        <v>48.661000000000001</v>
      </c>
      <c r="BI22" s="56">
        <v>48.962000000000003</v>
      </c>
      <c r="BJ22" s="56">
        <v>49.537999999999997</v>
      </c>
      <c r="BK22" s="56">
        <v>49.94</v>
      </c>
      <c r="BL22" s="56">
        <v>50.332000000000001</v>
      </c>
      <c r="BM22" s="56">
        <v>50.683</v>
      </c>
      <c r="BN22" s="56">
        <v>51.043999999999997</v>
      </c>
      <c r="BO22" s="56">
        <v>50.991</v>
      </c>
      <c r="BP22" s="56">
        <v>51.26</v>
      </c>
      <c r="BQ22" s="56">
        <v>51.57</v>
      </c>
      <c r="BR22" s="56">
        <v>52.057000000000002</v>
      </c>
      <c r="BS22" s="56">
        <v>52.558999999999997</v>
      </c>
      <c r="BT22" s="56">
        <v>53.055999999999997</v>
      </c>
      <c r="BU22" s="56">
        <v>53.514000000000003</v>
      </c>
      <c r="BV22" s="56">
        <v>53.936</v>
      </c>
      <c r="BW22" s="56">
        <v>54.531999999999996</v>
      </c>
      <c r="BX22" s="56">
        <v>55.204000000000001</v>
      </c>
      <c r="BY22" s="56">
        <v>55.762</v>
      </c>
      <c r="BZ22" s="56">
        <v>56.404000000000003</v>
      </c>
      <c r="CA22" s="56">
        <v>57.164999999999999</v>
      </c>
      <c r="CB22" s="56">
        <v>57.503</v>
      </c>
      <c r="CC22" s="56">
        <v>57.957000000000001</v>
      </c>
      <c r="CD22" s="56">
        <v>58.798999999999999</v>
      </c>
      <c r="CE22" s="56">
        <v>59.332999999999998</v>
      </c>
      <c r="CF22" s="56">
        <v>60.087000000000003</v>
      </c>
      <c r="CG22" s="56">
        <v>60.881999999999998</v>
      </c>
      <c r="CH22" s="56">
        <v>61.201000000000001</v>
      </c>
      <c r="CI22" s="56">
        <v>61.533999999999999</v>
      </c>
      <c r="CJ22" s="56">
        <v>61.951000000000001</v>
      </c>
      <c r="CK22" s="56">
        <v>62.4</v>
      </c>
      <c r="CL22" s="56">
        <v>62.79</v>
      </c>
      <c r="CM22" s="56">
        <v>63.207000000000001</v>
      </c>
      <c r="CN22" s="56">
        <v>63.61</v>
      </c>
      <c r="CO22" s="56">
        <v>64.054000000000002</v>
      </c>
      <c r="CP22" s="56">
        <v>64.436000000000007</v>
      </c>
      <c r="CQ22" s="56">
        <v>64.869</v>
      </c>
      <c r="CR22" s="56">
        <v>65.150999999999996</v>
      </c>
      <c r="CS22" s="56">
        <v>65.527000000000001</v>
      </c>
      <c r="CT22" s="56">
        <v>65.760999999999996</v>
      </c>
      <c r="CU22" s="56">
        <v>66.128</v>
      </c>
      <c r="CV22" s="56">
        <v>66.602999999999994</v>
      </c>
      <c r="CW22" s="56">
        <v>66.915999999999997</v>
      </c>
      <c r="CX22" s="56">
        <v>67.244</v>
      </c>
      <c r="CY22" s="56">
        <v>67.635000000000005</v>
      </c>
      <c r="CZ22" s="56">
        <v>67.912000000000006</v>
      </c>
      <c r="DA22" s="56">
        <v>68.209999999999994</v>
      </c>
      <c r="DB22" s="56">
        <v>68.588999999999999</v>
      </c>
      <c r="DC22" s="56">
        <v>69.048000000000002</v>
      </c>
      <c r="DD22" s="56">
        <v>69.341999999999999</v>
      </c>
      <c r="DE22" s="56">
        <v>69.814999999999998</v>
      </c>
      <c r="DF22" s="56">
        <v>70.123999999999995</v>
      </c>
      <c r="DG22" s="56">
        <v>70.3</v>
      </c>
      <c r="DH22" s="56">
        <v>70.484999999999999</v>
      </c>
      <c r="DI22" s="56">
        <v>70.706999999999994</v>
      </c>
      <c r="DJ22" s="56">
        <v>70.712999999999994</v>
      </c>
      <c r="DK22" s="56">
        <v>70.84</v>
      </c>
      <c r="DL22" s="56">
        <v>71.058000000000007</v>
      </c>
      <c r="DM22" s="56">
        <v>71.245000000000005</v>
      </c>
      <c r="DN22" s="56">
        <v>71.384</v>
      </c>
      <c r="DO22" s="56">
        <v>71.789000000000001</v>
      </c>
      <c r="DP22" s="56">
        <v>72.183000000000007</v>
      </c>
      <c r="DQ22" s="56">
        <v>72.622</v>
      </c>
      <c r="DR22" s="56">
        <v>73.212000000000003</v>
      </c>
      <c r="DS22" s="56">
        <v>73.561999999999998</v>
      </c>
      <c r="DT22" s="56">
        <v>74.037000000000006</v>
      </c>
      <c r="DU22" s="56">
        <v>74.456999999999994</v>
      </c>
      <c r="DV22" s="56">
        <v>75.010999999999996</v>
      </c>
      <c r="DW22" s="56">
        <v>75.363</v>
      </c>
      <c r="DX22" s="56">
        <v>75.400999999999996</v>
      </c>
      <c r="DY22" s="56">
        <v>75.430999999999997</v>
      </c>
      <c r="DZ22" s="56">
        <v>75.581999999999994</v>
      </c>
      <c r="EA22" s="56">
        <v>76.141999999999996</v>
      </c>
      <c r="EB22" s="56">
        <v>76.534999999999997</v>
      </c>
      <c r="EC22" s="56">
        <v>76.891999999999996</v>
      </c>
      <c r="ED22" s="56">
        <v>77.48</v>
      </c>
      <c r="EE22" s="56">
        <v>77.557000000000002</v>
      </c>
      <c r="EF22" s="56">
        <v>78.067999999999998</v>
      </c>
      <c r="EG22" s="56">
        <v>78.450999999999993</v>
      </c>
      <c r="EH22" s="56">
        <v>79.055999999999997</v>
      </c>
      <c r="EI22" s="56">
        <v>79.587000000000003</v>
      </c>
      <c r="EJ22" s="56">
        <v>79.978999999999999</v>
      </c>
      <c r="EK22" s="56">
        <v>80.662000000000006</v>
      </c>
      <c r="EL22" s="56">
        <v>81.131</v>
      </c>
      <c r="EM22" s="56">
        <v>81.644000000000005</v>
      </c>
      <c r="EN22" s="56">
        <v>82.525999999999996</v>
      </c>
      <c r="EO22" s="56">
        <v>83.183999999999997</v>
      </c>
      <c r="EP22" s="56">
        <v>83.617000000000004</v>
      </c>
      <c r="EQ22" s="56">
        <v>84.352000000000004</v>
      </c>
      <c r="ER22" s="56">
        <v>84.959000000000003</v>
      </c>
      <c r="ES22" s="56">
        <v>84.817999999999998</v>
      </c>
      <c r="ET22" s="56">
        <v>85.593000000000004</v>
      </c>
      <c r="EU22" s="56">
        <v>86.319000000000003</v>
      </c>
      <c r="EV22" s="56">
        <v>86.808000000000007</v>
      </c>
      <c r="EW22" s="56">
        <v>87.691000000000003</v>
      </c>
      <c r="EX22" s="56">
        <v>88.406999999999996</v>
      </c>
      <c r="EY22" s="56">
        <v>89.269000000000005</v>
      </c>
      <c r="EZ22" s="56">
        <v>90.221999999999994</v>
      </c>
      <c r="FA22" s="56">
        <v>88.781000000000006</v>
      </c>
      <c r="FB22" s="56">
        <v>88.180999999999997</v>
      </c>
      <c r="FC22" s="56">
        <v>88.531000000000006</v>
      </c>
      <c r="FD22" s="56">
        <v>89.141000000000005</v>
      </c>
      <c r="FE22" s="56">
        <v>89.828000000000003</v>
      </c>
      <c r="FF22" s="56">
        <v>90.174999999999997</v>
      </c>
      <c r="FG22" s="56">
        <v>90.313999999999993</v>
      </c>
      <c r="FH22" s="56">
        <v>90.488</v>
      </c>
      <c r="FI22" s="56">
        <v>91.067999999999998</v>
      </c>
      <c r="FJ22" s="56">
        <v>91.832999999999998</v>
      </c>
      <c r="FK22" s="56">
        <v>92.736999999999995</v>
      </c>
      <c r="FL22" s="56">
        <v>93.165999999999997</v>
      </c>
      <c r="FM22" s="56">
        <v>93.474000000000004</v>
      </c>
      <c r="FN22" s="56">
        <v>94.093000000000004</v>
      </c>
      <c r="FO22" s="56">
        <v>94.32</v>
      </c>
      <c r="FP22" s="56">
        <v>94.593999999999994</v>
      </c>
      <c r="FQ22" s="56">
        <v>95.123999999999995</v>
      </c>
      <c r="FR22" s="56">
        <v>95.457999999999998</v>
      </c>
      <c r="FS22" s="56">
        <v>95.506</v>
      </c>
      <c r="FT22" s="56">
        <v>95.899000000000001</v>
      </c>
      <c r="FU22" s="56">
        <v>96.251999999999995</v>
      </c>
      <c r="FV22" s="56">
        <v>96.694000000000003</v>
      </c>
      <c r="FW22" s="56">
        <v>97.126000000000005</v>
      </c>
      <c r="FX22" s="56">
        <v>97.391999999999996</v>
      </c>
      <c r="FY22" s="56">
        <v>97.263000000000005</v>
      </c>
      <c r="FZ22" s="56">
        <v>96.826999999999998</v>
      </c>
      <c r="GA22" s="56">
        <v>97.311000000000007</v>
      </c>
      <c r="GB22" s="56">
        <v>97.563000000000002</v>
      </c>
      <c r="GC22" s="56">
        <v>97.488</v>
      </c>
      <c r="GD22" s="56">
        <v>97.534999999999997</v>
      </c>
      <c r="GE22" s="56">
        <v>98.153999999999996</v>
      </c>
      <c r="GF22" s="56">
        <v>98.492000000000004</v>
      </c>
      <c r="GG22" s="56">
        <v>98.942999999999998</v>
      </c>
      <c r="GH22" s="56">
        <v>99.52</v>
      </c>
      <c r="GI22" s="56">
        <v>99.72</v>
      </c>
      <c r="GJ22" s="56">
        <v>100.07299999999999</v>
      </c>
      <c r="GK22" s="56">
        <v>100.672</v>
      </c>
      <c r="GL22" s="56">
        <v>101.377</v>
      </c>
      <c r="GM22" s="56">
        <v>101.91</v>
      </c>
      <c r="GN22" s="56">
        <v>102.252</v>
      </c>
      <c r="GO22" s="56">
        <v>102.64</v>
      </c>
      <c r="GP22" s="56">
        <v>102.875</v>
      </c>
      <c r="GQ22" s="56">
        <v>103.419</v>
      </c>
      <c r="GR22" s="56">
        <v>103.67</v>
      </c>
      <c r="GS22" s="56">
        <v>104.07299999999999</v>
      </c>
      <c r="GT22" s="56">
        <v>104.40600000000001</v>
      </c>
      <c r="GU22" s="56">
        <v>103.949</v>
      </c>
      <c r="GV22" s="56">
        <v>104.801</v>
      </c>
      <c r="GW22" s="56">
        <v>105.319</v>
      </c>
      <c r="GX22" s="56">
        <v>106.547</v>
      </c>
      <c r="GY22" s="56">
        <v>108.17400000000001</v>
      </c>
      <c r="GZ22" s="56">
        <v>109.673</v>
      </c>
      <c r="HA22" s="56">
        <v>111.48699999999999</v>
      </c>
      <c r="HB22" s="56">
        <v>113.574</v>
      </c>
      <c r="HC22">
        <v>115.568</v>
      </c>
      <c r="HD22">
        <v>116.902</v>
      </c>
      <c r="HE22">
        <v>118.098</v>
      </c>
      <c r="HF22">
        <v>119.309</v>
      </c>
      <c r="HG22">
        <v>120.044</v>
      </c>
      <c r="HH22">
        <v>120.81399999999999</v>
      </c>
      <c r="HI22">
        <v>121.35</v>
      </c>
      <c r="HJ22">
        <v>122.371</v>
      </c>
    </row>
    <row r="23" spans="1:218" x14ac:dyDescent="0.35">
      <c r="A23" s="56" t="s">
        <v>2218</v>
      </c>
      <c r="B23" s="56">
        <v>133.6</v>
      </c>
      <c r="C23" s="56">
        <v>131.80000000000001</v>
      </c>
      <c r="D23" s="56">
        <v>132.4</v>
      </c>
      <c r="E23" s="56">
        <v>133.5</v>
      </c>
      <c r="F23" s="56">
        <v>133.30000000000001</v>
      </c>
      <c r="G23" s="56">
        <v>134.30000000000001</v>
      </c>
      <c r="H23" s="56">
        <v>135.6</v>
      </c>
      <c r="I23" s="56">
        <v>134.69999999999999</v>
      </c>
      <c r="J23" s="56">
        <v>141.4</v>
      </c>
      <c r="K23" s="56">
        <v>144.19999999999999</v>
      </c>
      <c r="L23" s="56">
        <v>138.80000000000001</v>
      </c>
      <c r="M23" s="56">
        <v>142.19999999999999</v>
      </c>
      <c r="N23" s="56">
        <v>146.4</v>
      </c>
      <c r="O23" s="56">
        <v>146.5</v>
      </c>
      <c r="P23" s="56">
        <v>144.19999999999999</v>
      </c>
      <c r="Q23" s="56">
        <v>147.6</v>
      </c>
      <c r="R23" s="56">
        <v>152.69999999999999</v>
      </c>
      <c r="S23" s="56">
        <v>154.9</v>
      </c>
      <c r="T23" s="56">
        <v>160.4</v>
      </c>
      <c r="U23" s="56">
        <v>167.4</v>
      </c>
      <c r="V23" s="56">
        <v>168.6</v>
      </c>
      <c r="W23" s="56">
        <v>169.4</v>
      </c>
      <c r="X23" s="56">
        <v>176.1</v>
      </c>
      <c r="Y23" s="56">
        <v>180.8</v>
      </c>
      <c r="Z23" s="56">
        <v>181.6</v>
      </c>
      <c r="AA23" s="56">
        <v>182.5</v>
      </c>
      <c r="AB23" s="56">
        <v>184.9</v>
      </c>
      <c r="AC23" s="56">
        <v>190.2</v>
      </c>
      <c r="AD23" s="56">
        <v>194.2</v>
      </c>
      <c r="AE23" s="56">
        <v>198.9</v>
      </c>
      <c r="AF23" s="56">
        <v>201.9</v>
      </c>
      <c r="AG23" s="56">
        <v>206.3</v>
      </c>
      <c r="AH23" s="56">
        <v>208.8</v>
      </c>
      <c r="AI23" s="56">
        <v>217</v>
      </c>
      <c r="AJ23" s="56">
        <v>222.1</v>
      </c>
      <c r="AK23" s="56">
        <v>227.8</v>
      </c>
      <c r="AL23" s="56">
        <v>231.7</v>
      </c>
      <c r="AM23" s="56">
        <v>237.6</v>
      </c>
      <c r="AN23" s="56">
        <v>243.7</v>
      </c>
      <c r="AO23" s="56">
        <v>249.3</v>
      </c>
      <c r="AP23" s="56">
        <v>261.10000000000002</v>
      </c>
      <c r="AQ23" s="56">
        <v>276.5</v>
      </c>
      <c r="AR23" s="56">
        <v>276.10000000000002</v>
      </c>
      <c r="AS23" s="56">
        <v>285.8</v>
      </c>
      <c r="AT23" s="56">
        <v>297.2</v>
      </c>
      <c r="AU23" s="56">
        <v>311.89999999999998</v>
      </c>
      <c r="AV23" s="56">
        <v>317.39999999999998</v>
      </c>
      <c r="AW23" s="56">
        <v>329.3</v>
      </c>
      <c r="AX23" s="56">
        <v>334.9</v>
      </c>
      <c r="AY23" s="56">
        <v>342.9</v>
      </c>
      <c r="AZ23" s="56">
        <v>351.5</v>
      </c>
      <c r="BA23" s="56">
        <v>364.1</v>
      </c>
      <c r="BB23" s="56">
        <v>370.5</v>
      </c>
      <c r="BC23" s="56">
        <v>380.3</v>
      </c>
      <c r="BD23" s="56">
        <v>394.4</v>
      </c>
      <c r="BE23" s="56">
        <v>384.2</v>
      </c>
      <c r="BF23" s="56">
        <v>392.4</v>
      </c>
      <c r="BG23" s="56">
        <v>408.3</v>
      </c>
      <c r="BH23" s="56">
        <v>414</v>
      </c>
      <c r="BI23" s="56">
        <v>432.5</v>
      </c>
      <c r="BJ23" s="56">
        <v>434.8</v>
      </c>
      <c r="BK23" s="56">
        <v>447.3</v>
      </c>
      <c r="BL23" s="56">
        <v>463.1</v>
      </c>
      <c r="BM23" s="56">
        <v>466.4</v>
      </c>
      <c r="BN23" s="56">
        <v>464</v>
      </c>
      <c r="BO23" s="56">
        <v>477.8</v>
      </c>
      <c r="BP23" s="56">
        <v>495.1</v>
      </c>
      <c r="BQ23" s="56">
        <v>489.8</v>
      </c>
      <c r="BR23" s="56">
        <v>492.1</v>
      </c>
      <c r="BS23" s="56">
        <v>501.2</v>
      </c>
      <c r="BT23" s="56">
        <v>504.1</v>
      </c>
      <c r="BU23" s="56">
        <v>513.70000000000005</v>
      </c>
      <c r="BV23" s="56">
        <v>505.8</v>
      </c>
      <c r="BW23" s="56">
        <v>506.9</v>
      </c>
      <c r="BX23" s="56">
        <v>507.4</v>
      </c>
      <c r="BY23" s="56">
        <v>525.6</v>
      </c>
      <c r="BZ23" s="56">
        <v>519.9</v>
      </c>
      <c r="CA23" s="56">
        <v>534.29999999999995</v>
      </c>
      <c r="CB23" s="56">
        <v>541.4</v>
      </c>
      <c r="CC23" s="56">
        <v>540.79999999999995</v>
      </c>
      <c r="CD23" s="56">
        <v>553.70000000000005</v>
      </c>
      <c r="CE23" s="56">
        <v>563.9</v>
      </c>
      <c r="CF23" s="56">
        <v>562.20000000000005</v>
      </c>
      <c r="CG23" s="56">
        <v>569.70000000000005</v>
      </c>
      <c r="CH23" s="56">
        <v>581.4</v>
      </c>
      <c r="CI23" s="56">
        <v>586.6</v>
      </c>
      <c r="CJ23" s="56">
        <v>586.29999999999995</v>
      </c>
      <c r="CK23" s="56">
        <v>577.4</v>
      </c>
      <c r="CL23" s="56">
        <v>580.29999999999995</v>
      </c>
      <c r="CM23" s="56">
        <v>580.9</v>
      </c>
      <c r="CN23" s="56">
        <v>594.20000000000005</v>
      </c>
      <c r="CO23" s="56">
        <v>598.4</v>
      </c>
      <c r="CP23" s="56">
        <v>580.29999999999995</v>
      </c>
      <c r="CQ23" s="56">
        <v>576.70000000000005</v>
      </c>
      <c r="CR23" s="56">
        <v>578.70000000000005</v>
      </c>
      <c r="CS23" s="56">
        <v>584.9</v>
      </c>
      <c r="CT23" s="56">
        <v>567</v>
      </c>
      <c r="CU23" s="56">
        <v>569.4</v>
      </c>
      <c r="CV23" s="56">
        <v>586.5</v>
      </c>
      <c r="CW23" s="56">
        <v>575.79999999999995</v>
      </c>
      <c r="CX23" s="56">
        <v>579.1</v>
      </c>
      <c r="CY23" s="56">
        <v>581</v>
      </c>
      <c r="CZ23" s="56">
        <v>579.29999999999995</v>
      </c>
      <c r="DA23" s="56">
        <v>567.29999999999995</v>
      </c>
      <c r="DB23" s="56">
        <v>579.79999999999995</v>
      </c>
      <c r="DC23" s="56">
        <v>582.1</v>
      </c>
      <c r="DD23" s="56">
        <v>577.79999999999995</v>
      </c>
      <c r="DE23" s="56">
        <v>576.9</v>
      </c>
      <c r="DF23" s="56">
        <v>570.70000000000005</v>
      </c>
      <c r="DG23" s="56">
        <v>587.20000000000005</v>
      </c>
      <c r="DH23" s="56">
        <v>586</v>
      </c>
      <c r="DI23" s="56">
        <v>589.20000000000005</v>
      </c>
      <c r="DJ23" s="56">
        <v>572.20000000000005</v>
      </c>
      <c r="DK23" s="56">
        <v>587.1</v>
      </c>
      <c r="DL23" s="56">
        <v>588.6</v>
      </c>
      <c r="DM23" s="56">
        <v>594.20000000000005</v>
      </c>
      <c r="DN23" s="56">
        <v>595.1</v>
      </c>
      <c r="DO23" s="56">
        <v>599.20000000000005</v>
      </c>
      <c r="DP23" s="56">
        <v>614.20000000000005</v>
      </c>
      <c r="DQ23" s="56">
        <v>634.29999999999995</v>
      </c>
      <c r="DR23" s="56">
        <v>619.4</v>
      </c>
      <c r="DS23" s="56">
        <v>641.20000000000005</v>
      </c>
      <c r="DT23" s="56">
        <v>633.6</v>
      </c>
      <c r="DU23" s="56">
        <v>638.20000000000005</v>
      </c>
      <c r="DV23" s="56">
        <v>653.29999999999995</v>
      </c>
      <c r="DW23" s="56">
        <v>666.2</v>
      </c>
      <c r="DX23" s="56">
        <v>674.4</v>
      </c>
      <c r="DY23" s="56">
        <v>686.9</v>
      </c>
      <c r="DZ23" s="56">
        <v>714</v>
      </c>
      <c r="EA23" s="56">
        <v>734.8</v>
      </c>
      <c r="EB23" s="56">
        <v>748.4</v>
      </c>
      <c r="EC23" s="56">
        <v>775.2</v>
      </c>
      <c r="ED23" s="56">
        <v>792.7</v>
      </c>
      <c r="EE23" s="56">
        <v>826</v>
      </c>
      <c r="EF23" s="56">
        <v>833.3</v>
      </c>
      <c r="EG23" s="56">
        <v>855.1</v>
      </c>
      <c r="EH23" s="56">
        <v>871.8</v>
      </c>
      <c r="EI23" s="56">
        <v>884.6</v>
      </c>
      <c r="EJ23" s="56">
        <v>902.5</v>
      </c>
      <c r="EK23" s="56">
        <v>909.6</v>
      </c>
      <c r="EL23" s="56">
        <v>931.8</v>
      </c>
      <c r="EM23" s="56">
        <v>939.3</v>
      </c>
      <c r="EN23" s="56">
        <v>956.4</v>
      </c>
      <c r="EO23" s="56">
        <v>963.7</v>
      </c>
      <c r="EP23" s="56">
        <v>997.1</v>
      </c>
      <c r="EQ23" s="56">
        <v>997.2</v>
      </c>
      <c r="ER23" s="56">
        <v>995.4</v>
      </c>
      <c r="ES23" s="56">
        <v>1015.1</v>
      </c>
      <c r="ET23" s="56">
        <v>1017.5</v>
      </c>
      <c r="EU23" s="56">
        <v>1042.5</v>
      </c>
      <c r="EV23" s="56">
        <v>1058.8</v>
      </c>
      <c r="EW23" s="56">
        <v>1085.3</v>
      </c>
      <c r="EX23" s="56">
        <v>1111.2</v>
      </c>
      <c r="EY23" s="56">
        <v>1146.5999999999999</v>
      </c>
      <c r="EZ23" s="56">
        <v>1170.2</v>
      </c>
      <c r="FA23" s="56">
        <v>1179.8</v>
      </c>
      <c r="FB23" s="56">
        <v>1185.2</v>
      </c>
      <c r="FC23" s="56">
        <v>1213.5</v>
      </c>
      <c r="FD23" s="56">
        <v>1228.3</v>
      </c>
      <c r="FE23" s="56">
        <v>1256.2</v>
      </c>
      <c r="FF23" s="56">
        <v>1278.4000000000001</v>
      </c>
      <c r="FG23" s="56">
        <v>1305</v>
      </c>
      <c r="FH23" s="56">
        <v>1304.3</v>
      </c>
      <c r="FI23" s="56">
        <v>1312.9</v>
      </c>
      <c r="FJ23" s="56">
        <v>1306</v>
      </c>
      <c r="FK23" s="56">
        <v>1312.7</v>
      </c>
      <c r="FL23" s="56">
        <v>1288.7</v>
      </c>
      <c r="FM23" s="56">
        <v>1291.7</v>
      </c>
      <c r="FN23" s="56">
        <v>1296.0999999999999</v>
      </c>
      <c r="FO23" s="56">
        <v>1288.5999999999999</v>
      </c>
      <c r="FP23" s="56">
        <v>1293.8</v>
      </c>
      <c r="FQ23" s="56">
        <v>1269.5999999999999</v>
      </c>
      <c r="FR23" s="56">
        <v>1240.0999999999999</v>
      </c>
      <c r="FS23" s="56">
        <v>1232.5999999999999</v>
      </c>
      <c r="FT23" s="56">
        <v>1219.5999999999999</v>
      </c>
      <c r="FU23" s="56">
        <v>1217.3</v>
      </c>
      <c r="FV23" s="56">
        <v>1212.9000000000001</v>
      </c>
      <c r="FW23" s="56">
        <v>1211</v>
      </c>
      <c r="FX23" s="56">
        <v>1230.5999999999999</v>
      </c>
      <c r="FY23" s="56">
        <v>1213.7</v>
      </c>
      <c r="FZ23" s="56">
        <v>1216.2</v>
      </c>
      <c r="GA23" s="56">
        <v>1222.4000000000001</v>
      </c>
      <c r="GB23" s="56">
        <v>1222.4000000000001</v>
      </c>
      <c r="GC23" s="56">
        <v>1230.0999999999999</v>
      </c>
      <c r="GD23" s="56">
        <v>1229.5999999999999</v>
      </c>
      <c r="GE23" s="56">
        <v>1230</v>
      </c>
      <c r="GF23" s="56">
        <v>1241.3</v>
      </c>
      <c r="GG23" s="56">
        <v>1248.5</v>
      </c>
      <c r="GH23" s="56">
        <v>1249.0999999999999</v>
      </c>
      <c r="GI23" s="56">
        <v>1259.9000000000001</v>
      </c>
      <c r="GJ23" s="56">
        <v>1264.5999999999999</v>
      </c>
      <c r="GK23" s="56">
        <v>1290.7</v>
      </c>
      <c r="GL23" s="56">
        <v>1316.2</v>
      </c>
      <c r="GM23" s="56">
        <v>1334.7</v>
      </c>
      <c r="GN23" s="56">
        <v>1358.9</v>
      </c>
      <c r="GO23" s="56">
        <v>1375.4</v>
      </c>
      <c r="GP23" s="56">
        <v>1401.1</v>
      </c>
      <c r="GQ23" s="56">
        <v>1412.1</v>
      </c>
      <c r="GR23" s="56">
        <v>1433.6</v>
      </c>
      <c r="GS23" s="56">
        <v>1442</v>
      </c>
      <c r="GT23" s="56">
        <v>1464.7</v>
      </c>
      <c r="GU23" s="56">
        <v>1569.8</v>
      </c>
      <c r="GV23" s="56">
        <v>1527.7</v>
      </c>
      <c r="GW23" s="56">
        <v>1531.4</v>
      </c>
      <c r="GX23" s="56">
        <v>1609.9</v>
      </c>
      <c r="GY23" s="56">
        <v>1588.5</v>
      </c>
      <c r="GZ23" s="56">
        <v>1576.4</v>
      </c>
      <c r="HA23" s="56">
        <v>1602.5</v>
      </c>
      <c r="HB23" s="56">
        <v>1601.7</v>
      </c>
      <c r="HC23">
        <v>1612.3</v>
      </c>
      <c r="HD23">
        <v>1636.3</v>
      </c>
      <c r="HE23">
        <v>1691.8</v>
      </c>
      <c r="HF23">
        <v>1730.6</v>
      </c>
      <c r="HG23">
        <v>1744.3</v>
      </c>
      <c r="HH23">
        <v>1791.9</v>
      </c>
      <c r="HI23">
        <v>1820</v>
      </c>
      <c r="HJ23">
        <v>1837.4</v>
      </c>
    </row>
    <row r="24" spans="1:218" x14ac:dyDescent="0.35">
      <c r="A24" s="56" t="s">
        <v>2219</v>
      </c>
      <c r="B24" s="56">
        <v>114.3</v>
      </c>
      <c r="C24" s="56">
        <v>117.4</v>
      </c>
      <c r="D24" s="56">
        <v>122.2</v>
      </c>
      <c r="E24" s="56">
        <v>125.2</v>
      </c>
      <c r="F24" s="56">
        <v>128.6</v>
      </c>
      <c r="G24" s="56">
        <v>131.9</v>
      </c>
      <c r="H24" s="56">
        <v>134.19999999999999</v>
      </c>
      <c r="I24" s="56">
        <v>137.4</v>
      </c>
      <c r="J24" s="56">
        <v>140.80000000000001</v>
      </c>
      <c r="K24" s="56">
        <v>142.19999999999999</v>
      </c>
      <c r="L24" s="56">
        <v>145.6</v>
      </c>
      <c r="M24" s="56">
        <v>149.6</v>
      </c>
      <c r="N24" s="56">
        <v>153.19999999999999</v>
      </c>
      <c r="O24" s="56">
        <v>156.19999999999999</v>
      </c>
      <c r="P24" s="56">
        <v>159.9</v>
      </c>
      <c r="Q24" s="56">
        <v>165</v>
      </c>
      <c r="R24" s="56">
        <v>171.9</v>
      </c>
      <c r="S24" s="56">
        <v>180.1</v>
      </c>
      <c r="T24" s="56">
        <v>186.3</v>
      </c>
      <c r="U24" s="56">
        <v>191.9</v>
      </c>
      <c r="V24" s="56">
        <v>201.5</v>
      </c>
      <c r="W24" s="56">
        <v>204</v>
      </c>
      <c r="X24" s="56">
        <v>209.3</v>
      </c>
      <c r="Y24" s="56">
        <v>214.8</v>
      </c>
      <c r="Z24" s="56">
        <v>219.7</v>
      </c>
      <c r="AA24" s="56">
        <v>218.5</v>
      </c>
      <c r="AB24" s="56">
        <v>218.6</v>
      </c>
      <c r="AC24" s="56">
        <v>220.6</v>
      </c>
      <c r="AD24" s="56">
        <v>227</v>
      </c>
      <c r="AE24" s="56">
        <v>232.4</v>
      </c>
      <c r="AF24" s="56">
        <v>236.1</v>
      </c>
      <c r="AG24" s="56">
        <v>240.5</v>
      </c>
      <c r="AH24" s="56">
        <v>243.8</v>
      </c>
      <c r="AI24" s="56">
        <v>255.3</v>
      </c>
      <c r="AJ24" s="56">
        <v>262.2</v>
      </c>
      <c r="AK24" s="56">
        <v>268.39999999999998</v>
      </c>
      <c r="AL24" s="56">
        <v>270.10000000000002</v>
      </c>
      <c r="AM24" s="56">
        <v>278.89999999999998</v>
      </c>
      <c r="AN24" s="56">
        <v>289.39999999999998</v>
      </c>
      <c r="AO24" s="56">
        <v>298.39999999999998</v>
      </c>
      <c r="AP24" s="56">
        <v>307.7</v>
      </c>
      <c r="AQ24" s="56">
        <v>312</v>
      </c>
      <c r="AR24" s="56">
        <v>316.10000000000002</v>
      </c>
      <c r="AS24" s="56">
        <v>323.10000000000002</v>
      </c>
      <c r="AT24" s="56">
        <v>336.1</v>
      </c>
      <c r="AU24" s="56">
        <v>336.8</v>
      </c>
      <c r="AV24" s="56">
        <v>340.3</v>
      </c>
      <c r="AW24" s="56">
        <v>348.4</v>
      </c>
      <c r="AX24" s="56">
        <v>353.2</v>
      </c>
      <c r="AY24" s="56">
        <v>360.2</v>
      </c>
      <c r="AZ24" s="56">
        <v>365.8</v>
      </c>
      <c r="BA24" s="56">
        <v>373.3</v>
      </c>
      <c r="BB24" s="56">
        <v>377.4</v>
      </c>
      <c r="BC24" s="56">
        <v>380.7</v>
      </c>
      <c r="BD24" s="56">
        <v>387.8</v>
      </c>
      <c r="BE24" s="56">
        <v>390.9</v>
      </c>
      <c r="BF24" s="56">
        <v>401.6</v>
      </c>
      <c r="BG24" s="56">
        <v>410.8</v>
      </c>
      <c r="BH24" s="56">
        <v>421.7</v>
      </c>
      <c r="BI24" s="56">
        <v>430.2</v>
      </c>
      <c r="BJ24" s="56">
        <v>440.8</v>
      </c>
      <c r="BK24" s="56">
        <v>453.2</v>
      </c>
      <c r="BL24" s="56">
        <v>464.3</v>
      </c>
      <c r="BM24" s="56">
        <v>472.1</v>
      </c>
      <c r="BN24" s="56">
        <v>482.8</v>
      </c>
      <c r="BO24" s="56">
        <v>489.7</v>
      </c>
      <c r="BP24" s="56">
        <v>498.5</v>
      </c>
      <c r="BQ24" s="56">
        <v>506.6</v>
      </c>
      <c r="BR24" s="56">
        <v>516.5</v>
      </c>
      <c r="BS24" s="56">
        <v>524</v>
      </c>
      <c r="BT24" s="56">
        <v>532.1</v>
      </c>
      <c r="BU24" s="56">
        <v>542.29999999999995</v>
      </c>
      <c r="BV24" s="56">
        <v>551.1</v>
      </c>
      <c r="BW24" s="56">
        <v>563.5</v>
      </c>
      <c r="BX24" s="56">
        <v>570.79999999999995</v>
      </c>
      <c r="BY24" s="56">
        <v>584.29999999999995</v>
      </c>
      <c r="BZ24" s="56">
        <v>596.70000000000005</v>
      </c>
      <c r="CA24" s="56">
        <v>611.5</v>
      </c>
      <c r="CB24" s="56">
        <v>623.20000000000005</v>
      </c>
      <c r="CC24" s="56">
        <v>639.70000000000005</v>
      </c>
      <c r="CD24" s="56">
        <v>658.8</v>
      </c>
      <c r="CE24" s="56">
        <v>666.8</v>
      </c>
      <c r="CF24" s="56">
        <v>680.3</v>
      </c>
      <c r="CG24" s="56">
        <v>698.8</v>
      </c>
      <c r="CH24" s="56">
        <v>702.8</v>
      </c>
      <c r="CI24" s="56">
        <v>709.9</v>
      </c>
      <c r="CJ24" s="56">
        <v>719.9</v>
      </c>
      <c r="CK24" s="56">
        <v>731.4</v>
      </c>
      <c r="CL24" s="56">
        <v>746.1</v>
      </c>
      <c r="CM24" s="56">
        <v>753.9</v>
      </c>
      <c r="CN24" s="56">
        <v>759.8</v>
      </c>
      <c r="CO24" s="56">
        <v>764.4</v>
      </c>
      <c r="CP24" s="56">
        <v>771.5</v>
      </c>
      <c r="CQ24" s="56">
        <v>782.3</v>
      </c>
      <c r="CR24" s="56">
        <v>788.7</v>
      </c>
      <c r="CS24" s="56">
        <v>796.5</v>
      </c>
      <c r="CT24" s="56">
        <v>806.3</v>
      </c>
      <c r="CU24" s="56">
        <v>820</v>
      </c>
      <c r="CV24" s="56">
        <v>836.9</v>
      </c>
      <c r="CW24" s="56">
        <v>847.1</v>
      </c>
      <c r="CX24" s="56">
        <v>858.5</v>
      </c>
      <c r="CY24" s="56">
        <v>871.9</v>
      </c>
      <c r="CZ24" s="56">
        <v>876.3</v>
      </c>
      <c r="DA24" s="56">
        <v>884.3</v>
      </c>
      <c r="DB24" s="56">
        <v>891.5</v>
      </c>
      <c r="DC24" s="56">
        <v>905.5</v>
      </c>
      <c r="DD24" s="56">
        <v>919</v>
      </c>
      <c r="DE24" s="56">
        <v>938.8</v>
      </c>
      <c r="DF24" s="56">
        <v>945.3</v>
      </c>
      <c r="DG24" s="56">
        <v>955.4</v>
      </c>
      <c r="DH24" s="56">
        <v>969.2</v>
      </c>
      <c r="DI24" s="56">
        <v>985.6</v>
      </c>
      <c r="DJ24" s="56">
        <v>995.9</v>
      </c>
      <c r="DK24" s="56">
        <v>1016.6</v>
      </c>
      <c r="DL24" s="56">
        <v>1038.5999999999999</v>
      </c>
      <c r="DM24" s="56">
        <v>1053.2</v>
      </c>
      <c r="DN24" s="56">
        <v>1074</v>
      </c>
      <c r="DO24" s="56">
        <v>1095.5</v>
      </c>
      <c r="DP24" s="56">
        <v>1119.8</v>
      </c>
      <c r="DQ24" s="56">
        <v>1147.4000000000001</v>
      </c>
      <c r="DR24" s="56">
        <v>1170.5</v>
      </c>
      <c r="DS24" s="56">
        <v>1181.3</v>
      </c>
      <c r="DT24" s="56">
        <v>1198.5</v>
      </c>
      <c r="DU24" s="56">
        <v>1223.0999999999999</v>
      </c>
      <c r="DV24" s="56">
        <v>1253</v>
      </c>
      <c r="DW24" s="56">
        <v>1281.5</v>
      </c>
      <c r="DX24" s="56">
        <v>1279</v>
      </c>
      <c r="DY24" s="56">
        <v>1305.9000000000001</v>
      </c>
      <c r="DZ24" s="56">
        <v>1326</v>
      </c>
      <c r="EA24" s="56">
        <v>1339.7</v>
      </c>
      <c r="EB24" s="56">
        <v>1352.9</v>
      </c>
      <c r="EC24" s="56">
        <v>1367</v>
      </c>
      <c r="ED24" s="56">
        <v>1379.3</v>
      </c>
      <c r="EE24" s="56">
        <v>1372.8</v>
      </c>
      <c r="EF24" s="56">
        <v>1387.2</v>
      </c>
      <c r="EG24" s="56">
        <v>1396</v>
      </c>
      <c r="EH24" s="56">
        <v>1414.8</v>
      </c>
      <c r="EI24" s="56">
        <v>1436.1</v>
      </c>
      <c r="EJ24" s="56">
        <v>1453.9</v>
      </c>
      <c r="EK24" s="56">
        <v>1479.2</v>
      </c>
      <c r="EL24" s="56">
        <v>1494.3</v>
      </c>
      <c r="EM24" s="56">
        <v>1513</v>
      </c>
      <c r="EN24" s="56">
        <v>1538</v>
      </c>
      <c r="EO24" s="56">
        <v>1564.8</v>
      </c>
      <c r="EP24" s="56">
        <v>1583</v>
      </c>
      <c r="EQ24" s="56">
        <v>1613.4</v>
      </c>
      <c r="ER24" s="56">
        <v>1634.8</v>
      </c>
      <c r="ES24" s="56">
        <v>1659.4</v>
      </c>
      <c r="ET24" s="56">
        <v>1700.9</v>
      </c>
      <c r="EU24" s="56">
        <v>1727.5</v>
      </c>
      <c r="EV24" s="56">
        <v>1749.9</v>
      </c>
      <c r="EW24" s="56">
        <v>1779.8</v>
      </c>
      <c r="EX24" s="56">
        <v>1798.5</v>
      </c>
      <c r="EY24" s="56">
        <v>1825</v>
      </c>
      <c r="EZ24" s="56">
        <v>1858.8</v>
      </c>
      <c r="FA24" s="56">
        <v>1842</v>
      </c>
      <c r="FB24" s="56">
        <v>1836.8</v>
      </c>
      <c r="FC24" s="56">
        <v>1857</v>
      </c>
      <c r="FD24" s="56">
        <v>1863.8</v>
      </c>
      <c r="FE24" s="56">
        <v>1864.6</v>
      </c>
      <c r="FF24" s="56">
        <v>1855.5</v>
      </c>
      <c r="FG24" s="56">
        <v>1860.7</v>
      </c>
      <c r="FH24" s="56">
        <v>1854</v>
      </c>
      <c r="FI24" s="56">
        <v>1851.4</v>
      </c>
      <c r="FJ24" s="56">
        <v>1849.8</v>
      </c>
      <c r="FK24" s="56">
        <v>1855.5</v>
      </c>
      <c r="FL24" s="56">
        <v>1848.3</v>
      </c>
      <c r="FM24" s="56">
        <v>1839.1</v>
      </c>
      <c r="FN24" s="56">
        <v>1847.9</v>
      </c>
      <c r="FO24" s="56">
        <v>1841.8</v>
      </c>
      <c r="FP24" s="56">
        <v>1845.3</v>
      </c>
      <c r="FQ24" s="56">
        <v>1862.7</v>
      </c>
      <c r="FR24" s="56">
        <v>1883.4</v>
      </c>
      <c r="FS24" s="56">
        <v>1898.6</v>
      </c>
      <c r="FT24" s="56">
        <v>1915.6</v>
      </c>
      <c r="FU24" s="56">
        <v>1923.3</v>
      </c>
      <c r="FV24" s="56">
        <v>1926.1</v>
      </c>
      <c r="FW24" s="56">
        <v>1943.4</v>
      </c>
      <c r="FX24" s="56">
        <v>1961.1</v>
      </c>
      <c r="FY24" s="56">
        <v>1975.5</v>
      </c>
      <c r="FZ24" s="56">
        <v>1971.7</v>
      </c>
      <c r="GA24" s="56">
        <v>2011.7</v>
      </c>
      <c r="GB24" s="56">
        <v>2031.2</v>
      </c>
      <c r="GC24" s="56">
        <v>2028.1</v>
      </c>
      <c r="GD24" s="56">
        <v>2040.5</v>
      </c>
      <c r="GE24" s="56">
        <v>2059.6</v>
      </c>
      <c r="GF24" s="56">
        <v>2073.9</v>
      </c>
      <c r="GG24" s="56">
        <v>2088.8000000000002</v>
      </c>
      <c r="GH24" s="56">
        <v>2104</v>
      </c>
      <c r="GI24" s="56">
        <v>2110.6</v>
      </c>
      <c r="GJ24" s="56">
        <v>2134.3000000000002</v>
      </c>
      <c r="GK24" s="56">
        <v>2175.4</v>
      </c>
      <c r="GL24" s="56">
        <v>2197.6999999999998</v>
      </c>
      <c r="GM24" s="56">
        <v>2236</v>
      </c>
      <c r="GN24" s="56">
        <v>2267.1999999999998</v>
      </c>
      <c r="GO24" s="56">
        <v>2275.5</v>
      </c>
      <c r="GP24" s="56">
        <v>2303.5</v>
      </c>
      <c r="GQ24" s="56">
        <v>2356.1</v>
      </c>
      <c r="GR24" s="56">
        <v>2387.9</v>
      </c>
      <c r="GS24" s="56">
        <v>2423.4</v>
      </c>
      <c r="GT24" s="56">
        <v>2478.9</v>
      </c>
      <c r="GU24" s="56">
        <v>2451.3000000000002</v>
      </c>
      <c r="GV24" s="56">
        <v>2468.3000000000002</v>
      </c>
      <c r="GW24" s="56">
        <v>2486.9</v>
      </c>
      <c r="GX24" s="56">
        <v>2533.9</v>
      </c>
      <c r="GY24" s="56">
        <v>2571.6999999999998</v>
      </c>
      <c r="GZ24" s="56">
        <v>2625.1</v>
      </c>
      <c r="HA24" s="56">
        <v>2664.2</v>
      </c>
      <c r="HB24" s="56">
        <v>2719.7</v>
      </c>
      <c r="HC24">
        <v>2803.4</v>
      </c>
      <c r="HD24">
        <v>2841.5</v>
      </c>
      <c r="HE24">
        <v>2880.6</v>
      </c>
      <c r="HF24">
        <v>2913.2</v>
      </c>
      <c r="HG24">
        <v>2925.5</v>
      </c>
      <c r="HH24">
        <v>3002.9</v>
      </c>
      <c r="HI24">
        <v>3051.8</v>
      </c>
      <c r="HJ24">
        <v>3103.6</v>
      </c>
    </row>
    <row r="25" spans="1:218" x14ac:dyDescent="0.35">
      <c r="A25" s="56" t="s">
        <v>2220</v>
      </c>
      <c r="B25" s="56">
        <v>753.5</v>
      </c>
      <c r="C25" s="56">
        <v>733.7</v>
      </c>
      <c r="D25" s="56">
        <v>724.6</v>
      </c>
      <c r="E25" s="56">
        <v>721.9</v>
      </c>
      <c r="F25" s="56">
        <v>698.7</v>
      </c>
      <c r="G25" s="56">
        <v>690.5</v>
      </c>
      <c r="H25" s="56">
        <v>687.5</v>
      </c>
      <c r="I25" s="56">
        <v>669.4</v>
      </c>
      <c r="J25" s="56">
        <v>674.9</v>
      </c>
      <c r="K25" s="56">
        <v>681.4</v>
      </c>
      <c r="L25" s="56">
        <v>650.20000000000005</v>
      </c>
      <c r="M25" s="56">
        <v>651.9</v>
      </c>
      <c r="N25" s="56">
        <v>660.3</v>
      </c>
      <c r="O25" s="56">
        <v>649.70000000000005</v>
      </c>
      <c r="P25" s="56">
        <v>626.70000000000005</v>
      </c>
      <c r="Q25" s="56">
        <v>628.1</v>
      </c>
      <c r="R25" s="56">
        <v>643.20000000000005</v>
      </c>
      <c r="S25" s="56">
        <v>641</v>
      </c>
      <c r="T25" s="56">
        <v>645.1</v>
      </c>
      <c r="U25" s="56">
        <v>651.5</v>
      </c>
      <c r="V25" s="56">
        <v>644.70000000000005</v>
      </c>
      <c r="W25" s="56">
        <v>638.29999999999995</v>
      </c>
      <c r="X25" s="56">
        <v>654.70000000000005</v>
      </c>
      <c r="Y25" s="56">
        <v>656.9</v>
      </c>
      <c r="Z25" s="56">
        <v>650.4</v>
      </c>
      <c r="AA25" s="56">
        <v>648.20000000000005</v>
      </c>
      <c r="AB25" s="56">
        <v>649.1</v>
      </c>
      <c r="AC25" s="56">
        <v>650.5</v>
      </c>
      <c r="AD25" s="56">
        <v>655</v>
      </c>
      <c r="AE25" s="56">
        <v>663.3</v>
      </c>
      <c r="AF25" s="56">
        <v>669.9</v>
      </c>
      <c r="AG25" s="56">
        <v>665.3</v>
      </c>
      <c r="AH25" s="56">
        <v>665.8</v>
      </c>
      <c r="AI25" s="56">
        <v>678.7</v>
      </c>
      <c r="AJ25" s="56">
        <v>683.1</v>
      </c>
      <c r="AK25" s="56">
        <v>688.9</v>
      </c>
      <c r="AL25" s="56">
        <v>687.8</v>
      </c>
      <c r="AM25" s="56">
        <v>694.8</v>
      </c>
      <c r="AN25" s="56">
        <v>696.4</v>
      </c>
      <c r="AO25" s="56">
        <v>697.2</v>
      </c>
      <c r="AP25" s="56">
        <v>715.8</v>
      </c>
      <c r="AQ25" s="56">
        <v>729.9</v>
      </c>
      <c r="AR25" s="56">
        <v>721.5</v>
      </c>
      <c r="AS25" s="56">
        <v>725.2</v>
      </c>
      <c r="AT25" s="56">
        <v>739.4</v>
      </c>
      <c r="AU25" s="56">
        <v>758.4</v>
      </c>
      <c r="AV25" s="56">
        <v>755.3</v>
      </c>
      <c r="AW25" s="56">
        <v>768.8</v>
      </c>
      <c r="AX25" s="56">
        <v>769.3</v>
      </c>
      <c r="AY25" s="56">
        <v>772.5</v>
      </c>
      <c r="AZ25" s="56">
        <v>785.2</v>
      </c>
      <c r="BA25" s="56">
        <v>803.7</v>
      </c>
      <c r="BB25" s="56">
        <v>816.4</v>
      </c>
      <c r="BC25" s="56">
        <v>831.6</v>
      </c>
      <c r="BD25" s="56">
        <v>853.1</v>
      </c>
      <c r="BE25" s="56">
        <v>825.5</v>
      </c>
      <c r="BF25" s="56">
        <v>832.5</v>
      </c>
      <c r="BG25" s="56">
        <v>857.7</v>
      </c>
      <c r="BH25" s="56">
        <v>857</v>
      </c>
      <c r="BI25" s="56">
        <v>884.4</v>
      </c>
      <c r="BJ25" s="56">
        <v>892.5</v>
      </c>
      <c r="BK25" s="56">
        <v>916</v>
      </c>
      <c r="BL25" s="56">
        <v>943.3</v>
      </c>
      <c r="BM25" s="56">
        <v>943.8</v>
      </c>
      <c r="BN25" s="56">
        <v>941.2</v>
      </c>
      <c r="BO25" s="56">
        <v>971.7</v>
      </c>
      <c r="BP25" s="56">
        <v>1005.3</v>
      </c>
      <c r="BQ25" s="56">
        <v>993.6</v>
      </c>
      <c r="BR25" s="56">
        <v>1000</v>
      </c>
      <c r="BS25" s="56">
        <v>1013.6</v>
      </c>
      <c r="BT25" s="56">
        <v>1012.2</v>
      </c>
      <c r="BU25" s="56">
        <v>1029.3</v>
      </c>
      <c r="BV25" s="56">
        <v>999.8</v>
      </c>
      <c r="BW25" s="56">
        <v>992.3</v>
      </c>
      <c r="BX25" s="56">
        <v>987.6</v>
      </c>
      <c r="BY25" s="56">
        <v>1014.9</v>
      </c>
      <c r="BZ25" s="56">
        <v>996.4</v>
      </c>
      <c r="CA25" s="56">
        <v>1016.6</v>
      </c>
      <c r="CB25" s="56">
        <v>1025</v>
      </c>
      <c r="CC25" s="56">
        <v>1020.2</v>
      </c>
      <c r="CD25" s="56">
        <v>1037.2</v>
      </c>
      <c r="CE25" s="56">
        <v>1038.5999999999999</v>
      </c>
      <c r="CF25" s="56">
        <v>1034</v>
      </c>
      <c r="CG25" s="56">
        <v>1035.3</v>
      </c>
      <c r="CH25" s="56">
        <v>1047.0999999999999</v>
      </c>
      <c r="CI25" s="56">
        <v>1051.4000000000001</v>
      </c>
      <c r="CJ25" s="56">
        <v>1037.5</v>
      </c>
      <c r="CK25" s="56">
        <v>1011.5</v>
      </c>
      <c r="CL25" s="56">
        <v>1015.3</v>
      </c>
      <c r="CM25" s="56">
        <v>1012.6</v>
      </c>
      <c r="CN25" s="56">
        <v>1026.9000000000001</v>
      </c>
      <c r="CO25" s="56">
        <v>1027.5999999999999</v>
      </c>
      <c r="CP25" s="56">
        <v>994</v>
      </c>
      <c r="CQ25" s="56">
        <v>983.6</v>
      </c>
      <c r="CR25" s="56">
        <v>979.9</v>
      </c>
      <c r="CS25" s="56">
        <v>981.5</v>
      </c>
      <c r="CT25" s="56">
        <v>947.3</v>
      </c>
      <c r="CU25" s="56">
        <v>943.2</v>
      </c>
      <c r="CV25" s="56">
        <v>966.1</v>
      </c>
      <c r="CW25" s="56">
        <v>940.6</v>
      </c>
      <c r="CX25" s="56">
        <v>938</v>
      </c>
      <c r="CY25" s="56">
        <v>934.9</v>
      </c>
      <c r="CZ25" s="56">
        <v>927.4</v>
      </c>
      <c r="DA25" s="56">
        <v>895.8</v>
      </c>
      <c r="DB25" s="56">
        <v>913.5</v>
      </c>
      <c r="DC25" s="56">
        <v>922.1</v>
      </c>
      <c r="DD25" s="56">
        <v>909.9</v>
      </c>
      <c r="DE25" s="56">
        <v>905.5</v>
      </c>
      <c r="DF25" s="56">
        <v>892.7</v>
      </c>
      <c r="DG25" s="56">
        <v>912.5</v>
      </c>
      <c r="DH25" s="56">
        <v>908.6</v>
      </c>
      <c r="DI25" s="56">
        <v>907.2</v>
      </c>
      <c r="DJ25" s="56">
        <v>884.6</v>
      </c>
      <c r="DK25" s="56">
        <v>901.9</v>
      </c>
      <c r="DL25" s="56">
        <v>898.4</v>
      </c>
      <c r="DM25" s="56">
        <v>904</v>
      </c>
      <c r="DN25" s="56">
        <v>902.6</v>
      </c>
      <c r="DO25" s="56">
        <v>901.3</v>
      </c>
      <c r="DP25" s="56">
        <v>915.4</v>
      </c>
      <c r="DQ25" s="56">
        <v>934</v>
      </c>
      <c r="DR25" s="56">
        <v>903</v>
      </c>
      <c r="DS25" s="56">
        <v>931.2</v>
      </c>
      <c r="DT25" s="56">
        <v>913.6</v>
      </c>
      <c r="DU25" s="56">
        <v>916.1</v>
      </c>
      <c r="DV25" s="56">
        <v>936.2</v>
      </c>
      <c r="DW25" s="56">
        <v>949.8</v>
      </c>
      <c r="DX25" s="56">
        <v>955.5</v>
      </c>
      <c r="DY25" s="56">
        <v>966.9</v>
      </c>
      <c r="DZ25" s="56">
        <v>998.7</v>
      </c>
      <c r="EA25" s="56">
        <v>1018.1</v>
      </c>
      <c r="EB25" s="56">
        <v>1028.0999999999999</v>
      </c>
      <c r="EC25" s="56">
        <v>1045.5999999999999</v>
      </c>
      <c r="ED25" s="56">
        <v>1057.7</v>
      </c>
      <c r="EE25" s="56">
        <v>1094.2</v>
      </c>
      <c r="EF25" s="56">
        <v>1094</v>
      </c>
      <c r="EG25" s="56">
        <v>1114.3</v>
      </c>
      <c r="EH25" s="56">
        <v>1126.4000000000001</v>
      </c>
      <c r="EI25" s="56">
        <v>1133</v>
      </c>
      <c r="EJ25" s="56">
        <v>1145.5</v>
      </c>
      <c r="EK25" s="56">
        <v>1143.4000000000001</v>
      </c>
      <c r="EL25" s="56">
        <v>1156.0999999999999</v>
      </c>
      <c r="EM25" s="56">
        <v>1154.9000000000001</v>
      </c>
      <c r="EN25" s="56">
        <v>1163.8</v>
      </c>
      <c r="EO25" s="56">
        <v>1164.3</v>
      </c>
      <c r="EP25" s="56">
        <v>1194.5</v>
      </c>
      <c r="EQ25" s="56">
        <v>1186.4000000000001</v>
      </c>
      <c r="ER25" s="56">
        <v>1175.5999999999999</v>
      </c>
      <c r="ES25" s="56">
        <v>1192.7</v>
      </c>
      <c r="ET25" s="56">
        <v>1185.5</v>
      </c>
      <c r="EU25" s="56">
        <v>1205</v>
      </c>
      <c r="EV25" s="56">
        <v>1215.5</v>
      </c>
      <c r="EW25" s="56">
        <v>1235.8</v>
      </c>
      <c r="EX25" s="56">
        <v>1254.5999999999999</v>
      </c>
      <c r="EY25" s="56">
        <v>1281.4000000000001</v>
      </c>
      <c r="EZ25" s="56">
        <v>1298</v>
      </c>
      <c r="FA25" s="56">
        <v>1314.9</v>
      </c>
      <c r="FB25" s="56">
        <v>1332.3</v>
      </c>
      <c r="FC25" s="56">
        <v>1363.9</v>
      </c>
      <c r="FD25" s="56">
        <v>1376.4</v>
      </c>
      <c r="FE25" s="56">
        <v>1396.9</v>
      </c>
      <c r="FF25" s="56">
        <v>1412.5</v>
      </c>
      <c r="FG25" s="56">
        <v>1431</v>
      </c>
      <c r="FH25" s="56">
        <v>1424.5</v>
      </c>
      <c r="FI25" s="56">
        <v>1422.3</v>
      </c>
      <c r="FJ25" s="56">
        <v>1402.2</v>
      </c>
      <c r="FK25" s="56">
        <v>1396.8</v>
      </c>
      <c r="FL25" s="56">
        <v>1366.4</v>
      </c>
      <c r="FM25" s="56">
        <v>1371.5</v>
      </c>
      <c r="FN25" s="56">
        <v>1371.4</v>
      </c>
      <c r="FO25" s="56">
        <v>1360.5</v>
      </c>
      <c r="FP25" s="56">
        <v>1363.3</v>
      </c>
      <c r="FQ25" s="56">
        <v>1336.2</v>
      </c>
      <c r="FR25" s="56">
        <v>1306</v>
      </c>
      <c r="FS25" s="56">
        <v>1295.9000000000001</v>
      </c>
      <c r="FT25" s="56">
        <v>1277.8</v>
      </c>
      <c r="FU25" s="56">
        <v>1256</v>
      </c>
      <c r="FV25" s="56">
        <v>1254.9000000000001</v>
      </c>
      <c r="FW25" s="56">
        <v>1247.7</v>
      </c>
      <c r="FX25" s="56">
        <v>1262.0999999999999</v>
      </c>
      <c r="FY25" s="56">
        <v>1243.0999999999999</v>
      </c>
      <c r="FZ25" s="56">
        <v>1248</v>
      </c>
      <c r="GA25" s="56">
        <v>1251.9000000000001</v>
      </c>
      <c r="GB25" s="56">
        <v>1250.8</v>
      </c>
      <c r="GC25" s="56">
        <v>1260.2</v>
      </c>
      <c r="GD25" s="56">
        <v>1261.0999999999999</v>
      </c>
      <c r="GE25" s="56">
        <v>1254.8</v>
      </c>
      <c r="GF25" s="56">
        <v>1261.4000000000001</v>
      </c>
      <c r="GG25" s="56">
        <v>1262.5</v>
      </c>
      <c r="GH25" s="56">
        <v>1257.2</v>
      </c>
      <c r="GI25" s="56">
        <v>1263.9000000000001</v>
      </c>
      <c r="GJ25" s="56">
        <v>1263.0999999999999</v>
      </c>
      <c r="GK25" s="56">
        <v>1280</v>
      </c>
      <c r="GL25" s="56">
        <v>1293</v>
      </c>
      <c r="GM25" s="56">
        <v>1302.3</v>
      </c>
      <c r="GN25" s="56">
        <v>1319.1</v>
      </c>
      <c r="GO25" s="56">
        <v>1325.3</v>
      </c>
      <c r="GP25" s="56">
        <v>1336.2</v>
      </c>
      <c r="GQ25" s="56">
        <v>1354.7</v>
      </c>
      <c r="GR25" s="56">
        <v>1373.2</v>
      </c>
      <c r="GS25" s="56">
        <v>1376.4</v>
      </c>
      <c r="GT25" s="56">
        <v>1393.8</v>
      </c>
      <c r="GU25" s="56">
        <v>1493.5</v>
      </c>
      <c r="GV25" s="56">
        <v>1445.2</v>
      </c>
      <c r="GW25" s="56">
        <v>1438.1</v>
      </c>
      <c r="GX25" s="56">
        <v>1499.1</v>
      </c>
      <c r="GY25" s="56">
        <v>1464.8</v>
      </c>
      <c r="GZ25" s="56">
        <v>1439.1</v>
      </c>
      <c r="HA25" s="56">
        <v>1446.5</v>
      </c>
      <c r="HB25" s="56">
        <v>1420.9</v>
      </c>
      <c r="HC25">
        <v>1406.9</v>
      </c>
      <c r="HD25">
        <v>1411.2</v>
      </c>
      <c r="HE25">
        <v>1444.5</v>
      </c>
      <c r="HF25">
        <v>1462.8</v>
      </c>
      <c r="HG25">
        <v>1466.9</v>
      </c>
      <c r="HH25">
        <v>1492.3</v>
      </c>
      <c r="HI25">
        <v>1501</v>
      </c>
      <c r="HJ25">
        <v>1500.1</v>
      </c>
    </row>
    <row r="26" spans="1:218" x14ac:dyDescent="0.35">
      <c r="A26" s="56" t="s">
        <v>2221</v>
      </c>
      <c r="B26" s="56">
        <v>902.2</v>
      </c>
      <c r="C26" s="56">
        <v>907.1</v>
      </c>
      <c r="D26" s="56">
        <v>927.8</v>
      </c>
      <c r="E26" s="56">
        <v>932.5</v>
      </c>
      <c r="F26" s="56">
        <v>936.4</v>
      </c>
      <c r="G26" s="56">
        <v>943.3</v>
      </c>
      <c r="H26" s="56">
        <v>946.5</v>
      </c>
      <c r="I26" s="56">
        <v>958.4</v>
      </c>
      <c r="J26" s="56">
        <v>961</v>
      </c>
      <c r="K26" s="56">
        <v>959.4</v>
      </c>
      <c r="L26" s="56">
        <v>967.1</v>
      </c>
      <c r="M26" s="56">
        <v>980.4</v>
      </c>
      <c r="N26" s="56">
        <v>984.9</v>
      </c>
      <c r="O26" s="56">
        <v>986.5</v>
      </c>
      <c r="P26" s="56">
        <v>996.8</v>
      </c>
      <c r="Q26" s="56">
        <v>1008.9</v>
      </c>
      <c r="R26" s="56">
        <v>1021.7</v>
      </c>
      <c r="S26" s="56">
        <v>1034.3</v>
      </c>
      <c r="T26" s="56">
        <v>1032.4000000000001</v>
      </c>
      <c r="U26" s="56">
        <v>1032.8</v>
      </c>
      <c r="V26" s="56">
        <v>1063.3</v>
      </c>
      <c r="W26" s="56">
        <v>1055.7</v>
      </c>
      <c r="X26" s="56">
        <v>1069.2</v>
      </c>
      <c r="Y26" s="56">
        <v>1083.5</v>
      </c>
      <c r="Z26" s="56">
        <v>1095.7</v>
      </c>
      <c r="AA26" s="56">
        <v>1076.5</v>
      </c>
      <c r="AB26" s="56">
        <v>1069.3</v>
      </c>
      <c r="AC26" s="56">
        <v>1066.0999999999999</v>
      </c>
      <c r="AD26" s="56">
        <v>1076.7</v>
      </c>
      <c r="AE26" s="56">
        <v>1083.3</v>
      </c>
      <c r="AF26" s="56">
        <v>1082.2</v>
      </c>
      <c r="AG26" s="56">
        <v>1083.8</v>
      </c>
      <c r="AH26" s="56">
        <v>1083.5999999999999</v>
      </c>
      <c r="AI26" s="56">
        <v>1116.2</v>
      </c>
      <c r="AJ26" s="56">
        <v>1129</v>
      </c>
      <c r="AK26" s="56">
        <v>1139.7</v>
      </c>
      <c r="AL26" s="56">
        <v>1120.4000000000001</v>
      </c>
      <c r="AM26" s="56">
        <v>1130.9000000000001</v>
      </c>
      <c r="AN26" s="56">
        <v>1134.8</v>
      </c>
      <c r="AO26" s="56">
        <v>1147.5</v>
      </c>
      <c r="AP26" s="56">
        <v>1152.9000000000001</v>
      </c>
      <c r="AQ26" s="56">
        <v>1137.5999999999999</v>
      </c>
      <c r="AR26" s="56">
        <v>1120</v>
      </c>
      <c r="AS26" s="56">
        <v>1114.5</v>
      </c>
      <c r="AT26" s="56">
        <v>1123.2</v>
      </c>
      <c r="AU26" s="56">
        <v>1101.8</v>
      </c>
      <c r="AV26" s="56">
        <v>1098.5999999999999</v>
      </c>
      <c r="AW26" s="56">
        <v>1107.2</v>
      </c>
      <c r="AX26" s="56">
        <v>1104.0999999999999</v>
      </c>
      <c r="AY26" s="56">
        <v>1107.9000000000001</v>
      </c>
      <c r="AZ26" s="56">
        <v>1108</v>
      </c>
      <c r="BA26" s="56">
        <v>1116.4000000000001</v>
      </c>
      <c r="BB26" s="56">
        <v>1120.4000000000001</v>
      </c>
      <c r="BC26" s="56">
        <v>1118.2</v>
      </c>
      <c r="BD26" s="56">
        <v>1127.9000000000001</v>
      </c>
      <c r="BE26" s="56">
        <v>1128.5999999999999</v>
      </c>
      <c r="BF26" s="56">
        <v>1142.9000000000001</v>
      </c>
      <c r="BG26" s="56">
        <v>1158.0999999999999</v>
      </c>
      <c r="BH26" s="56">
        <v>1177.9000000000001</v>
      </c>
      <c r="BI26" s="56">
        <v>1189.9000000000001</v>
      </c>
      <c r="BJ26" s="56">
        <v>1204.9000000000001</v>
      </c>
      <c r="BK26" s="56">
        <v>1226.7</v>
      </c>
      <c r="BL26" s="56">
        <v>1246.2</v>
      </c>
      <c r="BM26" s="56">
        <v>1255.7</v>
      </c>
      <c r="BN26" s="56">
        <v>1278.8</v>
      </c>
      <c r="BO26" s="56">
        <v>1291.3</v>
      </c>
      <c r="BP26" s="56">
        <v>1303.3</v>
      </c>
      <c r="BQ26" s="56">
        <v>1307.7</v>
      </c>
      <c r="BR26" s="56">
        <v>1314.6</v>
      </c>
      <c r="BS26" s="56">
        <v>1317.5</v>
      </c>
      <c r="BT26" s="56">
        <v>1322</v>
      </c>
      <c r="BU26" s="56">
        <v>1339.5</v>
      </c>
      <c r="BV26" s="56">
        <v>1354.2</v>
      </c>
      <c r="BW26" s="56">
        <v>1371.3</v>
      </c>
      <c r="BX26" s="56">
        <v>1377.5</v>
      </c>
      <c r="BY26" s="56">
        <v>1394.1</v>
      </c>
      <c r="BZ26" s="56">
        <v>1405.3</v>
      </c>
      <c r="CA26" s="56">
        <v>1420.8</v>
      </c>
      <c r="CB26" s="56">
        <v>1434.5</v>
      </c>
      <c r="CC26" s="56">
        <v>1453.7</v>
      </c>
      <c r="CD26" s="56">
        <v>1476.1</v>
      </c>
      <c r="CE26" s="56">
        <v>1478.9</v>
      </c>
      <c r="CF26" s="56">
        <v>1488.7</v>
      </c>
      <c r="CG26" s="56">
        <v>1505.3</v>
      </c>
      <c r="CH26" s="56">
        <v>1507.6</v>
      </c>
      <c r="CI26" s="56">
        <v>1513.7</v>
      </c>
      <c r="CJ26" s="56">
        <v>1522.5</v>
      </c>
      <c r="CK26" s="56">
        <v>1533.2</v>
      </c>
      <c r="CL26" s="56">
        <v>1553</v>
      </c>
      <c r="CM26" s="56">
        <v>1550.7</v>
      </c>
      <c r="CN26" s="56">
        <v>1551.4</v>
      </c>
      <c r="CO26" s="56">
        <v>1550.2</v>
      </c>
      <c r="CP26" s="56">
        <v>1555.6</v>
      </c>
      <c r="CQ26" s="56">
        <v>1568.2</v>
      </c>
      <c r="CR26" s="56">
        <v>1576.4</v>
      </c>
      <c r="CS26" s="56">
        <v>1584.1</v>
      </c>
      <c r="CT26" s="56">
        <v>1590.7</v>
      </c>
      <c r="CU26" s="56">
        <v>1608.8</v>
      </c>
      <c r="CV26" s="56">
        <v>1627.8</v>
      </c>
      <c r="CW26" s="56">
        <v>1633.7</v>
      </c>
      <c r="CX26" s="56">
        <v>1646.5</v>
      </c>
      <c r="CY26" s="56">
        <v>1659.4</v>
      </c>
      <c r="CZ26" s="56">
        <v>1661.1</v>
      </c>
      <c r="DA26" s="56">
        <v>1669.7</v>
      </c>
      <c r="DB26" s="56">
        <v>1666.8</v>
      </c>
      <c r="DC26" s="56">
        <v>1690.8</v>
      </c>
      <c r="DD26" s="56">
        <v>1705.1</v>
      </c>
      <c r="DE26" s="56">
        <v>1729.5</v>
      </c>
      <c r="DF26" s="56">
        <v>1729.9</v>
      </c>
      <c r="DG26" s="56">
        <v>1742.7</v>
      </c>
      <c r="DH26" s="56">
        <v>1760.3</v>
      </c>
      <c r="DI26" s="56">
        <v>1776.1</v>
      </c>
      <c r="DJ26" s="56">
        <v>1792.3</v>
      </c>
      <c r="DK26" s="56">
        <v>1821.7</v>
      </c>
      <c r="DL26" s="56">
        <v>1847.3</v>
      </c>
      <c r="DM26" s="56">
        <v>1857.8</v>
      </c>
      <c r="DN26" s="56">
        <v>1880</v>
      </c>
      <c r="DO26" s="56">
        <v>1892.1</v>
      </c>
      <c r="DP26" s="56">
        <v>1911.1</v>
      </c>
      <c r="DQ26" s="56">
        <v>1935.9</v>
      </c>
      <c r="DR26" s="56">
        <v>1949.9</v>
      </c>
      <c r="DS26" s="56">
        <v>1947.2</v>
      </c>
      <c r="DT26" s="56">
        <v>1954.5</v>
      </c>
      <c r="DU26" s="56">
        <v>1969.9</v>
      </c>
      <c r="DV26" s="56">
        <v>1994.2</v>
      </c>
      <c r="DW26" s="56">
        <v>2031.7</v>
      </c>
      <c r="DX26" s="56">
        <v>2022.5</v>
      </c>
      <c r="DY26" s="56">
        <v>2061</v>
      </c>
      <c r="DZ26" s="56">
        <v>2080.5</v>
      </c>
      <c r="EA26" s="56">
        <v>2083.1999999999998</v>
      </c>
      <c r="EB26" s="56">
        <v>2088.6</v>
      </c>
      <c r="EC26" s="56">
        <v>2092.6999999999998</v>
      </c>
      <c r="ED26" s="56">
        <v>2081.8000000000002</v>
      </c>
      <c r="EE26" s="56">
        <v>2070.4</v>
      </c>
      <c r="EF26" s="56">
        <v>2078.3000000000002</v>
      </c>
      <c r="EG26" s="56">
        <v>2075.1999999999998</v>
      </c>
      <c r="EH26" s="56">
        <v>2076.5</v>
      </c>
      <c r="EI26" s="56">
        <v>2078</v>
      </c>
      <c r="EJ26" s="56">
        <v>2070.3000000000002</v>
      </c>
      <c r="EK26" s="56">
        <v>2070.6</v>
      </c>
      <c r="EL26" s="56">
        <v>2072.9</v>
      </c>
      <c r="EM26" s="56">
        <v>2072.3000000000002</v>
      </c>
      <c r="EN26" s="56">
        <v>2073.5</v>
      </c>
      <c r="EO26" s="56">
        <v>2075.6</v>
      </c>
      <c r="EP26" s="56">
        <v>2084.9</v>
      </c>
      <c r="EQ26" s="56">
        <v>2092.6999999999998</v>
      </c>
      <c r="ER26" s="56">
        <v>2099.1999999999998</v>
      </c>
      <c r="ES26" s="56">
        <v>2108.4</v>
      </c>
      <c r="ET26" s="56">
        <v>2120.6</v>
      </c>
      <c r="EU26" s="56">
        <v>2130.6</v>
      </c>
      <c r="EV26" s="56">
        <v>2134.9</v>
      </c>
      <c r="EW26" s="56">
        <v>2140.6</v>
      </c>
      <c r="EX26" s="56">
        <v>2128.8000000000002</v>
      </c>
      <c r="EY26" s="56">
        <v>2130.3000000000002</v>
      </c>
      <c r="EZ26" s="56">
        <v>2140.8000000000002</v>
      </c>
      <c r="FA26" s="56">
        <v>2147.4</v>
      </c>
      <c r="FB26" s="56">
        <v>2169.1</v>
      </c>
      <c r="FC26" s="56">
        <v>2187.9</v>
      </c>
      <c r="FD26" s="56">
        <v>2184.6</v>
      </c>
      <c r="FE26" s="56">
        <v>2169.8000000000002</v>
      </c>
      <c r="FF26" s="56">
        <v>2137.8000000000002</v>
      </c>
      <c r="FG26" s="56">
        <v>2129.5</v>
      </c>
      <c r="FH26" s="56">
        <v>2110.6</v>
      </c>
      <c r="FI26" s="56">
        <v>2090.1999999999998</v>
      </c>
      <c r="FJ26" s="56">
        <v>2067.3000000000002</v>
      </c>
      <c r="FK26" s="56">
        <v>2048.8000000000002</v>
      </c>
      <c r="FL26" s="56">
        <v>2030.4</v>
      </c>
      <c r="FM26" s="56">
        <v>2022.8</v>
      </c>
      <c r="FN26" s="56">
        <v>2008.2</v>
      </c>
      <c r="FO26" s="56">
        <v>2001.4</v>
      </c>
      <c r="FP26" s="56">
        <v>1993.4</v>
      </c>
      <c r="FQ26" s="56">
        <v>1987.8</v>
      </c>
      <c r="FR26" s="56">
        <v>1987.2</v>
      </c>
      <c r="FS26" s="56">
        <v>1993.1</v>
      </c>
      <c r="FT26" s="56">
        <v>1995.1</v>
      </c>
      <c r="FU26" s="56">
        <v>1991.6</v>
      </c>
      <c r="FV26" s="56">
        <v>1978.8</v>
      </c>
      <c r="FW26" s="56">
        <v>1990.3</v>
      </c>
      <c r="FX26" s="56">
        <v>1997.9</v>
      </c>
      <c r="FY26" s="56">
        <v>2014.4</v>
      </c>
      <c r="FZ26" s="56">
        <v>2029.1</v>
      </c>
      <c r="GA26" s="56">
        <v>2057.3000000000002</v>
      </c>
      <c r="GB26" s="56">
        <v>2075.9</v>
      </c>
      <c r="GC26" s="56">
        <v>2080.8000000000002</v>
      </c>
      <c r="GD26" s="56">
        <v>2110.5</v>
      </c>
      <c r="GE26" s="56">
        <v>2114.1999999999998</v>
      </c>
      <c r="GF26" s="56">
        <v>2122.3000000000002</v>
      </c>
      <c r="GG26" s="56">
        <v>2127.1999999999998</v>
      </c>
      <c r="GH26" s="56">
        <v>2123.1</v>
      </c>
      <c r="GI26" s="56">
        <v>2125.9</v>
      </c>
      <c r="GJ26" s="56">
        <v>2130.9</v>
      </c>
      <c r="GK26" s="56">
        <v>2144.5</v>
      </c>
      <c r="GL26" s="56">
        <v>2138.6999999999998</v>
      </c>
      <c r="GM26" s="56">
        <v>2154</v>
      </c>
      <c r="GN26" s="56">
        <v>2164.6999999999998</v>
      </c>
      <c r="GO26" s="56">
        <v>2163.1999999999998</v>
      </c>
      <c r="GP26" s="56">
        <v>2199.3000000000002</v>
      </c>
      <c r="GQ26" s="56">
        <v>2234.3000000000002</v>
      </c>
      <c r="GR26" s="56">
        <v>2256</v>
      </c>
      <c r="GS26" s="56">
        <v>2275.6</v>
      </c>
      <c r="GT26" s="56">
        <v>2298</v>
      </c>
      <c r="GU26" s="56">
        <v>2277.1</v>
      </c>
      <c r="GV26" s="56">
        <v>2265.5</v>
      </c>
      <c r="GW26" s="56">
        <v>2254.5</v>
      </c>
      <c r="GX26" s="56">
        <v>2247</v>
      </c>
      <c r="GY26" s="56">
        <v>2239.1999999999998</v>
      </c>
      <c r="GZ26" s="56">
        <v>2250.1</v>
      </c>
      <c r="HA26" s="56">
        <v>2240.9</v>
      </c>
      <c r="HB26" s="56">
        <v>2238.4</v>
      </c>
      <c r="HC26">
        <v>2234.1</v>
      </c>
      <c r="HD26">
        <v>2255.1</v>
      </c>
      <c r="HE26">
        <v>2270.8000000000002</v>
      </c>
      <c r="HF26">
        <v>2296.5</v>
      </c>
      <c r="HG26">
        <v>2323</v>
      </c>
      <c r="HH26">
        <v>2351.4</v>
      </c>
      <c r="HI26">
        <v>2385.9</v>
      </c>
      <c r="HJ26">
        <v>2403.6999999999998</v>
      </c>
    </row>
    <row r="27" spans="1:218" x14ac:dyDescent="0.35">
      <c r="A27" s="56" t="s">
        <v>2222</v>
      </c>
      <c r="B27" s="56">
        <v>90.6</v>
      </c>
      <c r="C27" s="56">
        <v>91.4</v>
      </c>
      <c r="D27" s="56">
        <v>86.3</v>
      </c>
      <c r="E27" s="56">
        <v>87.2</v>
      </c>
      <c r="F27" s="56">
        <v>83.6</v>
      </c>
      <c r="G27" s="56">
        <v>85.1</v>
      </c>
      <c r="H27" s="56">
        <v>86.3</v>
      </c>
      <c r="I27" s="56">
        <v>88.2</v>
      </c>
      <c r="J27" s="56">
        <v>100.3</v>
      </c>
      <c r="K27" s="56">
        <v>102.4</v>
      </c>
      <c r="L27" s="56">
        <v>103.1</v>
      </c>
      <c r="M27" s="56">
        <v>105.3</v>
      </c>
      <c r="N27" s="56">
        <v>104.5</v>
      </c>
      <c r="O27" s="56">
        <v>106.9</v>
      </c>
      <c r="P27" s="56">
        <v>111</v>
      </c>
      <c r="Q27" s="56">
        <v>116</v>
      </c>
      <c r="R27" s="56">
        <v>119.5</v>
      </c>
      <c r="S27" s="56">
        <v>124.8</v>
      </c>
      <c r="T27" s="56">
        <v>129.69999999999999</v>
      </c>
      <c r="U27" s="56">
        <v>132</v>
      </c>
      <c r="V27" s="56">
        <v>132.30000000000001</v>
      </c>
      <c r="W27" s="56">
        <v>94.6</v>
      </c>
      <c r="X27" s="56">
        <v>125.7</v>
      </c>
      <c r="Y27" s="56">
        <v>130.4</v>
      </c>
      <c r="Z27" s="56">
        <v>133</v>
      </c>
      <c r="AA27" s="56">
        <v>138.69999999999999</v>
      </c>
      <c r="AB27" s="56">
        <v>144.5</v>
      </c>
      <c r="AC27" s="56">
        <v>150.1</v>
      </c>
      <c r="AD27" s="56">
        <v>155.30000000000001</v>
      </c>
      <c r="AE27" s="56">
        <v>161</v>
      </c>
      <c r="AF27" s="56">
        <v>162.6</v>
      </c>
      <c r="AG27" s="56">
        <v>171.2</v>
      </c>
      <c r="AH27" s="56">
        <v>173.4</v>
      </c>
      <c r="AI27" s="56">
        <v>182.9</v>
      </c>
      <c r="AJ27" s="56">
        <v>195.4</v>
      </c>
      <c r="AK27" s="56">
        <v>205.1</v>
      </c>
      <c r="AL27" s="56">
        <v>211.6</v>
      </c>
      <c r="AM27" s="56">
        <v>219.9</v>
      </c>
      <c r="AN27" s="56">
        <v>229.4</v>
      </c>
      <c r="AO27" s="56">
        <v>238.6</v>
      </c>
      <c r="AP27" s="56">
        <v>238.3</v>
      </c>
      <c r="AQ27" s="56">
        <v>244.2</v>
      </c>
      <c r="AR27" s="56">
        <v>252.8</v>
      </c>
      <c r="AS27" s="56">
        <v>267.2</v>
      </c>
      <c r="AT27" s="56">
        <v>278.39999999999998</v>
      </c>
      <c r="AU27" s="56">
        <v>289</v>
      </c>
      <c r="AV27" s="56">
        <v>301.39999999999998</v>
      </c>
      <c r="AW27" s="56">
        <v>295.89999999999998</v>
      </c>
      <c r="AX27" s="56">
        <v>295.2</v>
      </c>
      <c r="AY27" s="56">
        <v>301.7</v>
      </c>
      <c r="AZ27" s="56">
        <v>289.7</v>
      </c>
      <c r="BA27" s="56">
        <v>295.8</v>
      </c>
      <c r="BB27" s="56">
        <v>289.5</v>
      </c>
      <c r="BC27" s="56">
        <v>295.3</v>
      </c>
      <c r="BD27" s="56">
        <v>277.3</v>
      </c>
      <c r="BE27" s="56">
        <v>284.89999999999998</v>
      </c>
      <c r="BF27" s="56">
        <v>287.89999999999998</v>
      </c>
      <c r="BG27" s="56">
        <v>294.60000000000002</v>
      </c>
      <c r="BH27" s="56">
        <v>307.3</v>
      </c>
      <c r="BI27" s="56">
        <v>317.7</v>
      </c>
      <c r="BJ27" s="56">
        <v>353</v>
      </c>
      <c r="BK27" s="56">
        <v>307.60000000000002</v>
      </c>
      <c r="BL27" s="56">
        <v>340</v>
      </c>
      <c r="BM27" s="56">
        <v>345.2</v>
      </c>
      <c r="BN27" s="56">
        <v>341.8</v>
      </c>
      <c r="BO27" s="56">
        <v>344.4</v>
      </c>
      <c r="BP27" s="56">
        <v>352</v>
      </c>
      <c r="BQ27" s="56">
        <v>364.2</v>
      </c>
      <c r="BR27" s="56">
        <v>358.3</v>
      </c>
      <c r="BS27" s="56">
        <v>410.2</v>
      </c>
      <c r="BT27" s="56">
        <v>394.9</v>
      </c>
      <c r="BU27" s="56">
        <v>408.5</v>
      </c>
      <c r="BV27" s="56">
        <v>402.6</v>
      </c>
      <c r="BW27" s="56">
        <v>400.6</v>
      </c>
      <c r="BX27" s="56">
        <v>402.5</v>
      </c>
      <c r="BY27" s="56">
        <v>409.6</v>
      </c>
      <c r="BZ27" s="56">
        <v>439.5</v>
      </c>
      <c r="CA27" s="56">
        <v>448.4</v>
      </c>
      <c r="CB27" s="56">
        <v>457.1</v>
      </c>
      <c r="CC27" s="56">
        <v>467.4</v>
      </c>
      <c r="CD27" s="56">
        <v>463.2</v>
      </c>
      <c r="CE27" s="56">
        <v>472</v>
      </c>
      <c r="CF27" s="56">
        <v>477</v>
      </c>
      <c r="CG27" s="56">
        <v>476.2</v>
      </c>
      <c r="CH27" s="56">
        <v>459.6</v>
      </c>
      <c r="CI27" s="56">
        <v>461.4</v>
      </c>
      <c r="CJ27" s="56">
        <v>464.1</v>
      </c>
      <c r="CK27" s="56">
        <v>469.2</v>
      </c>
      <c r="CL27" s="56">
        <v>461.3</v>
      </c>
      <c r="CM27" s="56">
        <v>470.2</v>
      </c>
      <c r="CN27" s="56">
        <v>479.4</v>
      </c>
      <c r="CO27" s="56">
        <v>499</v>
      </c>
      <c r="CP27" s="56">
        <v>480.3</v>
      </c>
      <c r="CQ27" s="56">
        <v>505.3</v>
      </c>
      <c r="CR27" s="56">
        <v>515.6</v>
      </c>
      <c r="CS27" s="56">
        <v>529.5</v>
      </c>
      <c r="CT27" s="56">
        <v>526.70000000000005</v>
      </c>
      <c r="CU27" s="56">
        <v>555.9</v>
      </c>
      <c r="CV27" s="56">
        <v>544.20000000000005</v>
      </c>
      <c r="CW27" s="56">
        <v>553.4</v>
      </c>
      <c r="CX27" s="56">
        <v>567.70000000000005</v>
      </c>
      <c r="CY27" s="56">
        <v>594.4</v>
      </c>
      <c r="CZ27" s="56">
        <v>591.5</v>
      </c>
      <c r="DA27" s="56">
        <v>607.6</v>
      </c>
      <c r="DB27" s="56">
        <v>636.4</v>
      </c>
      <c r="DC27" s="56">
        <v>673.6</v>
      </c>
      <c r="DD27" s="56">
        <v>674.2</v>
      </c>
      <c r="DE27" s="56">
        <v>689.4</v>
      </c>
      <c r="DF27" s="56">
        <v>724.3</v>
      </c>
      <c r="DG27" s="56">
        <v>739.3</v>
      </c>
      <c r="DH27" s="56">
        <v>757</v>
      </c>
      <c r="DI27" s="56">
        <v>778.6</v>
      </c>
      <c r="DJ27" s="56">
        <v>800.6</v>
      </c>
      <c r="DK27" s="56">
        <v>820.9</v>
      </c>
      <c r="DL27" s="56">
        <v>841.6</v>
      </c>
      <c r="DM27" s="56">
        <v>861.7</v>
      </c>
      <c r="DN27" s="56">
        <v>869.8</v>
      </c>
      <c r="DO27" s="56">
        <v>885.8</v>
      </c>
      <c r="DP27" s="56">
        <v>904.2</v>
      </c>
      <c r="DQ27" s="56">
        <v>930</v>
      </c>
      <c r="DR27" s="56">
        <v>976.6</v>
      </c>
      <c r="DS27" s="56">
        <v>986.9</v>
      </c>
      <c r="DT27" s="56">
        <v>1011.1</v>
      </c>
      <c r="DU27" s="56">
        <v>1023.9</v>
      </c>
      <c r="DV27" s="56">
        <v>1051</v>
      </c>
      <c r="DW27" s="56">
        <v>1049</v>
      </c>
      <c r="DX27" s="56">
        <v>881.7</v>
      </c>
      <c r="DY27" s="56">
        <v>1002.4</v>
      </c>
      <c r="DZ27" s="56">
        <v>847.8</v>
      </c>
      <c r="EA27" s="56">
        <v>836.7</v>
      </c>
      <c r="EB27" s="56">
        <v>825.3</v>
      </c>
      <c r="EC27" s="56">
        <v>819.6</v>
      </c>
      <c r="ED27" s="56">
        <v>803.5</v>
      </c>
      <c r="EE27" s="56">
        <v>812.9</v>
      </c>
      <c r="EF27" s="56">
        <v>716.5</v>
      </c>
      <c r="EG27" s="56">
        <v>781.6</v>
      </c>
      <c r="EH27" s="56">
        <v>773.2</v>
      </c>
      <c r="EI27" s="56">
        <v>792.4</v>
      </c>
      <c r="EJ27" s="56">
        <v>816.7</v>
      </c>
      <c r="EK27" s="56">
        <v>829.8</v>
      </c>
      <c r="EL27" s="56">
        <v>902.9</v>
      </c>
      <c r="EM27" s="56">
        <v>925.8</v>
      </c>
      <c r="EN27" s="56">
        <v>949.5</v>
      </c>
      <c r="EO27" s="56">
        <v>970.6</v>
      </c>
      <c r="EP27" s="56">
        <v>1025.5</v>
      </c>
      <c r="EQ27" s="56">
        <v>1041.2</v>
      </c>
      <c r="ER27" s="56">
        <v>1060.9000000000001</v>
      </c>
      <c r="ES27" s="56">
        <v>1095.8</v>
      </c>
      <c r="ET27" s="56">
        <v>1146</v>
      </c>
      <c r="EU27" s="56">
        <v>1163.9000000000001</v>
      </c>
      <c r="EV27" s="56">
        <v>1179.3</v>
      </c>
      <c r="EW27" s="56">
        <v>1194.4000000000001</v>
      </c>
      <c r="EX27" s="56">
        <v>1201.7</v>
      </c>
      <c r="EY27" s="56">
        <v>1191.3</v>
      </c>
      <c r="EZ27" s="56">
        <v>1173.7</v>
      </c>
      <c r="FA27" s="56">
        <v>1139.8</v>
      </c>
      <c r="FB27" s="56">
        <v>921.2</v>
      </c>
      <c r="FC27" s="56">
        <v>855.5</v>
      </c>
      <c r="FD27" s="56">
        <v>842</v>
      </c>
      <c r="FE27" s="56">
        <v>847.5</v>
      </c>
      <c r="FF27" s="56">
        <v>903.4</v>
      </c>
      <c r="FG27" s="56">
        <v>935.2</v>
      </c>
      <c r="FH27" s="56">
        <v>958.5</v>
      </c>
      <c r="FI27" s="56">
        <v>977.2</v>
      </c>
      <c r="FJ27" s="56">
        <v>1111.4000000000001</v>
      </c>
      <c r="FK27" s="56">
        <v>1126.5</v>
      </c>
      <c r="FL27" s="56">
        <v>1144.2</v>
      </c>
      <c r="FM27" s="56">
        <v>1141</v>
      </c>
      <c r="FN27" s="56">
        <v>1138.3</v>
      </c>
      <c r="FO27" s="56">
        <v>1150.5999999999999</v>
      </c>
      <c r="FP27" s="56">
        <v>1163.8</v>
      </c>
      <c r="FQ27" s="56">
        <v>1212.9000000000001</v>
      </c>
      <c r="FR27" s="56">
        <v>1273.5</v>
      </c>
      <c r="FS27" s="56">
        <v>1296.4000000000001</v>
      </c>
      <c r="FT27" s="56">
        <v>1308.3</v>
      </c>
      <c r="FU27" s="56">
        <v>1333.2</v>
      </c>
      <c r="FV27" s="56">
        <v>1369.1</v>
      </c>
      <c r="FW27" s="56">
        <v>1389</v>
      </c>
      <c r="FX27" s="56">
        <v>1413.3</v>
      </c>
      <c r="FY27" s="56">
        <v>1443.5</v>
      </c>
      <c r="FZ27" s="56">
        <v>1509.1</v>
      </c>
      <c r="GA27" s="56">
        <v>1527.7</v>
      </c>
      <c r="GB27" s="56">
        <v>1540.9</v>
      </c>
      <c r="GC27" s="56">
        <v>1552.6</v>
      </c>
      <c r="GD27" s="56">
        <v>1526.8</v>
      </c>
      <c r="GE27" s="56">
        <v>1536.7</v>
      </c>
      <c r="GF27" s="56">
        <v>1553.8</v>
      </c>
      <c r="GG27" s="56">
        <v>1574.5</v>
      </c>
      <c r="GH27" s="56">
        <v>1580</v>
      </c>
      <c r="GI27" s="56">
        <v>1600.1</v>
      </c>
      <c r="GJ27" s="56">
        <v>1623.2</v>
      </c>
      <c r="GK27" s="56">
        <v>1649.1</v>
      </c>
      <c r="GL27" s="56">
        <v>1597.3</v>
      </c>
      <c r="GM27" s="56">
        <v>1607.2</v>
      </c>
      <c r="GN27" s="56">
        <v>1624.8</v>
      </c>
      <c r="GO27" s="56">
        <v>1627.8</v>
      </c>
      <c r="GP27" s="56">
        <v>1683.6</v>
      </c>
      <c r="GQ27" s="56">
        <v>1689.1</v>
      </c>
      <c r="GR27" s="56">
        <v>1700.3</v>
      </c>
      <c r="GS27" s="56">
        <v>1732.4</v>
      </c>
      <c r="GT27" s="56">
        <v>1767.8</v>
      </c>
      <c r="GU27" s="56">
        <v>1631.4</v>
      </c>
      <c r="GV27" s="56">
        <v>1747.9</v>
      </c>
      <c r="GW27" s="56">
        <v>1866.9</v>
      </c>
      <c r="GX27" s="56">
        <v>2013.4</v>
      </c>
      <c r="GY27" s="56">
        <v>2118.4</v>
      </c>
      <c r="GZ27" s="56">
        <v>2200</v>
      </c>
      <c r="HA27" s="56">
        <v>2265.3000000000002</v>
      </c>
      <c r="HB27" s="56">
        <v>2506.9</v>
      </c>
      <c r="HC27">
        <v>2502.6</v>
      </c>
      <c r="HD27">
        <v>2521.9</v>
      </c>
      <c r="HE27">
        <v>2490.1</v>
      </c>
      <c r="HF27">
        <v>2181</v>
      </c>
      <c r="HG27">
        <v>2175.1</v>
      </c>
      <c r="HH27">
        <v>2188.6999999999998</v>
      </c>
      <c r="HI27">
        <v>2199.8000000000002</v>
      </c>
      <c r="HJ27">
        <v>2364.6999999999998</v>
      </c>
    </row>
    <row r="28" spans="1:218" x14ac:dyDescent="0.35">
      <c r="A28" s="56" t="s">
        <v>2223</v>
      </c>
      <c r="B28" s="56">
        <v>17.899999999999999</v>
      </c>
      <c r="C28" s="56">
        <v>18.100000000000001</v>
      </c>
      <c r="D28" s="56">
        <v>18.2</v>
      </c>
      <c r="E28" s="56">
        <v>18.2</v>
      </c>
      <c r="F28" s="56">
        <v>19.399999999999999</v>
      </c>
      <c r="G28" s="56">
        <v>18.7</v>
      </c>
      <c r="H28" s="56">
        <v>18.899999999999999</v>
      </c>
      <c r="I28" s="56">
        <v>19</v>
      </c>
      <c r="J28" s="56">
        <v>18.2</v>
      </c>
      <c r="K28" s="56">
        <v>18.3</v>
      </c>
      <c r="L28" s="56">
        <v>18.5</v>
      </c>
      <c r="M28" s="56">
        <v>19</v>
      </c>
      <c r="N28" s="56">
        <v>19.5</v>
      </c>
      <c r="O28" s="56">
        <v>19.899999999999999</v>
      </c>
      <c r="P28" s="56">
        <v>19.7</v>
      </c>
      <c r="Q28" s="56">
        <v>20.100000000000001</v>
      </c>
      <c r="R28" s="56">
        <v>19.8</v>
      </c>
      <c r="S28" s="56">
        <v>20.100000000000001</v>
      </c>
      <c r="T28" s="56">
        <v>20.2</v>
      </c>
      <c r="U28" s="56">
        <v>20.2</v>
      </c>
      <c r="V28" s="56">
        <v>19.8</v>
      </c>
      <c r="W28" s="56">
        <v>21.3</v>
      </c>
      <c r="X28" s="56">
        <v>23.3</v>
      </c>
      <c r="Y28" s="56">
        <v>23.9</v>
      </c>
      <c r="Z28" s="56">
        <v>20.8</v>
      </c>
      <c r="AA28" s="56">
        <v>21.3</v>
      </c>
      <c r="AB28" s="56">
        <v>21.7</v>
      </c>
      <c r="AC28" s="56">
        <v>21.7</v>
      </c>
      <c r="AD28" s="56">
        <v>22</v>
      </c>
      <c r="AE28" s="56">
        <v>22.5</v>
      </c>
      <c r="AF28" s="56">
        <v>23.2</v>
      </c>
      <c r="AG28" s="56">
        <v>23.2</v>
      </c>
      <c r="AH28" s="56">
        <v>24</v>
      </c>
      <c r="AI28" s="56">
        <v>25.4</v>
      </c>
      <c r="AJ28" s="56">
        <v>25.5</v>
      </c>
      <c r="AK28" s="56">
        <v>26.3</v>
      </c>
      <c r="AL28" s="56">
        <v>25.9</v>
      </c>
      <c r="AM28" s="56">
        <v>25.9</v>
      </c>
      <c r="AN28" s="56">
        <v>25.3</v>
      </c>
      <c r="AO28" s="56">
        <v>25.6</v>
      </c>
      <c r="AP28" s="56">
        <v>27.6</v>
      </c>
      <c r="AQ28" s="56">
        <v>33.6</v>
      </c>
      <c r="AR28" s="56">
        <v>36.1</v>
      </c>
      <c r="AS28" s="56">
        <v>37.299999999999997</v>
      </c>
      <c r="AT28" s="56">
        <v>50.7</v>
      </c>
      <c r="AU28" s="56">
        <v>51.8</v>
      </c>
      <c r="AV28" s="56">
        <v>49.1</v>
      </c>
      <c r="AW28" s="56">
        <v>48.1</v>
      </c>
      <c r="AX28" s="56">
        <v>43.5</v>
      </c>
      <c r="AY28" s="56">
        <v>40</v>
      </c>
      <c r="AZ28" s="56">
        <v>40.1</v>
      </c>
      <c r="BA28" s="56">
        <v>40.299999999999997</v>
      </c>
      <c r="BB28" s="56">
        <v>41.1</v>
      </c>
      <c r="BC28" s="56">
        <v>45.3</v>
      </c>
      <c r="BD28" s="56">
        <v>45.5</v>
      </c>
      <c r="BE28" s="56">
        <v>45.8</v>
      </c>
      <c r="BF28" s="56">
        <v>47</v>
      </c>
      <c r="BG28" s="56">
        <v>47.5</v>
      </c>
      <c r="BH28" s="56">
        <v>47.4</v>
      </c>
      <c r="BI28" s="56">
        <v>47.3</v>
      </c>
      <c r="BJ28" s="56">
        <v>46.4</v>
      </c>
      <c r="BK28" s="56">
        <v>45.7</v>
      </c>
      <c r="BL28" s="56">
        <v>46.8</v>
      </c>
      <c r="BM28" s="56">
        <v>45.4</v>
      </c>
      <c r="BN28" s="56">
        <v>44.5</v>
      </c>
      <c r="BO28" s="56">
        <v>42.9</v>
      </c>
      <c r="BP28" s="56">
        <v>43.8</v>
      </c>
      <c r="BQ28" s="56">
        <v>43.6</v>
      </c>
      <c r="BR28" s="56">
        <v>44.1</v>
      </c>
      <c r="BS28" s="56">
        <v>45.8</v>
      </c>
      <c r="BT28" s="56">
        <v>46.4</v>
      </c>
      <c r="BU28" s="56">
        <v>47.4</v>
      </c>
      <c r="BV28" s="56">
        <v>49.6</v>
      </c>
      <c r="BW28" s="56">
        <v>49.3</v>
      </c>
      <c r="BX28" s="56">
        <v>50.2</v>
      </c>
      <c r="BY28" s="56">
        <v>50.2</v>
      </c>
      <c r="BZ28" s="56">
        <v>50.8</v>
      </c>
      <c r="CA28" s="56">
        <v>49.2</v>
      </c>
      <c r="CB28" s="56">
        <v>50</v>
      </c>
      <c r="CC28" s="56">
        <v>48.9</v>
      </c>
      <c r="CD28" s="56">
        <v>50.3</v>
      </c>
      <c r="CE28" s="56">
        <v>50.8</v>
      </c>
      <c r="CF28" s="56">
        <v>51.1</v>
      </c>
      <c r="CG28" s="56">
        <v>51.5</v>
      </c>
      <c r="CH28" s="56">
        <v>59.7</v>
      </c>
      <c r="CI28" s="56">
        <v>61.3</v>
      </c>
      <c r="CJ28" s="56">
        <v>61.8</v>
      </c>
      <c r="CK28" s="56">
        <v>64.2</v>
      </c>
      <c r="CL28" s="56">
        <v>63.6</v>
      </c>
      <c r="CM28" s="56">
        <v>63.1</v>
      </c>
      <c r="CN28" s="56">
        <v>61.9</v>
      </c>
      <c r="CO28" s="56">
        <v>64.599999999999994</v>
      </c>
      <c r="CP28" s="56">
        <v>62.2</v>
      </c>
      <c r="CQ28" s="56">
        <v>64.8</v>
      </c>
      <c r="CR28" s="56">
        <v>65.400000000000006</v>
      </c>
      <c r="CS28" s="56">
        <v>73.099999999999994</v>
      </c>
      <c r="CT28" s="56">
        <v>75.5</v>
      </c>
      <c r="CU28" s="56">
        <v>78.599999999999994</v>
      </c>
      <c r="CV28" s="56">
        <v>80.5</v>
      </c>
      <c r="CW28" s="56">
        <v>81.400000000000006</v>
      </c>
      <c r="CX28" s="56">
        <v>76.599999999999994</v>
      </c>
      <c r="CY28" s="56">
        <v>75.7</v>
      </c>
      <c r="CZ28" s="56">
        <v>75.400000000000006</v>
      </c>
      <c r="DA28" s="56">
        <v>74.5</v>
      </c>
      <c r="DB28" s="56">
        <v>72.599999999999994</v>
      </c>
      <c r="DC28" s="56">
        <v>71.2</v>
      </c>
      <c r="DD28" s="56">
        <v>71.7</v>
      </c>
      <c r="DE28" s="56">
        <v>75.900000000000006</v>
      </c>
      <c r="DF28" s="56">
        <v>72</v>
      </c>
      <c r="DG28" s="56">
        <v>79.7</v>
      </c>
      <c r="DH28" s="56">
        <v>79.900000000000006</v>
      </c>
      <c r="DI28" s="56">
        <v>79.7</v>
      </c>
      <c r="DJ28" s="56">
        <v>79.5</v>
      </c>
      <c r="DK28" s="56">
        <v>80.099999999999994</v>
      </c>
      <c r="DL28" s="56">
        <v>81.5</v>
      </c>
      <c r="DM28" s="56">
        <v>81.7</v>
      </c>
      <c r="DN28" s="56">
        <v>81.3</v>
      </c>
      <c r="DO28" s="56">
        <v>81.599999999999994</v>
      </c>
      <c r="DP28" s="56">
        <v>83.8</v>
      </c>
      <c r="DQ28" s="56">
        <v>87</v>
      </c>
      <c r="DR28" s="56">
        <v>86.1</v>
      </c>
      <c r="DS28" s="56">
        <v>88.4</v>
      </c>
      <c r="DT28" s="56">
        <v>87.5</v>
      </c>
      <c r="DU28" s="56">
        <v>87</v>
      </c>
      <c r="DV28" s="56">
        <v>87.1</v>
      </c>
      <c r="DW28" s="56">
        <v>86.3</v>
      </c>
      <c r="DX28" s="56">
        <v>83.6</v>
      </c>
      <c r="DY28" s="56">
        <v>84.1</v>
      </c>
      <c r="DZ28" s="56">
        <v>84.7</v>
      </c>
      <c r="EA28" s="56">
        <v>87.3</v>
      </c>
      <c r="EB28" s="56">
        <v>88</v>
      </c>
      <c r="EC28" s="56">
        <v>87.3</v>
      </c>
      <c r="ED28" s="56">
        <v>90.1</v>
      </c>
      <c r="EE28" s="56">
        <v>90</v>
      </c>
      <c r="EF28" s="56">
        <v>89.6</v>
      </c>
      <c r="EG28" s="56">
        <v>91.1</v>
      </c>
      <c r="EH28" s="56">
        <v>94.1</v>
      </c>
      <c r="EI28" s="56">
        <v>94.8</v>
      </c>
      <c r="EJ28" s="56">
        <v>95.9</v>
      </c>
      <c r="EK28" s="56">
        <v>96.2</v>
      </c>
      <c r="EL28" s="56">
        <v>97.2</v>
      </c>
      <c r="EM28" s="56">
        <v>101.4</v>
      </c>
      <c r="EN28" s="56">
        <v>100.3</v>
      </c>
      <c r="EO28" s="56">
        <v>98.7</v>
      </c>
      <c r="EP28" s="56">
        <v>99.1</v>
      </c>
      <c r="EQ28" s="56">
        <v>99.5</v>
      </c>
      <c r="ER28" s="56">
        <v>100.2</v>
      </c>
      <c r="ES28" s="56">
        <v>98.1</v>
      </c>
      <c r="ET28" s="56">
        <v>93.9</v>
      </c>
      <c r="EU28" s="56">
        <v>93.7</v>
      </c>
      <c r="EV28" s="56">
        <v>95.4</v>
      </c>
      <c r="EW28" s="56">
        <v>95.5</v>
      </c>
      <c r="EX28" s="56">
        <v>93.2</v>
      </c>
      <c r="EY28" s="56">
        <v>95.3</v>
      </c>
      <c r="EZ28" s="56">
        <v>93.7</v>
      </c>
      <c r="FA28" s="56">
        <v>93.7</v>
      </c>
      <c r="FB28" s="56">
        <v>86.7</v>
      </c>
      <c r="FC28" s="56">
        <v>94.3</v>
      </c>
      <c r="FD28" s="56">
        <v>91.4</v>
      </c>
      <c r="FE28" s="56">
        <v>93.2</v>
      </c>
      <c r="FF28" s="56">
        <v>93.1</v>
      </c>
      <c r="FG28" s="56">
        <v>96.4</v>
      </c>
      <c r="FH28" s="56">
        <v>98.9</v>
      </c>
      <c r="FI28" s="56">
        <v>98.7</v>
      </c>
      <c r="FJ28" s="56">
        <v>104.7</v>
      </c>
      <c r="FK28" s="56">
        <v>109.1</v>
      </c>
      <c r="FL28" s="56">
        <v>109.4</v>
      </c>
      <c r="FM28" s="56">
        <v>111.4</v>
      </c>
      <c r="FN28" s="56">
        <v>113.9</v>
      </c>
      <c r="FO28" s="56">
        <v>114.4</v>
      </c>
      <c r="FP28" s="56">
        <v>114.7</v>
      </c>
      <c r="FQ28" s="56">
        <v>117.6</v>
      </c>
      <c r="FR28" s="56">
        <v>122.3</v>
      </c>
      <c r="FS28" s="56">
        <v>124.4</v>
      </c>
      <c r="FT28" s="56">
        <v>126.4</v>
      </c>
      <c r="FU28" s="56">
        <v>128.80000000000001</v>
      </c>
      <c r="FV28" s="56">
        <v>136.69999999999999</v>
      </c>
      <c r="FW28" s="56">
        <v>135.5</v>
      </c>
      <c r="FX28" s="56">
        <v>137.4</v>
      </c>
      <c r="FY28" s="56">
        <v>137.19999999999999</v>
      </c>
      <c r="FZ28" s="56">
        <v>141.19999999999999</v>
      </c>
      <c r="GA28" s="56">
        <v>145.1</v>
      </c>
      <c r="GB28" s="56">
        <v>137.80000000000001</v>
      </c>
      <c r="GC28" s="56">
        <v>143.30000000000001</v>
      </c>
      <c r="GD28" s="56">
        <v>139.5</v>
      </c>
      <c r="GE28" s="56">
        <v>136.6</v>
      </c>
      <c r="GF28" s="56">
        <v>136.6</v>
      </c>
      <c r="GG28" s="56">
        <v>136.4</v>
      </c>
      <c r="GH28" s="56">
        <v>127.6</v>
      </c>
      <c r="GI28" s="56">
        <v>131.69999999999999</v>
      </c>
      <c r="GJ28" s="56">
        <v>131.80000000000001</v>
      </c>
      <c r="GK28" s="56">
        <v>134.69999999999999</v>
      </c>
      <c r="GL28" s="56">
        <v>150.1</v>
      </c>
      <c r="GM28" s="56">
        <v>155.69999999999999</v>
      </c>
      <c r="GN28" s="56">
        <v>163.4</v>
      </c>
      <c r="GO28" s="56">
        <v>184.6</v>
      </c>
      <c r="GP28" s="56">
        <v>173.8</v>
      </c>
      <c r="GQ28" s="56">
        <v>170.4</v>
      </c>
      <c r="GR28" s="56">
        <v>177.8</v>
      </c>
      <c r="GS28" s="56">
        <v>177.7</v>
      </c>
      <c r="GT28" s="56">
        <v>183.2</v>
      </c>
      <c r="GU28" s="56">
        <v>130.4</v>
      </c>
      <c r="GV28" s="56">
        <v>150.1</v>
      </c>
      <c r="GW28" s="56">
        <v>157.80000000000001</v>
      </c>
      <c r="GX28" s="56">
        <v>160.9</v>
      </c>
      <c r="GY28" s="56">
        <v>180.5</v>
      </c>
      <c r="GZ28" s="56">
        <v>182.1</v>
      </c>
      <c r="HA28" s="56">
        <v>191</v>
      </c>
      <c r="HB28" s="56">
        <v>200.9</v>
      </c>
      <c r="HC28">
        <v>202.8</v>
      </c>
      <c r="HD28">
        <v>192.2</v>
      </c>
      <c r="HE28">
        <v>180.9</v>
      </c>
      <c r="HF28">
        <v>177</v>
      </c>
      <c r="HG28">
        <v>175.4</v>
      </c>
      <c r="HH28">
        <v>171.6</v>
      </c>
      <c r="HI28">
        <v>169.6</v>
      </c>
      <c r="HJ28">
        <v>171.5</v>
      </c>
    </row>
    <row r="29" spans="1:218" x14ac:dyDescent="0.35">
      <c r="A29" s="56" t="s">
        <v>2224</v>
      </c>
      <c r="B29" s="56">
        <v>27</v>
      </c>
      <c r="C29" s="56">
        <v>27</v>
      </c>
      <c r="D29" s="56">
        <v>27.9</v>
      </c>
      <c r="E29" s="56">
        <v>26.6</v>
      </c>
      <c r="F29" s="56">
        <v>29.9</v>
      </c>
      <c r="G29" s="56">
        <v>30.7</v>
      </c>
      <c r="H29" s="56">
        <v>29.8</v>
      </c>
      <c r="I29" s="56">
        <v>30.1</v>
      </c>
      <c r="J29" s="56">
        <v>31.8</v>
      </c>
      <c r="K29" s="56">
        <v>32</v>
      </c>
      <c r="L29" s="56">
        <v>33.1</v>
      </c>
      <c r="M29" s="56">
        <v>36.6</v>
      </c>
      <c r="N29" s="56">
        <v>39.299999999999997</v>
      </c>
      <c r="O29" s="56">
        <v>39.4</v>
      </c>
      <c r="P29" s="56">
        <v>37.6</v>
      </c>
      <c r="Q29" s="56">
        <v>39.4</v>
      </c>
      <c r="R29" s="56">
        <v>37.4</v>
      </c>
      <c r="S29" s="56">
        <v>39.299999999999997</v>
      </c>
      <c r="T29" s="56">
        <v>43.5</v>
      </c>
      <c r="U29" s="56">
        <v>38.1</v>
      </c>
      <c r="V29" s="56">
        <v>31.5</v>
      </c>
      <c r="W29" s="56">
        <v>34.200000000000003</v>
      </c>
      <c r="X29" s="56">
        <v>43.2</v>
      </c>
      <c r="Y29" s="56">
        <v>43.9</v>
      </c>
      <c r="Z29" s="56">
        <v>49.9</v>
      </c>
      <c r="AA29" s="56">
        <v>49</v>
      </c>
      <c r="AB29" s="56">
        <v>48.5</v>
      </c>
      <c r="AC29" s="56">
        <v>47.5</v>
      </c>
      <c r="AD29" s="56">
        <v>51</v>
      </c>
      <c r="AE29" s="56">
        <v>55.7</v>
      </c>
      <c r="AF29" s="56">
        <v>57.9</v>
      </c>
      <c r="AG29" s="56">
        <v>58.1</v>
      </c>
      <c r="AH29" s="56">
        <v>54.4</v>
      </c>
      <c r="AI29" s="56">
        <v>66.2</v>
      </c>
      <c r="AJ29" s="56">
        <v>66.7</v>
      </c>
      <c r="AK29" s="56">
        <v>70.3</v>
      </c>
      <c r="AL29" s="56">
        <v>66.599999999999994</v>
      </c>
      <c r="AM29" s="56">
        <v>66.5</v>
      </c>
      <c r="AN29" s="56">
        <v>65.3</v>
      </c>
      <c r="AO29" s="56">
        <v>62.1</v>
      </c>
      <c r="AP29" s="56">
        <v>67</v>
      </c>
      <c r="AQ29" s="56">
        <v>49.8</v>
      </c>
      <c r="AR29" s="56">
        <v>56</v>
      </c>
      <c r="AS29" s="56">
        <v>61.7</v>
      </c>
      <c r="AT29" s="56">
        <v>58.5</v>
      </c>
      <c r="AU29" s="56">
        <v>50.7</v>
      </c>
      <c r="AV29" s="56">
        <v>52.7</v>
      </c>
      <c r="AW29" s="56">
        <v>44.8</v>
      </c>
      <c r="AX29" s="56">
        <v>33.5</v>
      </c>
      <c r="AY29" s="56">
        <v>34.700000000000003</v>
      </c>
      <c r="AZ29" s="56">
        <v>35.4</v>
      </c>
      <c r="BA29" s="56">
        <v>31.7</v>
      </c>
      <c r="BB29" s="56">
        <v>34.299999999999997</v>
      </c>
      <c r="BC29" s="56">
        <v>46.3</v>
      </c>
      <c r="BD29" s="56">
        <v>53.3</v>
      </c>
      <c r="BE29" s="56">
        <v>54.6</v>
      </c>
      <c r="BF29" s="56">
        <v>64.8</v>
      </c>
      <c r="BG29" s="56">
        <v>63.8</v>
      </c>
      <c r="BH29" s="56">
        <v>53.8</v>
      </c>
      <c r="BI29" s="56">
        <v>54.3</v>
      </c>
      <c r="BJ29" s="56">
        <v>57.7</v>
      </c>
      <c r="BK29" s="56">
        <v>56.3</v>
      </c>
      <c r="BL29" s="56">
        <v>60.8</v>
      </c>
      <c r="BM29" s="56">
        <v>59</v>
      </c>
      <c r="BN29" s="56">
        <v>63</v>
      </c>
      <c r="BO29" s="56">
        <v>63.4</v>
      </c>
      <c r="BP29" s="56">
        <v>64.599999999999994</v>
      </c>
      <c r="BQ29" s="56">
        <v>73.099999999999994</v>
      </c>
      <c r="BR29" s="56">
        <v>76</v>
      </c>
      <c r="BS29" s="56">
        <v>87.3</v>
      </c>
      <c r="BT29" s="56">
        <v>91.3</v>
      </c>
      <c r="BU29" s="56">
        <v>87.1</v>
      </c>
      <c r="BV29" s="56">
        <v>84.5</v>
      </c>
      <c r="BW29" s="56">
        <v>90</v>
      </c>
      <c r="BX29" s="56">
        <v>97.8</v>
      </c>
      <c r="BY29" s="56">
        <v>102.7</v>
      </c>
      <c r="BZ29" s="56">
        <v>104.9</v>
      </c>
      <c r="CA29" s="56">
        <v>94.4</v>
      </c>
      <c r="CB29" s="56">
        <v>91.6</v>
      </c>
      <c r="CC29" s="56">
        <v>91.4</v>
      </c>
      <c r="CD29" s="56">
        <v>91.1</v>
      </c>
      <c r="CE29" s="56">
        <v>94.7</v>
      </c>
      <c r="CF29" s="56">
        <v>97</v>
      </c>
      <c r="CG29" s="56">
        <v>95.4</v>
      </c>
      <c r="CH29" s="56">
        <v>91.5</v>
      </c>
      <c r="CI29" s="56">
        <v>87.5</v>
      </c>
      <c r="CJ29" s="56">
        <v>88.2</v>
      </c>
      <c r="CK29" s="56">
        <v>89.5</v>
      </c>
      <c r="CL29" s="56">
        <v>99.8</v>
      </c>
      <c r="CM29" s="56">
        <v>102</v>
      </c>
      <c r="CN29" s="56">
        <v>98.9</v>
      </c>
      <c r="CO29" s="56">
        <v>107.2</v>
      </c>
      <c r="CP29" s="56">
        <v>111.5</v>
      </c>
      <c r="CQ29" s="56">
        <v>121.9</v>
      </c>
      <c r="CR29" s="56">
        <v>115.5</v>
      </c>
      <c r="CS29" s="56">
        <v>141</v>
      </c>
      <c r="CT29" s="56">
        <v>122.4</v>
      </c>
      <c r="CU29" s="56">
        <v>129.30000000000001</v>
      </c>
      <c r="CV29" s="56">
        <v>142.4</v>
      </c>
      <c r="CW29" s="56">
        <v>150.9</v>
      </c>
      <c r="CX29" s="56">
        <v>155.30000000000001</v>
      </c>
      <c r="CY29" s="56">
        <v>153.1</v>
      </c>
      <c r="CZ29" s="56">
        <v>159.1</v>
      </c>
      <c r="DA29" s="56">
        <v>156.19999999999999</v>
      </c>
      <c r="DB29" s="56">
        <v>162.4</v>
      </c>
      <c r="DC29" s="56">
        <v>171.9</v>
      </c>
      <c r="DD29" s="56">
        <v>172.6</v>
      </c>
      <c r="DE29" s="56">
        <v>175.3</v>
      </c>
      <c r="DF29" s="56">
        <v>176.9</v>
      </c>
      <c r="DG29" s="56">
        <v>180.5</v>
      </c>
      <c r="DH29" s="56">
        <v>190.5</v>
      </c>
      <c r="DI29" s="56">
        <v>181.5</v>
      </c>
      <c r="DJ29" s="56">
        <v>178.8</v>
      </c>
      <c r="DK29" s="56">
        <v>175.4</v>
      </c>
      <c r="DL29" s="56">
        <v>180.1</v>
      </c>
      <c r="DM29" s="56">
        <v>176.4</v>
      </c>
      <c r="DN29" s="56">
        <v>186</v>
      </c>
      <c r="DO29" s="56">
        <v>184.4</v>
      </c>
      <c r="DP29" s="56">
        <v>187.7</v>
      </c>
      <c r="DQ29" s="56">
        <v>192.1</v>
      </c>
      <c r="DR29" s="56">
        <v>202.2</v>
      </c>
      <c r="DS29" s="56">
        <v>201.1</v>
      </c>
      <c r="DT29" s="56">
        <v>185.6</v>
      </c>
      <c r="DU29" s="56">
        <v>187.6</v>
      </c>
      <c r="DV29" s="56">
        <v>154.9</v>
      </c>
      <c r="DW29" s="56">
        <v>148.69999999999999</v>
      </c>
      <c r="DX29" s="56">
        <v>130.9</v>
      </c>
      <c r="DY29" s="56">
        <v>115.8</v>
      </c>
      <c r="DZ29" s="56">
        <v>115.5</v>
      </c>
      <c r="EA29" s="56">
        <v>119.9</v>
      </c>
      <c r="EB29" s="56">
        <v>126.5</v>
      </c>
      <c r="EC29" s="56">
        <v>142</v>
      </c>
      <c r="ED29" s="56">
        <v>161.5</v>
      </c>
      <c r="EE29" s="56">
        <v>160.9</v>
      </c>
      <c r="EF29" s="56">
        <v>180.3</v>
      </c>
      <c r="EG29" s="56">
        <v>200.4</v>
      </c>
      <c r="EH29" s="56">
        <v>209.2</v>
      </c>
      <c r="EI29" s="56">
        <v>226</v>
      </c>
      <c r="EJ29" s="56">
        <v>244.5</v>
      </c>
      <c r="EK29" s="56">
        <v>249.2</v>
      </c>
      <c r="EL29" s="56">
        <v>315.3</v>
      </c>
      <c r="EM29" s="56">
        <v>306.10000000000002</v>
      </c>
      <c r="EN29" s="56">
        <v>311.89999999999998</v>
      </c>
      <c r="EO29" s="56">
        <v>344.7</v>
      </c>
      <c r="EP29" s="56">
        <v>357.2</v>
      </c>
      <c r="EQ29" s="56">
        <v>367.3</v>
      </c>
      <c r="ER29" s="56">
        <v>384.8</v>
      </c>
      <c r="ES29" s="56">
        <v>354.6</v>
      </c>
      <c r="ET29" s="56">
        <v>354.5</v>
      </c>
      <c r="EU29" s="56">
        <v>347.7</v>
      </c>
      <c r="EV29" s="56">
        <v>314.60000000000002</v>
      </c>
      <c r="EW29" s="56">
        <v>296.2</v>
      </c>
      <c r="EX29" s="56">
        <v>241.7</v>
      </c>
      <c r="EY29" s="56">
        <v>227.1</v>
      </c>
      <c r="EZ29" s="56">
        <v>211.5</v>
      </c>
      <c r="FA29" s="56">
        <v>127.5</v>
      </c>
      <c r="FB29" s="56">
        <v>122.7</v>
      </c>
      <c r="FC29" s="56">
        <v>138.9</v>
      </c>
      <c r="FD29" s="56">
        <v>159.4</v>
      </c>
      <c r="FE29" s="56">
        <v>190.8</v>
      </c>
      <c r="FF29" s="56">
        <v>204.7</v>
      </c>
      <c r="FG29" s="56">
        <v>212.2</v>
      </c>
      <c r="FH29" s="56">
        <v>227.1</v>
      </c>
      <c r="FI29" s="56">
        <v>233.6</v>
      </c>
      <c r="FJ29" s="56">
        <v>228.9</v>
      </c>
      <c r="FK29" s="56">
        <v>227.2</v>
      </c>
      <c r="FL29" s="56">
        <v>201.7</v>
      </c>
      <c r="FM29" s="56">
        <v>238</v>
      </c>
      <c r="FN29" s="56">
        <v>261.5</v>
      </c>
      <c r="FO29" s="56">
        <v>275.5</v>
      </c>
      <c r="FP29" s="56">
        <v>280.8</v>
      </c>
      <c r="FQ29" s="56">
        <v>280.89999999999998</v>
      </c>
      <c r="FR29" s="56">
        <v>298</v>
      </c>
      <c r="FS29" s="56">
        <v>292.89999999999998</v>
      </c>
      <c r="FT29" s="56">
        <v>300.60000000000002</v>
      </c>
      <c r="FU29" s="56">
        <v>302.2</v>
      </c>
      <c r="FV29" s="56">
        <v>337.4</v>
      </c>
      <c r="FW29" s="56">
        <v>359</v>
      </c>
      <c r="FX29" s="56">
        <v>329.6</v>
      </c>
      <c r="FY29" s="56">
        <v>332.6</v>
      </c>
      <c r="FZ29" s="56">
        <v>345.4</v>
      </c>
      <c r="GA29" s="56">
        <v>350.7</v>
      </c>
      <c r="GB29" s="56">
        <v>324.7</v>
      </c>
      <c r="GC29" s="56">
        <v>295.60000000000002</v>
      </c>
      <c r="GD29" s="56">
        <v>310.8</v>
      </c>
      <c r="GE29" s="56">
        <v>314.7</v>
      </c>
      <c r="GF29" s="56">
        <v>322.60000000000002</v>
      </c>
      <c r="GG29" s="56">
        <v>299.2</v>
      </c>
      <c r="GH29" s="56">
        <v>211.8</v>
      </c>
      <c r="GI29" s="56">
        <v>225.7</v>
      </c>
      <c r="GJ29" s="56">
        <v>241.5</v>
      </c>
      <c r="GK29" s="56">
        <v>242.4</v>
      </c>
      <c r="GL29" s="56">
        <v>215.5</v>
      </c>
      <c r="GM29" s="56">
        <v>229.1</v>
      </c>
      <c r="GN29" s="56">
        <v>225.5</v>
      </c>
      <c r="GO29" s="56">
        <v>229.7</v>
      </c>
      <c r="GP29" s="56">
        <v>200.1</v>
      </c>
      <c r="GQ29" s="56">
        <v>210.4</v>
      </c>
      <c r="GR29" s="56">
        <v>198.2</v>
      </c>
      <c r="GS29" s="56">
        <v>233.1</v>
      </c>
      <c r="GT29" s="56">
        <v>189.6</v>
      </c>
      <c r="GU29" s="56">
        <v>199.8</v>
      </c>
      <c r="GV29" s="56">
        <v>246.8</v>
      </c>
      <c r="GW29" s="56">
        <v>250.9</v>
      </c>
      <c r="GX29" s="56">
        <v>252.3</v>
      </c>
      <c r="GY29" s="56">
        <v>283.60000000000002</v>
      </c>
      <c r="GZ29" s="56">
        <v>279.8</v>
      </c>
      <c r="HA29" s="56">
        <v>303.89999999999998</v>
      </c>
      <c r="HB29">
        <v>329.8</v>
      </c>
      <c r="HC29">
        <v>388.8</v>
      </c>
      <c r="HD29">
        <v>383.6</v>
      </c>
      <c r="HE29">
        <v>373.6</v>
      </c>
      <c r="HF29">
        <v>388.6</v>
      </c>
      <c r="HG29">
        <v>403.3</v>
      </c>
      <c r="HH29">
        <v>418</v>
      </c>
      <c r="HI29">
        <v>429.4</v>
      </c>
      <c r="HJ29">
        <v>453.8</v>
      </c>
    </row>
    <row r="30" spans="1:218" x14ac:dyDescent="0.35">
      <c r="A30" s="56" t="s">
        <v>2225</v>
      </c>
      <c r="B30" s="56">
        <v>45.1</v>
      </c>
      <c r="C30" s="56">
        <v>45.4</v>
      </c>
      <c r="D30" s="56">
        <v>45.9</v>
      </c>
      <c r="E30" s="56">
        <v>45.6</v>
      </c>
      <c r="F30" s="56">
        <v>49.6</v>
      </c>
      <c r="G30" s="56">
        <v>50.2</v>
      </c>
      <c r="H30" s="56">
        <v>50.5</v>
      </c>
      <c r="I30" s="56">
        <v>51</v>
      </c>
      <c r="J30" s="56">
        <v>57.3</v>
      </c>
      <c r="K30" s="56">
        <v>57.9</v>
      </c>
      <c r="L30" s="56">
        <v>58.5</v>
      </c>
      <c r="M30" s="56">
        <v>59.4</v>
      </c>
      <c r="N30" s="56">
        <v>72.7</v>
      </c>
      <c r="O30" s="56">
        <v>73.8</v>
      </c>
      <c r="P30" s="56">
        <v>75.099999999999994</v>
      </c>
      <c r="Q30" s="56">
        <v>76.599999999999994</v>
      </c>
      <c r="R30" s="56">
        <v>82.1</v>
      </c>
      <c r="S30" s="56">
        <v>83.6</v>
      </c>
      <c r="T30" s="56">
        <v>85.2</v>
      </c>
      <c r="U30" s="56">
        <v>85.4</v>
      </c>
      <c r="V30" s="56">
        <v>86.5</v>
      </c>
      <c r="W30" s="56">
        <v>86.8</v>
      </c>
      <c r="X30" s="56">
        <v>88.5</v>
      </c>
      <c r="Y30" s="56">
        <v>90.5</v>
      </c>
      <c r="Z30" s="56">
        <v>97.5</v>
      </c>
      <c r="AA30" s="56">
        <v>98.9</v>
      </c>
      <c r="AB30" s="56">
        <v>100.6</v>
      </c>
      <c r="AC30" s="56">
        <v>102.1</v>
      </c>
      <c r="AD30" s="56">
        <v>107.5</v>
      </c>
      <c r="AE30" s="56">
        <v>110.1</v>
      </c>
      <c r="AF30" s="56">
        <v>112.2</v>
      </c>
      <c r="AG30" s="56">
        <v>114.4</v>
      </c>
      <c r="AH30" s="56">
        <v>121.6</v>
      </c>
      <c r="AI30" s="56">
        <v>126.5</v>
      </c>
      <c r="AJ30" s="56">
        <v>130.80000000000001</v>
      </c>
      <c r="AK30" s="56">
        <v>136</v>
      </c>
      <c r="AL30" s="56">
        <v>143.1</v>
      </c>
      <c r="AM30" s="56">
        <v>147.4</v>
      </c>
      <c r="AN30" s="56">
        <v>152.4</v>
      </c>
      <c r="AO30" s="56">
        <v>156.30000000000001</v>
      </c>
      <c r="AP30" s="56">
        <v>159.30000000000001</v>
      </c>
      <c r="AQ30" s="56">
        <v>161</v>
      </c>
      <c r="AR30" s="56">
        <v>164.2</v>
      </c>
      <c r="AS30" s="56">
        <v>170.1</v>
      </c>
      <c r="AT30" s="56">
        <v>187.3</v>
      </c>
      <c r="AU30" s="56">
        <v>190.9</v>
      </c>
      <c r="AV30" s="56">
        <v>195.6</v>
      </c>
      <c r="AW30" s="56">
        <v>198.2</v>
      </c>
      <c r="AX30" s="56">
        <v>203.2</v>
      </c>
      <c r="AY30" s="56">
        <v>205.2</v>
      </c>
      <c r="AZ30" s="56">
        <v>207.5</v>
      </c>
      <c r="BA30" s="56">
        <v>208.3</v>
      </c>
      <c r="BB30" s="56">
        <v>216.1</v>
      </c>
      <c r="BC30" s="56">
        <v>220.2</v>
      </c>
      <c r="BD30" s="56">
        <v>224.8</v>
      </c>
      <c r="BE30" s="56">
        <v>231.2</v>
      </c>
      <c r="BF30" s="56">
        <v>246.3</v>
      </c>
      <c r="BG30" s="56">
        <v>252.1</v>
      </c>
      <c r="BH30" s="56">
        <v>257.10000000000002</v>
      </c>
      <c r="BI30" s="56">
        <v>261.10000000000002</v>
      </c>
      <c r="BJ30" s="56">
        <v>271</v>
      </c>
      <c r="BK30" s="56">
        <v>275</v>
      </c>
      <c r="BL30" s="56">
        <v>279.7</v>
      </c>
      <c r="BM30" s="56">
        <v>285.89999999999998</v>
      </c>
      <c r="BN30" s="56">
        <v>292.7</v>
      </c>
      <c r="BO30" s="56">
        <v>296.10000000000002</v>
      </c>
      <c r="BP30" s="56">
        <v>300.8</v>
      </c>
      <c r="BQ30" s="56">
        <v>306.2</v>
      </c>
      <c r="BR30" s="56">
        <v>310.7</v>
      </c>
      <c r="BS30" s="56">
        <v>314.5</v>
      </c>
      <c r="BT30" s="56">
        <v>319</v>
      </c>
      <c r="BU30" s="56">
        <v>325.60000000000002</v>
      </c>
      <c r="BV30" s="56">
        <v>344.7</v>
      </c>
      <c r="BW30" s="56">
        <v>351.7</v>
      </c>
      <c r="BX30" s="56">
        <v>357.7</v>
      </c>
      <c r="BY30" s="56">
        <v>365</v>
      </c>
      <c r="BZ30" s="56">
        <v>370.9</v>
      </c>
      <c r="CA30" s="56">
        <v>375.4</v>
      </c>
      <c r="CB30" s="56">
        <v>379.8</v>
      </c>
      <c r="CC30" s="56">
        <v>385.6</v>
      </c>
      <c r="CD30" s="56">
        <v>394</v>
      </c>
      <c r="CE30" s="56">
        <v>399</v>
      </c>
      <c r="CF30" s="56">
        <v>406.4</v>
      </c>
      <c r="CG30" s="56">
        <v>408.9</v>
      </c>
      <c r="CH30" s="56">
        <v>412</v>
      </c>
      <c r="CI30" s="56">
        <v>418.3</v>
      </c>
      <c r="CJ30" s="56">
        <v>423.7</v>
      </c>
      <c r="CK30" s="56">
        <v>428.4</v>
      </c>
      <c r="CL30" s="56">
        <v>439.9</v>
      </c>
      <c r="CM30" s="56">
        <v>445.1</v>
      </c>
      <c r="CN30" s="56">
        <v>447.9</v>
      </c>
      <c r="CO30" s="56">
        <v>442.9</v>
      </c>
      <c r="CP30" s="56">
        <v>462.1</v>
      </c>
      <c r="CQ30" s="56">
        <v>462.4</v>
      </c>
      <c r="CR30" s="56">
        <v>466.8</v>
      </c>
      <c r="CS30" s="56">
        <v>470.8</v>
      </c>
      <c r="CT30" s="56">
        <v>485.8</v>
      </c>
      <c r="CU30" s="56">
        <v>493</v>
      </c>
      <c r="CV30" s="56">
        <v>499</v>
      </c>
      <c r="CW30" s="56">
        <v>506.8</v>
      </c>
      <c r="CX30" s="56">
        <v>514.20000000000005</v>
      </c>
      <c r="CY30" s="56">
        <v>519</v>
      </c>
      <c r="CZ30" s="56">
        <v>524.6</v>
      </c>
      <c r="DA30" s="56">
        <v>529.9</v>
      </c>
      <c r="DB30" s="56">
        <v>532.9</v>
      </c>
      <c r="DC30" s="56">
        <v>541.70000000000005</v>
      </c>
      <c r="DD30" s="56">
        <v>549.5</v>
      </c>
      <c r="DE30" s="56">
        <v>557.5</v>
      </c>
      <c r="DF30" s="56">
        <v>566</v>
      </c>
      <c r="DG30" s="56">
        <v>574</v>
      </c>
      <c r="DH30" s="56">
        <v>582.9</v>
      </c>
      <c r="DI30" s="56">
        <v>594.79999999999995</v>
      </c>
      <c r="DJ30" s="56">
        <v>602.79999999999995</v>
      </c>
      <c r="DK30" s="56">
        <v>612.29999999999995</v>
      </c>
      <c r="DL30" s="56">
        <v>622.20000000000005</v>
      </c>
      <c r="DM30" s="56">
        <v>632.20000000000005</v>
      </c>
      <c r="DN30" s="56">
        <v>643.5</v>
      </c>
      <c r="DO30" s="56">
        <v>649.29999999999995</v>
      </c>
      <c r="DP30" s="56">
        <v>656.7</v>
      </c>
      <c r="DQ30" s="56">
        <v>669.8</v>
      </c>
      <c r="DR30" s="56">
        <v>689.4</v>
      </c>
      <c r="DS30" s="56">
        <v>691.5</v>
      </c>
      <c r="DT30" s="56">
        <v>704.2</v>
      </c>
      <c r="DU30" s="56">
        <v>709.2</v>
      </c>
      <c r="DV30" s="56">
        <v>723.4</v>
      </c>
      <c r="DW30" s="56">
        <v>723.4</v>
      </c>
      <c r="DX30" s="56">
        <v>722</v>
      </c>
      <c r="DY30" s="56">
        <v>724.2</v>
      </c>
      <c r="DZ30" s="56">
        <v>732</v>
      </c>
      <c r="EA30" s="56">
        <v>739.9</v>
      </c>
      <c r="EB30" s="56">
        <v>742</v>
      </c>
      <c r="EC30" s="56">
        <v>743.8</v>
      </c>
      <c r="ED30" s="56">
        <v>749.1</v>
      </c>
      <c r="EE30" s="56">
        <v>758.6</v>
      </c>
      <c r="EF30" s="56">
        <v>767.2</v>
      </c>
      <c r="EG30" s="56">
        <v>778.2</v>
      </c>
      <c r="EH30" s="56">
        <v>790</v>
      </c>
      <c r="EI30" s="56">
        <v>803.5</v>
      </c>
      <c r="EJ30" s="56">
        <v>818.4</v>
      </c>
      <c r="EK30" s="56">
        <v>824</v>
      </c>
      <c r="EL30" s="56">
        <v>837.4</v>
      </c>
      <c r="EM30" s="56">
        <v>846</v>
      </c>
      <c r="EN30" s="56">
        <v>859.8</v>
      </c>
      <c r="EO30" s="56">
        <v>870.4</v>
      </c>
      <c r="EP30" s="56">
        <v>895.1</v>
      </c>
      <c r="EQ30" s="56">
        <v>900.8</v>
      </c>
      <c r="ER30" s="56">
        <v>906.2</v>
      </c>
      <c r="ES30" s="56">
        <v>920.6</v>
      </c>
      <c r="ET30" s="56">
        <v>940.9</v>
      </c>
      <c r="EU30" s="56">
        <v>943.1</v>
      </c>
      <c r="EV30" s="56">
        <v>946.7</v>
      </c>
      <c r="EW30" s="56">
        <v>958.4</v>
      </c>
      <c r="EX30" s="56">
        <v>970.2</v>
      </c>
      <c r="EY30" s="56">
        <v>972.3</v>
      </c>
      <c r="EZ30" s="56">
        <v>977.6</v>
      </c>
      <c r="FA30" s="56">
        <v>977.8</v>
      </c>
      <c r="FB30" s="56">
        <v>946</v>
      </c>
      <c r="FC30" s="56">
        <v>952.6</v>
      </c>
      <c r="FD30" s="56">
        <v>950.3</v>
      </c>
      <c r="FE30" s="56">
        <v>953.9</v>
      </c>
      <c r="FF30" s="56">
        <v>960.6</v>
      </c>
      <c r="FG30" s="56">
        <v>971.7</v>
      </c>
      <c r="FH30" s="56">
        <v>974.6</v>
      </c>
      <c r="FI30" s="56">
        <v>976.6</v>
      </c>
      <c r="FJ30" s="56">
        <v>898.3</v>
      </c>
      <c r="FK30" s="56">
        <v>900.9</v>
      </c>
      <c r="FL30" s="56">
        <v>909.4</v>
      </c>
      <c r="FM30" s="56">
        <v>904.2</v>
      </c>
      <c r="FN30" s="56">
        <v>927.5</v>
      </c>
      <c r="FO30" s="56">
        <v>932.2</v>
      </c>
      <c r="FP30" s="56">
        <v>935.2</v>
      </c>
      <c r="FQ30" s="56">
        <v>957</v>
      </c>
      <c r="FR30" s="56">
        <v>1078.5999999999999</v>
      </c>
      <c r="FS30" s="56">
        <v>1090.7</v>
      </c>
      <c r="FT30" s="56">
        <v>1093.5999999999999</v>
      </c>
      <c r="FU30" s="56">
        <v>1104.2</v>
      </c>
      <c r="FV30" s="56">
        <v>1126.5999999999999</v>
      </c>
      <c r="FW30" s="56">
        <v>1131</v>
      </c>
      <c r="FX30" s="56">
        <v>1142.5</v>
      </c>
      <c r="FY30" s="56">
        <v>1160.0999999999999</v>
      </c>
      <c r="FZ30" s="56">
        <v>1175.2</v>
      </c>
      <c r="GA30" s="56">
        <v>1187</v>
      </c>
      <c r="GB30" s="56">
        <v>1196.8</v>
      </c>
      <c r="GC30" s="56">
        <v>1204.0999999999999</v>
      </c>
      <c r="GD30" s="56">
        <v>1211</v>
      </c>
      <c r="GE30" s="56">
        <v>1217</v>
      </c>
      <c r="GF30" s="56">
        <v>1228</v>
      </c>
      <c r="GG30" s="56">
        <v>1241.5</v>
      </c>
      <c r="GH30" s="56">
        <v>1262.7</v>
      </c>
      <c r="GI30" s="56">
        <v>1275.0999999999999</v>
      </c>
      <c r="GJ30" s="56">
        <v>1290.3</v>
      </c>
      <c r="GK30" s="56">
        <v>1309.0999999999999</v>
      </c>
      <c r="GL30" s="56">
        <v>1328.9</v>
      </c>
      <c r="GM30" s="56">
        <v>1338.7</v>
      </c>
      <c r="GN30" s="56">
        <v>1355.2</v>
      </c>
      <c r="GO30" s="56">
        <v>1363.7</v>
      </c>
      <c r="GP30" s="56">
        <v>1395.9</v>
      </c>
      <c r="GQ30" s="56">
        <v>1403.3</v>
      </c>
      <c r="GR30" s="56">
        <v>1410</v>
      </c>
      <c r="GS30" s="56">
        <v>1427.9</v>
      </c>
      <c r="GT30" s="56">
        <v>1453.3</v>
      </c>
      <c r="GU30" s="56">
        <v>1383.5</v>
      </c>
      <c r="GV30" s="56">
        <v>1432.5</v>
      </c>
      <c r="GW30" s="56">
        <v>1469</v>
      </c>
      <c r="GX30" s="56">
        <v>1484.6</v>
      </c>
      <c r="GY30" s="56">
        <v>1519.7</v>
      </c>
      <c r="GZ30" s="56">
        <v>1556.8</v>
      </c>
      <c r="HA30" s="56">
        <v>1603.4</v>
      </c>
      <c r="HB30" s="56">
        <v>1645.9</v>
      </c>
      <c r="HC30">
        <v>1667.8</v>
      </c>
      <c r="HD30">
        <v>1709.6</v>
      </c>
      <c r="HE30">
        <v>1716.7</v>
      </c>
      <c r="HF30">
        <v>1758.5</v>
      </c>
      <c r="HG30">
        <v>1778.7</v>
      </c>
      <c r="HH30">
        <v>1801.4</v>
      </c>
      <c r="HI30">
        <v>1808.9</v>
      </c>
      <c r="HJ30">
        <v>1845.3</v>
      </c>
    </row>
    <row r="31" spans="1:218" x14ac:dyDescent="0.35">
      <c r="A31" s="56" t="s">
        <v>2226</v>
      </c>
      <c r="B31" s="56">
        <v>48.3</v>
      </c>
      <c r="C31" s="56">
        <v>57.5</v>
      </c>
      <c r="D31" s="56">
        <v>56.9</v>
      </c>
      <c r="E31" s="56">
        <v>59.8</v>
      </c>
      <c r="F31" s="56">
        <v>61</v>
      </c>
      <c r="G31" s="56">
        <v>67.900000000000006</v>
      </c>
      <c r="H31" s="56">
        <v>67.2</v>
      </c>
      <c r="I31" s="56">
        <v>68.2</v>
      </c>
      <c r="J31" s="56">
        <v>70.2</v>
      </c>
      <c r="K31" s="56">
        <v>70.2</v>
      </c>
      <c r="L31" s="56">
        <v>70.3</v>
      </c>
      <c r="M31" s="56">
        <v>80.599999999999994</v>
      </c>
      <c r="N31" s="56">
        <v>82.2</v>
      </c>
      <c r="O31" s="56">
        <v>83.6</v>
      </c>
      <c r="P31" s="56">
        <v>85.1</v>
      </c>
      <c r="Q31" s="56">
        <v>87.3</v>
      </c>
      <c r="R31" s="56">
        <v>94.1</v>
      </c>
      <c r="S31" s="56">
        <v>100.7</v>
      </c>
      <c r="T31" s="56">
        <v>106.4</v>
      </c>
      <c r="U31" s="56">
        <v>112</v>
      </c>
      <c r="V31" s="56">
        <v>120.5</v>
      </c>
      <c r="W31" s="56">
        <v>134.19999999999999</v>
      </c>
      <c r="X31" s="56">
        <v>136.80000000000001</v>
      </c>
      <c r="Y31" s="56">
        <v>137.80000000000001</v>
      </c>
      <c r="Z31" s="56">
        <v>141.30000000000001</v>
      </c>
      <c r="AA31" s="56">
        <v>139.6</v>
      </c>
      <c r="AB31" s="56">
        <v>145.4</v>
      </c>
      <c r="AC31" s="56">
        <v>147.69999999999999</v>
      </c>
      <c r="AD31" s="56">
        <v>149.80000000000001</v>
      </c>
      <c r="AE31" s="56">
        <v>148.9</v>
      </c>
      <c r="AF31" s="56">
        <v>154.4</v>
      </c>
      <c r="AG31" s="56">
        <v>156.6</v>
      </c>
      <c r="AH31" s="56">
        <v>158.5</v>
      </c>
      <c r="AI31" s="56">
        <v>158</v>
      </c>
      <c r="AJ31" s="56">
        <v>165.9</v>
      </c>
      <c r="AK31" s="56">
        <v>168.3</v>
      </c>
      <c r="AL31" s="56">
        <v>172.5</v>
      </c>
      <c r="AM31" s="56">
        <v>175.7</v>
      </c>
      <c r="AN31" s="56">
        <v>190.1</v>
      </c>
      <c r="AO31" s="56">
        <v>193.8</v>
      </c>
      <c r="AP31" s="56">
        <v>202.1</v>
      </c>
      <c r="AQ31" s="56">
        <v>207.3</v>
      </c>
      <c r="AR31" s="56">
        <v>235.4</v>
      </c>
      <c r="AS31" s="56">
        <v>236.4</v>
      </c>
      <c r="AT31" s="56">
        <v>240.5</v>
      </c>
      <c r="AU31" s="56">
        <v>241.6</v>
      </c>
      <c r="AV31" s="56">
        <v>259.3</v>
      </c>
      <c r="AW31" s="56">
        <v>261.5</v>
      </c>
      <c r="AX31" s="56">
        <v>265.2</v>
      </c>
      <c r="AY31" s="56">
        <v>272.2</v>
      </c>
      <c r="AZ31" s="56">
        <v>287.5</v>
      </c>
      <c r="BA31" s="56">
        <v>302.60000000000002</v>
      </c>
      <c r="BB31" s="56">
        <v>302.2</v>
      </c>
      <c r="BC31" s="56">
        <v>307.39999999999998</v>
      </c>
      <c r="BD31" s="56">
        <v>301.3</v>
      </c>
      <c r="BE31" s="56">
        <v>303.5</v>
      </c>
      <c r="BF31" s="56">
        <v>306.39999999999998</v>
      </c>
      <c r="BG31" s="56">
        <v>308.39999999999998</v>
      </c>
      <c r="BH31" s="56">
        <v>309.10000000000002</v>
      </c>
      <c r="BI31" s="56">
        <v>315.10000000000002</v>
      </c>
      <c r="BJ31" s="56">
        <v>323.2</v>
      </c>
      <c r="BK31" s="56">
        <v>324.2</v>
      </c>
      <c r="BL31" s="56">
        <v>327.5</v>
      </c>
      <c r="BM31" s="56">
        <v>328.5</v>
      </c>
      <c r="BN31" s="56">
        <v>338.3</v>
      </c>
      <c r="BO31" s="56">
        <v>342</v>
      </c>
      <c r="BP31" s="56">
        <v>347.8</v>
      </c>
      <c r="BQ31" s="56">
        <v>348.9</v>
      </c>
      <c r="BR31" s="56">
        <v>353.6</v>
      </c>
      <c r="BS31" s="56">
        <v>357.6</v>
      </c>
      <c r="BT31" s="56">
        <v>357.9</v>
      </c>
      <c r="BU31" s="56">
        <v>359.7</v>
      </c>
      <c r="BV31" s="56">
        <v>375</v>
      </c>
      <c r="BW31" s="56">
        <v>376.1</v>
      </c>
      <c r="BX31" s="56">
        <v>379.3</v>
      </c>
      <c r="BY31" s="56">
        <v>383</v>
      </c>
      <c r="BZ31" s="56">
        <v>403.9</v>
      </c>
      <c r="CA31" s="56">
        <v>408.3</v>
      </c>
      <c r="CB31" s="56">
        <v>413.7</v>
      </c>
      <c r="CC31" s="56">
        <v>420.9</v>
      </c>
      <c r="CD31" s="56">
        <v>437.5</v>
      </c>
      <c r="CE31" s="56">
        <v>443.4</v>
      </c>
      <c r="CF31" s="56">
        <v>447.9</v>
      </c>
      <c r="CG31" s="56">
        <v>459.4</v>
      </c>
      <c r="CH31" s="56">
        <v>481</v>
      </c>
      <c r="CI31" s="56">
        <v>491.3</v>
      </c>
      <c r="CJ31" s="56">
        <v>495.1</v>
      </c>
      <c r="CK31" s="56">
        <v>508.5</v>
      </c>
      <c r="CL31" s="56">
        <v>540</v>
      </c>
      <c r="CM31" s="56">
        <v>550.5</v>
      </c>
      <c r="CN31" s="56">
        <v>555.5</v>
      </c>
      <c r="CO31" s="56">
        <v>561.1</v>
      </c>
      <c r="CP31" s="56">
        <v>577.6</v>
      </c>
      <c r="CQ31" s="56">
        <v>582</v>
      </c>
      <c r="CR31" s="56">
        <v>585.70000000000005</v>
      </c>
      <c r="CS31" s="56">
        <v>589.6</v>
      </c>
      <c r="CT31" s="56">
        <v>601.79999999999995</v>
      </c>
      <c r="CU31" s="56">
        <v>606.20000000000005</v>
      </c>
      <c r="CV31" s="56">
        <v>610</v>
      </c>
      <c r="CW31" s="56">
        <v>618.1</v>
      </c>
      <c r="CX31" s="56">
        <v>637.6</v>
      </c>
      <c r="CY31" s="56">
        <v>644.9</v>
      </c>
      <c r="CZ31" s="56">
        <v>650</v>
      </c>
      <c r="DA31" s="56">
        <v>655.8</v>
      </c>
      <c r="DB31" s="56">
        <v>675</v>
      </c>
      <c r="DC31" s="56">
        <v>680.7</v>
      </c>
      <c r="DD31" s="56">
        <v>683.7</v>
      </c>
      <c r="DE31" s="56">
        <v>688.9</v>
      </c>
      <c r="DF31" s="56">
        <v>704.5</v>
      </c>
      <c r="DG31" s="56">
        <v>707.5</v>
      </c>
      <c r="DH31" s="56">
        <v>709.2</v>
      </c>
      <c r="DI31" s="56">
        <v>710.2</v>
      </c>
      <c r="DJ31" s="56">
        <v>719.7</v>
      </c>
      <c r="DK31" s="56">
        <v>720.7</v>
      </c>
      <c r="DL31" s="56">
        <v>723.5</v>
      </c>
      <c r="DM31" s="56">
        <v>724.7</v>
      </c>
      <c r="DN31" s="56">
        <v>735.5</v>
      </c>
      <c r="DO31" s="56">
        <v>738.6</v>
      </c>
      <c r="DP31" s="56">
        <v>741.1</v>
      </c>
      <c r="DQ31" s="56">
        <v>744.2</v>
      </c>
      <c r="DR31" s="56">
        <v>756.8</v>
      </c>
      <c r="DS31" s="56">
        <v>772.9</v>
      </c>
      <c r="DT31" s="56">
        <v>777.5</v>
      </c>
      <c r="DU31" s="56">
        <v>786.5</v>
      </c>
      <c r="DV31" s="56">
        <v>817.3</v>
      </c>
      <c r="DW31" s="56">
        <v>831</v>
      </c>
      <c r="DX31" s="56">
        <v>849.4</v>
      </c>
      <c r="DY31" s="56">
        <v>865.2</v>
      </c>
      <c r="DZ31" s="56">
        <v>895</v>
      </c>
      <c r="EA31" s="56">
        <v>921</v>
      </c>
      <c r="EB31" s="56">
        <v>925.2</v>
      </c>
      <c r="EC31" s="56">
        <v>930.8</v>
      </c>
      <c r="ED31" s="56">
        <v>947.7</v>
      </c>
      <c r="EE31" s="56">
        <v>964.3</v>
      </c>
      <c r="EF31" s="56">
        <v>973.7</v>
      </c>
      <c r="EG31" s="56">
        <v>984.3</v>
      </c>
      <c r="EH31" s="56">
        <v>1003.6</v>
      </c>
      <c r="EI31" s="56">
        <v>1013.5</v>
      </c>
      <c r="EJ31" s="56">
        <v>1024.0999999999999</v>
      </c>
      <c r="EK31" s="56">
        <v>1036.9000000000001</v>
      </c>
      <c r="EL31" s="56">
        <v>1065.3</v>
      </c>
      <c r="EM31" s="56">
        <v>1076</v>
      </c>
      <c r="EN31" s="56">
        <v>1091.8</v>
      </c>
      <c r="EO31" s="56">
        <v>1104.4000000000001</v>
      </c>
      <c r="EP31" s="56">
        <v>1172.7</v>
      </c>
      <c r="EQ31" s="56">
        <v>1184</v>
      </c>
      <c r="ER31" s="56">
        <v>1194.0999999999999</v>
      </c>
      <c r="ES31" s="56">
        <v>1205.5999999999999</v>
      </c>
      <c r="ET31" s="56">
        <v>1240.0999999999999</v>
      </c>
      <c r="EU31" s="56">
        <v>1256.7</v>
      </c>
      <c r="EV31" s="56">
        <v>1270.2</v>
      </c>
      <c r="EW31" s="56">
        <v>1286.3</v>
      </c>
      <c r="EX31" s="56">
        <v>1321.9</v>
      </c>
      <c r="EY31" s="56">
        <v>1657</v>
      </c>
      <c r="EZ31" s="56">
        <v>1445.3</v>
      </c>
      <c r="FA31" s="56">
        <v>1428.7</v>
      </c>
      <c r="FB31" s="56">
        <v>1521.8</v>
      </c>
      <c r="FC31" s="56">
        <v>1648</v>
      </c>
      <c r="FD31" s="56">
        <v>1634.5</v>
      </c>
      <c r="FE31" s="56">
        <v>1653.9</v>
      </c>
      <c r="FF31" s="56">
        <v>1753.5</v>
      </c>
      <c r="FG31" s="56">
        <v>1755.7</v>
      </c>
      <c r="FH31" s="56">
        <v>1758.8</v>
      </c>
      <c r="FI31" s="56">
        <v>1761.9</v>
      </c>
      <c r="FJ31" s="56">
        <v>1768.6</v>
      </c>
      <c r="FK31" s="56">
        <v>1777.4</v>
      </c>
      <c r="FL31" s="56">
        <v>1782.4</v>
      </c>
      <c r="FM31" s="56">
        <v>1789.3</v>
      </c>
      <c r="FN31" s="56">
        <v>1772.9</v>
      </c>
      <c r="FO31" s="56">
        <v>1777.5</v>
      </c>
      <c r="FP31" s="56">
        <v>1783.6</v>
      </c>
      <c r="FQ31" s="56">
        <v>1793.4</v>
      </c>
      <c r="FR31" s="56">
        <v>1817.3</v>
      </c>
      <c r="FS31" s="56">
        <v>1815.5</v>
      </c>
      <c r="FT31" s="56">
        <v>1823.2</v>
      </c>
      <c r="FU31" s="56">
        <v>1830.1</v>
      </c>
      <c r="FV31" s="56">
        <v>1848.1</v>
      </c>
      <c r="FW31" s="56">
        <v>1876.8</v>
      </c>
      <c r="FX31" s="56">
        <v>1890.5</v>
      </c>
      <c r="FY31" s="56">
        <v>1909</v>
      </c>
      <c r="FZ31" s="56">
        <v>1945.5</v>
      </c>
      <c r="GA31" s="56">
        <v>1966.6</v>
      </c>
      <c r="GB31" s="56">
        <v>1977.6</v>
      </c>
      <c r="GC31" s="56">
        <v>1989.7</v>
      </c>
      <c r="GD31" s="56">
        <v>2006.2</v>
      </c>
      <c r="GE31" s="56">
        <v>2018</v>
      </c>
      <c r="GF31" s="56">
        <v>2029.1</v>
      </c>
      <c r="GG31" s="56">
        <v>2043.5</v>
      </c>
      <c r="GH31" s="56">
        <v>2074</v>
      </c>
      <c r="GI31" s="56">
        <v>2087.4</v>
      </c>
      <c r="GJ31" s="56">
        <v>2105.5</v>
      </c>
      <c r="GK31" s="56">
        <v>2124.1999999999998</v>
      </c>
      <c r="GL31" s="56">
        <v>2171.5</v>
      </c>
      <c r="GM31" s="56">
        <v>2184.4</v>
      </c>
      <c r="GN31" s="56">
        <v>2200.6</v>
      </c>
      <c r="GO31" s="56">
        <v>2223</v>
      </c>
      <c r="GP31" s="56">
        <v>2303.6</v>
      </c>
      <c r="GQ31" s="56">
        <v>2320.1</v>
      </c>
      <c r="GR31" s="56">
        <v>2332.9</v>
      </c>
      <c r="GS31" s="56">
        <v>2346.6</v>
      </c>
      <c r="GT31" s="56">
        <v>2412.6</v>
      </c>
      <c r="GU31" s="56">
        <v>4652.1000000000004</v>
      </c>
      <c r="GV31" s="56">
        <v>3508</v>
      </c>
      <c r="GW31" s="56">
        <v>2895.4</v>
      </c>
      <c r="GX31" s="56">
        <v>5127.3999999999996</v>
      </c>
      <c r="GY31" s="56">
        <v>3403.8</v>
      </c>
      <c r="GZ31" s="56">
        <v>3135</v>
      </c>
      <c r="HA31" s="56">
        <v>2947.7</v>
      </c>
      <c r="HB31" s="56">
        <v>2903.2</v>
      </c>
      <c r="HC31">
        <v>2895.2</v>
      </c>
      <c r="HD31">
        <v>2867.4</v>
      </c>
      <c r="HE31">
        <v>2896.7</v>
      </c>
      <c r="HF31">
        <v>2945.8</v>
      </c>
      <c r="HG31">
        <v>2929.7</v>
      </c>
      <c r="HH31">
        <v>2930.1</v>
      </c>
      <c r="HI31">
        <v>2934</v>
      </c>
      <c r="HJ31">
        <v>3040.2</v>
      </c>
    </row>
    <row r="32" spans="1:218" x14ac:dyDescent="0.35">
      <c r="A32" s="56" t="s">
        <v>2227</v>
      </c>
      <c r="B32" s="56">
        <v>16.600000000000001</v>
      </c>
      <c r="C32" s="56">
        <v>17.899999999999999</v>
      </c>
      <c r="D32" s="56">
        <v>19.2</v>
      </c>
      <c r="E32" s="56">
        <v>19.8</v>
      </c>
      <c r="F32" s="56">
        <v>20.5</v>
      </c>
      <c r="G32" s="56">
        <v>22.1</v>
      </c>
      <c r="H32" s="56">
        <v>22.4</v>
      </c>
      <c r="I32" s="56">
        <v>23.7</v>
      </c>
      <c r="J32" s="56">
        <v>24.4</v>
      </c>
      <c r="K32" s="56">
        <v>32.700000000000003</v>
      </c>
      <c r="L32" s="56">
        <v>25.6</v>
      </c>
      <c r="M32" s="56">
        <v>39.299999999999997</v>
      </c>
      <c r="N32" s="56">
        <v>34.299999999999997</v>
      </c>
      <c r="O32" s="56">
        <v>33.4</v>
      </c>
      <c r="P32" s="56">
        <v>32.6</v>
      </c>
      <c r="Q32" s="56">
        <v>33.6</v>
      </c>
      <c r="R32" s="56">
        <v>33.299999999999997</v>
      </c>
      <c r="S32" s="56">
        <v>34.1</v>
      </c>
      <c r="T32" s="56">
        <v>35.4</v>
      </c>
      <c r="U32" s="56">
        <v>36.799999999999997</v>
      </c>
      <c r="V32" s="56">
        <v>39.299999999999997</v>
      </c>
      <c r="W32" s="56">
        <v>44.3</v>
      </c>
      <c r="X32" s="56">
        <v>45</v>
      </c>
      <c r="Y32" s="56">
        <v>45.9</v>
      </c>
      <c r="Z32" s="56">
        <v>47</v>
      </c>
      <c r="AA32" s="56">
        <v>47.8</v>
      </c>
      <c r="AB32" s="56">
        <v>48.7</v>
      </c>
      <c r="AC32" s="56">
        <v>52.7</v>
      </c>
      <c r="AD32" s="56">
        <v>50.7</v>
      </c>
      <c r="AE32" s="56">
        <v>53.7</v>
      </c>
      <c r="AF32" s="56">
        <v>57.3</v>
      </c>
      <c r="AG32" s="56">
        <v>57.3</v>
      </c>
      <c r="AH32" s="56">
        <v>61.5</v>
      </c>
      <c r="AI32" s="56">
        <v>64.099999999999994</v>
      </c>
      <c r="AJ32" s="56">
        <v>63.4</v>
      </c>
      <c r="AK32" s="56">
        <v>64.900000000000006</v>
      </c>
      <c r="AL32" s="56">
        <v>62.1</v>
      </c>
      <c r="AM32" s="56">
        <v>62.6</v>
      </c>
      <c r="AN32" s="56">
        <v>65.2</v>
      </c>
      <c r="AO32" s="56">
        <v>65.900000000000006</v>
      </c>
      <c r="AP32" s="56">
        <v>66.7</v>
      </c>
      <c r="AQ32" s="56">
        <v>68.2</v>
      </c>
      <c r="AR32" s="56">
        <v>70.7</v>
      </c>
      <c r="AS32" s="56">
        <v>73.099999999999994</v>
      </c>
      <c r="AT32" s="56">
        <v>71.5</v>
      </c>
      <c r="AU32" s="56">
        <v>71.400000000000006</v>
      </c>
      <c r="AV32" s="56">
        <v>68.8</v>
      </c>
      <c r="AW32" s="56">
        <v>66</v>
      </c>
      <c r="AX32" s="56">
        <v>65.8</v>
      </c>
      <c r="AY32" s="56">
        <v>67.3</v>
      </c>
      <c r="AZ32" s="56">
        <v>65.599999999999994</v>
      </c>
      <c r="BA32" s="56">
        <v>66.3</v>
      </c>
      <c r="BB32" s="56">
        <v>67.2</v>
      </c>
      <c r="BC32" s="56">
        <v>69.2</v>
      </c>
      <c r="BD32" s="56">
        <v>68.400000000000006</v>
      </c>
      <c r="BE32" s="56">
        <v>67</v>
      </c>
      <c r="BF32" s="56">
        <v>71.3</v>
      </c>
      <c r="BG32" s="56">
        <v>73.099999999999994</v>
      </c>
      <c r="BH32" s="56">
        <v>70.7</v>
      </c>
      <c r="BI32" s="56">
        <v>74.3</v>
      </c>
      <c r="BJ32" s="56">
        <v>74.8</v>
      </c>
      <c r="BK32" s="56">
        <v>75.3</v>
      </c>
      <c r="BL32" s="56">
        <v>76.400000000000006</v>
      </c>
      <c r="BM32" s="56">
        <v>78.099999999999994</v>
      </c>
      <c r="BN32" s="56">
        <v>79.7</v>
      </c>
      <c r="BO32" s="56">
        <v>83.8</v>
      </c>
      <c r="BP32" s="56">
        <v>86.7</v>
      </c>
      <c r="BQ32" s="56">
        <v>79.5</v>
      </c>
      <c r="BR32" s="56">
        <v>76.900000000000006</v>
      </c>
      <c r="BS32" s="56">
        <v>80.2</v>
      </c>
      <c r="BT32" s="56">
        <v>78.2</v>
      </c>
      <c r="BU32" s="56">
        <v>78.2</v>
      </c>
      <c r="BV32" s="56">
        <v>84.1</v>
      </c>
      <c r="BW32" s="56">
        <v>84.1</v>
      </c>
      <c r="BX32" s="56">
        <v>87</v>
      </c>
      <c r="BY32" s="56">
        <v>87.7</v>
      </c>
      <c r="BZ32" s="56">
        <v>88.7</v>
      </c>
      <c r="CA32" s="56">
        <v>89.1</v>
      </c>
      <c r="CB32" s="56">
        <v>95</v>
      </c>
      <c r="CC32" s="56">
        <v>94.5</v>
      </c>
      <c r="CD32" s="56">
        <v>99.9</v>
      </c>
      <c r="CE32" s="56">
        <v>103.2</v>
      </c>
      <c r="CF32" s="56">
        <v>105.5</v>
      </c>
      <c r="CG32" s="56">
        <v>108.8</v>
      </c>
      <c r="CH32" s="56">
        <v>115.6</v>
      </c>
      <c r="CI32" s="56">
        <v>120.5</v>
      </c>
      <c r="CJ32" s="56">
        <v>127</v>
      </c>
      <c r="CK32" s="56">
        <v>132.9</v>
      </c>
      <c r="CL32" s="56">
        <v>136.19999999999999</v>
      </c>
      <c r="CM32" s="56">
        <v>139</v>
      </c>
      <c r="CN32" s="56">
        <v>145</v>
      </c>
      <c r="CO32" s="56">
        <v>146.5</v>
      </c>
      <c r="CP32" s="56">
        <v>148.80000000000001</v>
      </c>
      <c r="CQ32" s="56">
        <v>151.4</v>
      </c>
      <c r="CR32" s="56">
        <v>157.19999999999999</v>
      </c>
      <c r="CS32" s="56">
        <v>165.5</v>
      </c>
      <c r="CT32" s="56">
        <v>162.4</v>
      </c>
      <c r="CU32" s="56">
        <v>164.9</v>
      </c>
      <c r="CV32" s="56">
        <v>167.3</v>
      </c>
      <c r="CW32" s="56">
        <v>172.8</v>
      </c>
      <c r="CX32" s="56">
        <v>175.6</v>
      </c>
      <c r="CY32" s="56">
        <v>174.8</v>
      </c>
      <c r="CZ32" s="56">
        <v>175.8</v>
      </c>
      <c r="DA32" s="56">
        <v>171.7</v>
      </c>
      <c r="DB32" s="56">
        <v>177.1</v>
      </c>
      <c r="DC32" s="56">
        <v>185.5</v>
      </c>
      <c r="DD32" s="56">
        <v>182.9</v>
      </c>
      <c r="DE32" s="56">
        <v>180.3</v>
      </c>
      <c r="DF32" s="56">
        <v>184.6</v>
      </c>
      <c r="DG32" s="56">
        <v>184.2</v>
      </c>
      <c r="DH32" s="56">
        <v>187.5</v>
      </c>
      <c r="DI32" s="56">
        <v>196.3</v>
      </c>
      <c r="DJ32" s="56">
        <v>197.3</v>
      </c>
      <c r="DK32" s="56">
        <v>197</v>
      </c>
      <c r="DL32" s="56">
        <v>201.8</v>
      </c>
      <c r="DM32" s="56">
        <v>207</v>
      </c>
      <c r="DN32" s="56">
        <v>214.7</v>
      </c>
      <c r="DO32" s="56">
        <v>211.8</v>
      </c>
      <c r="DP32" s="56">
        <v>223.1</v>
      </c>
      <c r="DQ32" s="56">
        <v>227</v>
      </c>
      <c r="DR32" s="56">
        <v>224.5</v>
      </c>
      <c r="DS32" s="56">
        <v>227.4</v>
      </c>
      <c r="DT32" s="56">
        <v>239.5</v>
      </c>
      <c r="DU32" s="56">
        <v>241.1</v>
      </c>
      <c r="DV32" s="56">
        <v>254</v>
      </c>
      <c r="DW32" s="56">
        <v>262.2</v>
      </c>
      <c r="DX32" s="56">
        <v>258.5</v>
      </c>
      <c r="DY32" s="56">
        <v>270.39999999999998</v>
      </c>
      <c r="DZ32" s="56">
        <v>277.3</v>
      </c>
      <c r="EA32" s="56">
        <v>285.7</v>
      </c>
      <c r="EB32" s="56">
        <v>294.3</v>
      </c>
      <c r="EC32" s="56">
        <v>297.39999999999998</v>
      </c>
      <c r="ED32" s="56">
        <v>299.60000000000002</v>
      </c>
      <c r="EE32" s="56">
        <v>323.3</v>
      </c>
      <c r="EF32" s="56">
        <v>329.6</v>
      </c>
      <c r="EG32" s="56">
        <v>334.3</v>
      </c>
      <c r="EH32" s="56">
        <v>328</v>
      </c>
      <c r="EI32" s="56">
        <v>332.8</v>
      </c>
      <c r="EJ32" s="56">
        <v>328.4</v>
      </c>
      <c r="EK32" s="56">
        <v>340</v>
      </c>
      <c r="EL32" s="56">
        <v>341.6</v>
      </c>
      <c r="EM32" s="56">
        <v>344.8</v>
      </c>
      <c r="EN32" s="56">
        <v>342.5</v>
      </c>
      <c r="EO32" s="56">
        <v>345.1</v>
      </c>
      <c r="EP32" s="56">
        <v>340</v>
      </c>
      <c r="EQ32" s="56">
        <v>341.5</v>
      </c>
      <c r="ER32" s="56">
        <v>347.9</v>
      </c>
      <c r="ES32" s="56">
        <v>334.7</v>
      </c>
      <c r="ET32" s="56">
        <v>358.4</v>
      </c>
      <c r="EU32" s="56">
        <v>359.4</v>
      </c>
      <c r="EV32" s="56">
        <v>359.8</v>
      </c>
      <c r="EW32" s="56">
        <v>358.9</v>
      </c>
      <c r="EX32" s="56">
        <v>365.7</v>
      </c>
      <c r="EY32" s="56">
        <v>371.5</v>
      </c>
      <c r="EZ32" s="56">
        <v>368.8</v>
      </c>
      <c r="FA32" s="56">
        <v>378.6</v>
      </c>
      <c r="FB32" s="56">
        <v>421.1</v>
      </c>
      <c r="FC32" s="56">
        <v>473.9</v>
      </c>
      <c r="FD32" s="56">
        <v>465.4</v>
      </c>
      <c r="FE32" s="56">
        <v>472.1</v>
      </c>
      <c r="FF32" s="56">
        <v>496.2</v>
      </c>
      <c r="FG32" s="56">
        <v>492.6</v>
      </c>
      <c r="FH32" s="56">
        <v>517.79999999999995</v>
      </c>
      <c r="FI32" s="56">
        <v>514.4</v>
      </c>
      <c r="FJ32" s="56">
        <v>500.5</v>
      </c>
      <c r="FK32" s="56">
        <v>503.4</v>
      </c>
      <c r="FL32" s="56">
        <v>448.3</v>
      </c>
      <c r="FM32" s="56">
        <v>437.7</v>
      </c>
      <c r="FN32" s="56">
        <v>441.7</v>
      </c>
      <c r="FO32" s="56">
        <v>447.9</v>
      </c>
      <c r="FP32" s="56">
        <v>440</v>
      </c>
      <c r="FQ32" s="56">
        <v>448.2</v>
      </c>
      <c r="FR32" s="56">
        <v>440</v>
      </c>
      <c r="FS32" s="56">
        <v>459.2</v>
      </c>
      <c r="FT32" s="56">
        <v>454</v>
      </c>
      <c r="FU32" s="56">
        <v>447.3</v>
      </c>
      <c r="FV32" s="56">
        <v>467.8</v>
      </c>
      <c r="FW32" s="56">
        <v>492.5</v>
      </c>
      <c r="FX32" s="56">
        <v>511.1</v>
      </c>
      <c r="FY32" s="56">
        <v>508.8</v>
      </c>
      <c r="FZ32" s="56">
        <v>524.79999999999995</v>
      </c>
      <c r="GA32" s="56">
        <v>528.9</v>
      </c>
      <c r="GB32" s="56">
        <v>530.4</v>
      </c>
      <c r="GC32" s="56">
        <v>548.20000000000005</v>
      </c>
      <c r="GD32" s="56">
        <v>544.4</v>
      </c>
      <c r="GE32" s="56">
        <v>546.6</v>
      </c>
      <c r="GF32" s="56">
        <v>562.79999999999995</v>
      </c>
      <c r="GG32" s="56">
        <v>573.1</v>
      </c>
      <c r="GH32" s="56">
        <v>562.79999999999995</v>
      </c>
      <c r="GI32" s="56">
        <v>542.4</v>
      </c>
      <c r="GJ32" s="56">
        <v>562.9</v>
      </c>
      <c r="GK32" s="56">
        <v>573.6</v>
      </c>
      <c r="GL32" s="56">
        <v>582</v>
      </c>
      <c r="GM32" s="56">
        <v>576.70000000000005</v>
      </c>
      <c r="GN32" s="56">
        <v>581.4</v>
      </c>
      <c r="GO32" s="56">
        <v>590.1</v>
      </c>
      <c r="GP32" s="56">
        <v>593.1</v>
      </c>
      <c r="GQ32" s="56">
        <v>610.70000000000005</v>
      </c>
      <c r="GR32" s="56">
        <v>610.4</v>
      </c>
      <c r="GS32" s="56">
        <v>621.79999999999995</v>
      </c>
      <c r="GT32" s="56">
        <v>638.20000000000005</v>
      </c>
      <c r="GU32" s="56">
        <v>1388.6</v>
      </c>
      <c r="GV32" s="56">
        <v>737</v>
      </c>
      <c r="GW32" s="56">
        <v>751.3</v>
      </c>
      <c r="GX32" s="56">
        <v>781.8</v>
      </c>
      <c r="GY32" s="56">
        <v>1645.9</v>
      </c>
      <c r="GZ32" s="56">
        <v>1084.4000000000001</v>
      </c>
      <c r="HA32" s="56">
        <v>929</v>
      </c>
      <c r="HB32" s="56">
        <v>937.5</v>
      </c>
      <c r="HC32">
        <v>961.8</v>
      </c>
      <c r="HD32">
        <v>950.2</v>
      </c>
      <c r="HE32">
        <v>946.2</v>
      </c>
      <c r="HF32">
        <v>974.6</v>
      </c>
      <c r="HG32">
        <v>974.1</v>
      </c>
      <c r="HH32">
        <v>918.5</v>
      </c>
      <c r="HI32">
        <v>941.6</v>
      </c>
      <c r="HJ32">
        <v>928.4</v>
      </c>
    </row>
    <row r="33" spans="1:218" x14ac:dyDescent="0.35">
      <c r="A33" s="56" t="s">
        <v>2228</v>
      </c>
      <c r="B33" s="56">
        <v>14</v>
      </c>
      <c r="C33" s="56">
        <v>14.1</v>
      </c>
      <c r="D33" s="56">
        <v>14.3</v>
      </c>
      <c r="E33" s="56">
        <v>14.4</v>
      </c>
      <c r="F33" s="56">
        <v>14.7</v>
      </c>
      <c r="G33" s="56">
        <v>15.6</v>
      </c>
      <c r="H33" s="56">
        <v>16</v>
      </c>
      <c r="I33" s="56">
        <v>17.3</v>
      </c>
      <c r="J33" s="56">
        <v>19.5</v>
      </c>
      <c r="K33" s="56">
        <v>21</v>
      </c>
      <c r="L33" s="56">
        <v>21.2</v>
      </c>
      <c r="M33" s="56">
        <v>21.8</v>
      </c>
      <c r="N33" s="56">
        <v>21.9</v>
      </c>
      <c r="O33" s="56">
        <v>22.3</v>
      </c>
      <c r="P33" s="56">
        <v>23.1</v>
      </c>
      <c r="Q33" s="56">
        <v>24</v>
      </c>
      <c r="R33" s="56">
        <v>23.3</v>
      </c>
      <c r="S33" s="56">
        <v>24.1</v>
      </c>
      <c r="T33" s="56">
        <v>25.2</v>
      </c>
      <c r="U33" s="56">
        <v>25.6</v>
      </c>
      <c r="V33" s="56">
        <v>25.7</v>
      </c>
      <c r="W33" s="56">
        <v>26.5</v>
      </c>
      <c r="X33" s="56">
        <v>27.2</v>
      </c>
      <c r="Y33" s="56">
        <v>28.2</v>
      </c>
      <c r="Z33" s="56">
        <v>29.5</v>
      </c>
      <c r="AA33" s="56">
        <v>30.6</v>
      </c>
      <c r="AB33" s="56">
        <v>31.6</v>
      </c>
      <c r="AC33" s="56">
        <v>32.6</v>
      </c>
      <c r="AD33" s="56">
        <v>33.5</v>
      </c>
      <c r="AE33" s="56">
        <v>34.700000000000003</v>
      </c>
      <c r="AF33" s="56">
        <v>35.9</v>
      </c>
      <c r="AG33" s="56">
        <v>37.299999999999997</v>
      </c>
      <c r="AH33" s="56">
        <v>38.6</v>
      </c>
      <c r="AI33" s="56">
        <v>40.1</v>
      </c>
      <c r="AJ33" s="56">
        <v>40.9</v>
      </c>
      <c r="AK33" s="56">
        <v>42.1</v>
      </c>
      <c r="AL33" s="56">
        <v>42</v>
      </c>
      <c r="AM33" s="56">
        <v>42.1</v>
      </c>
      <c r="AN33" s="56">
        <v>45.4</v>
      </c>
      <c r="AO33" s="56">
        <v>46.6</v>
      </c>
      <c r="AP33" s="56">
        <v>46.6</v>
      </c>
      <c r="AQ33" s="56">
        <v>48</v>
      </c>
      <c r="AR33" s="56">
        <v>49.4</v>
      </c>
      <c r="AS33" s="56">
        <v>51.6</v>
      </c>
      <c r="AT33" s="56">
        <v>52.5</v>
      </c>
      <c r="AU33" s="56">
        <v>53.7</v>
      </c>
      <c r="AV33" s="56">
        <v>55.5</v>
      </c>
      <c r="AW33" s="56">
        <v>56.8</v>
      </c>
      <c r="AX33" s="56">
        <v>57.3</v>
      </c>
      <c r="AY33" s="56">
        <v>58.1</v>
      </c>
      <c r="AZ33" s="56">
        <v>60.4</v>
      </c>
      <c r="BA33" s="56">
        <v>60.8</v>
      </c>
      <c r="BB33" s="56">
        <v>61.3</v>
      </c>
      <c r="BC33" s="56">
        <v>64.3</v>
      </c>
      <c r="BD33" s="56">
        <v>68.099999999999994</v>
      </c>
      <c r="BE33" s="56">
        <v>70.7</v>
      </c>
      <c r="BF33" s="56">
        <v>73.3</v>
      </c>
      <c r="BG33" s="56">
        <v>75.8</v>
      </c>
      <c r="BH33" s="56">
        <v>76.8</v>
      </c>
      <c r="BI33" s="56">
        <v>78.2</v>
      </c>
      <c r="BJ33" s="56">
        <v>79.3</v>
      </c>
      <c r="BK33" s="56">
        <v>80.900000000000006</v>
      </c>
      <c r="BL33" s="56">
        <v>81.5</v>
      </c>
      <c r="BM33" s="56">
        <v>83.7</v>
      </c>
      <c r="BN33" s="56">
        <v>84.5</v>
      </c>
      <c r="BO33" s="56">
        <v>85</v>
      </c>
      <c r="BP33" s="56">
        <v>87.5</v>
      </c>
      <c r="BQ33" s="56">
        <v>91.8</v>
      </c>
      <c r="BR33" s="56">
        <v>92.4</v>
      </c>
      <c r="BS33" s="56">
        <v>101.5</v>
      </c>
      <c r="BT33" s="56">
        <v>94.1</v>
      </c>
      <c r="BU33" s="56">
        <v>98.4</v>
      </c>
      <c r="BV33" s="56">
        <v>99.4</v>
      </c>
      <c r="BW33" s="56">
        <v>97.2</v>
      </c>
      <c r="BX33" s="56">
        <v>104.1</v>
      </c>
      <c r="BY33" s="56">
        <v>107.6</v>
      </c>
      <c r="BZ33" s="56">
        <v>113.4</v>
      </c>
      <c r="CA33" s="56">
        <v>118.3</v>
      </c>
      <c r="CB33" s="56">
        <v>114.5</v>
      </c>
      <c r="CC33" s="56">
        <v>112.4</v>
      </c>
      <c r="CD33" s="56">
        <v>119.4</v>
      </c>
      <c r="CE33" s="56">
        <v>122.6</v>
      </c>
      <c r="CF33" s="56">
        <v>123.7</v>
      </c>
      <c r="CG33" s="56">
        <v>124.6</v>
      </c>
      <c r="CH33" s="56">
        <v>121.2</v>
      </c>
      <c r="CI33" s="56">
        <v>124.5</v>
      </c>
      <c r="CJ33" s="56">
        <v>126.1</v>
      </c>
      <c r="CK33" s="56">
        <v>129.5</v>
      </c>
      <c r="CL33" s="56">
        <v>127.6</v>
      </c>
      <c r="CM33" s="56">
        <v>136.9</v>
      </c>
      <c r="CN33" s="56">
        <v>136.80000000000001</v>
      </c>
      <c r="CO33" s="56">
        <v>140</v>
      </c>
      <c r="CP33" s="56">
        <v>136.69999999999999</v>
      </c>
      <c r="CQ33" s="56">
        <v>138.30000000000001</v>
      </c>
      <c r="CR33" s="56">
        <v>143.6</v>
      </c>
      <c r="CS33" s="56">
        <v>145.80000000000001</v>
      </c>
      <c r="CT33" s="56">
        <v>146.9</v>
      </c>
      <c r="CU33" s="56">
        <v>141.9</v>
      </c>
      <c r="CV33" s="56">
        <v>151.19999999999999</v>
      </c>
      <c r="CW33" s="56">
        <v>152</v>
      </c>
      <c r="CX33" s="56">
        <v>156.9</v>
      </c>
      <c r="CY33" s="56">
        <v>152.4</v>
      </c>
      <c r="CZ33" s="56">
        <v>160.69999999999999</v>
      </c>
      <c r="DA33" s="56">
        <v>162.4</v>
      </c>
      <c r="DB33" s="56">
        <v>165.3</v>
      </c>
      <c r="DC33" s="56">
        <v>165.9</v>
      </c>
      <c r="DD33" s="56">
        <v>169.3</v>
      </c>
      <c r="DE33" s="56">
        <v>174.1</v>
      </c>
      <c r="DF33" s="56">
        <v>177.8</v>
      </c>
      <c r="DG33" s="56">
        <v>176.9</v>
      </c>
      <c r="DH33" s="56">
        <v>184.1</v>
      </c>
      <c r="DI33" s="56">
        <v>189.2</v>
      </c>
      <c r="DJ33" s="56">
        <v>195.6</v>
      </c>
      <c r="DK33" s="56">
        <v>201.4</v>
      </c>
      <c r="DL33" s="56">
        <v>201.6</v>
      </c>
      <c r="DM33" s="56">
        <v>206.3</v>
      </c>
      <c r="DN33" s="56">
        <v>208.2</v>
      </c>
      <c r="DO33" s="56">
        <v>209.4</v>
      </c>
      <c r="DP33" s="56">
        <v>216.4</v>
      </c>
      <c r="DQ33" s="56">
        <v>224</v>
      </c>
      <c r="DR33" s="56">
        <v>232.2</v>
      </c>
      <c r="DS33" s="56">
        <v>243.3</v>
      </c>
      <c r="DT33" s="56">
        <v>236.6</v>
      </c>
      <c r="DU33" s="56">
        <v>234.8</v>
      </c>
      <c r="DV33" s="56">
        <v>250.9</v>
      </c>
      <c r="DW33" s="56">
        <v>259.89999999999998</v>
      </c>
      <c r="DX33" s="56">
        <v>231.9</v>
      </c>
      <c r="DY33" s="56">
        <v>229.3</v>
      </c>
      <c r="DZ33" s="56">
        <v>227.4</v>
      </c>
      <c r="EA33" s="56">
        <v>214.3</v>
      </c>
      <c r="EB33" s="56">
        <v>218.8</v>
      </c>
      <c r="EC33" s="56">
        <v>218.9</v>
      </c>
      <c r="ED33" s="56">
        <v>217.9</v>
      </c>
      <c r="EE33" s="56">
        <v>207.9</v>
      </c>
      <c r="EF33" s="56">
        <v>234.2</v>
      </c>
      <c r="EG33" s="56">
        <v>239.7</v>
      </c>
      <c r="EH33" s="56">
        <v>239</v>
      </c>
      <c r="EI33" s="56">
        <v>234.3</v>
      </c>
      <c r="EJ33" s="56">
        <v>247.7</v>
      </c>
      <c r="EK33" s="56">
        <v>261.8</v>
      </c>
      <c r="EL33" s="56">
        <v>269.39999999999998</v>
      </c>
      <c r="EM33" s="56">
        <v>270.39999999999998</v>
      </c>
      <c r="EN33" s="56">
        <v>276</v>
      </c>
      <c r="EO33" s="56">
        <v>285.2</v>
      </c>
      <c r="EP33" s="56">
        <v>294.89999999999998</v>
      </c>
      <c r="EQ33" s="56">
        <v>310.10000000000002</v>
      </c>
      <c r="ER33" s="56">
        <v>297.7</v>
      </c>
      <c r="ES33" s="56">
        <v>301.7</v>
      </c>
      <c r="ET33" s="56">
        <v>320.5</v>
      </c>
      <c r="EU33" s="56">
        <v>332</v>
      </c>
      <c r="EV33" s="56">
        <v>319.60000000000002</v>
      </c>
      <c r="EW33" s="56">
        <v>314.2</v>
      </c>
      <c r="EX33" s="56">
        <v>333.4</v>
      </c>
      <c r="EY33" s="56">
        <v>361.1</v>
      </c>
      <c r="EZ33" s="56">
        <v>323.8</v>
      </c>
      <c r="FA33" s="56">
        <v>305.10000000000002</v>
      </c>
      <c r="FB33" s="56">
        <v>281.10000000000002</v>
      </c>
      <c r="FC33" s="56">
        <v>275.60000000000002</v>
      </c>
      <c r="FD33" s="56">
        <v>293.3</v>
      </c>
      <c r="FE33" s="56">
        <v>293.3</v>
      </c>
      <c r="FF33" s="56">
        <v>288.39999999999998</v>
      </c>
      <c r="FG33" s="56">
        <v>278</v>
      </c>
      <c r="FH33" s="56">
        <v>297.8</v>
      </c>
      <c r="FI33" s="56">
        <v>311.89999999999998</v>
      </c>
      <c r="FJ33" s="56">
        <v>315.2</v>
      </c>
      <c r="FK33" s="56">
        <v>319.39999999999998</v>
      </c>
      <c r="FL33" s="56">
        <v>327.2</v>
      </c>
      <c r="FM33" s="56">
        <v>329.9</v>
      </c>
      <c r="FN33" s="56">
        <v>330.1</v>
      </c>
      <c r="FO33" s="56">
        <v>337</v>
      </c>
      <c r="FP33" s="56">
        <v>346.2</v>
      </c>
      <c r="FQ33" s="56">
        <v>359.2</v>
      </c>
      <c r="FR33" s="56">
        <v>377.3</v>
      </c>
      <c r="FS33" s="56">
        <v>387.5</v>
      </c>
      <c r="FT33" s="56">
        <v>368</v>
      </c>
      <c r="FU33" s="56">
        <v>365.9</v>
      </c>
      <c r="FV33" s="56">
        <v>376.7</v>
      </c>
      <c r="FW33" s="56">
        <v>370.5</v>
      </c>
      <c r="FX33" s="56">
        <v>386.5</v>
      </c>
      <c r="FY33" s="56">
        <v>394.1</v>
      </c>
      <c r="FZ33" s="56">
        <v>396.4</v>
      </c>
      <c r="GA33" s="56">
        <v>416.2</v>
      </c>
      <c r="GB33" s="56">
        <v>407.4</v>
      </c>
      <c r="GC33" s="56">
        <v>413.2</v>
      </c>
      <c r="GD33" s="56">
        <v>398.5</v>
      </c>
      <c r="GE33" s="56">
        <v>407.3</v>
      </c>
      <c r="GF33" s="56">
        <v>418.7</v>
      </c>
      <c r="GG33" s="56">
        <v>418.7</v>
      </c>
      <c r="GH33" s="56">
        <v>424.3</v>
      </c>
      <c r="GI33" s="56">
        <v>412.2</v>
      </c>
      <c r="GJ33" s="56">
        <v>431.9</v>
      </c>
      <c r="GK33" s="56">
        <v>474.6</v>
      </c>
      <c r="GL33" s="56">
        <v>474.3</v>
      </c>
      <c r="GM33" s="56">
        <v>450.9</v>
      </c>
      <c r="GN33" s="56">
        <v>460.4</v>
      </c>
      <c r="GO33" s="56">
        <v>453.8</v>
      </c>
      <c r="GP33" s="56">
        <v>473.1</v>
      </c>
      <c r="GQ33" s="56">
        <v>533.1</v>
      </c>
      <c r="GR33" s="56">
        <v>497.6</v>
      </c>
      <c r="GS33" s="56">
        <v>488</v>
      </c>
      <c r="GT33" s="56">
        <v>488.2</v>
      </c>
      <c r="GU33" s="56">
        <v>480.5</v>
      </c>
      <c r="GV33" s="56">
        <v>515.5</v>
      </c>
      <c r="GW33" s="56">
        <v>527.9</v>
      </c>
      <c r="GX33" s="56">
        <v>564.20000000000005</v>
      </c>
      <c r="GY33" s="56">
        <v>585.6</v>
      </c>
      <c r="GZ33" s="56">
        <v>589.79999999999995</v>
      </c>
      <c r="HA33" s="56">
        <v>636.29999999999995</v>
      </c>
      <c r="HB33" s="56">
        <v>655.9</v>
      </c>
      <c r="HC33">
        <v>655.1</v>
      </c>
      <c r="HD33">
        <v>615.20000000000005</v>
      </c>
      <c r="HE33">
        <v>605.6</v>
      </c>
      <c r="HF33">
        <v>582.70000000000005</v>
      </c>
      <c r="HG33">
        <v>528.79999999999995</v>
      </c>
      <c r="HH33">
        <v>576.6</v>
      </c>
      <c r="HI33">
        <v>592.6</v>
      </c>
      <c r="HJ33">
        <v>584.4</v>
      </c>
    </row>
    <row r="34" spans="1:218" x14ac:dyDescent="0.35">
      <c r="A34" s="56" t="s">
        <v>2229</v>
      </c>
      <c r="B34" s="56">
        <v>70.599999999999994</v>
      </c>
      <c r="C34" s="56">
        <v>72.400000000000006</v>
      </c>
      <c r="D34" s="56">
        <v>74.3</v>
      </c>
      <c r="E34" s="56">
        <v>76</v>
      </c>
      <c r="F34" s="56">
        <v>78.3</v>
      </c>
      <c r="G34" s="56">
        <v>80.2</v>
      </c>
      <c r="H34" s="56">
        <v>82.8</v>
      </c>
      <c r="I34" s="56">
        <v>84.7</v>
      </c>
      <c r="J34" s="56">
        <v>86.4</v>
      </c>
      <c r="K34" s="56">
        <v>88.5</v>
      </c>
      <c r="L34" s="56">
        <v>90.4</v>
      </c>
      <c r="M34" s="56">
        <v>92.5</v>
      </c>
      <c r="N34" s="56">
        <v>95.1</v>
      </c>
      <c r="O34" s="56">
        <v>96.3</v>
      </c>
      <c r="P34" s="56">
        <v>98.7</v>
      </c>
      <c r="Q34" s="56">
        <v>99.6</v>
      </c>
      <c r="R34" s="56">
        <v>101</v>
      </c>
      <c r="S34" s="56">
        <v>104</v>
      </c>
      <c r="T34" s="56">
        <v>106.8</v>
      </c>
      <c r="U34" s="56">
        <v>107.5</v>
      </c>
      <c r="V34" s="56">
        <v>109</v>
      </c>
      <c r="W34" s="56">
        <v>111.7</v>
      </c>
      <c r="X34" s="56">
        <v>114.9</v>
      </c>
      <c r="Y34" s="56">
        <v>117.3</v>
      </c>
      <c r="Z34" s="56">
        <v>120.9</v>
      </c>
      <c r="AA34" s="56">
        <v>123.5</v>
      </c>
      <c r="AB34" s="56">
        <v>126</v>
      </c>
      <c r="AC34" s="56">
        <v>129.6</v>
      </c>
      <c r="AD34" s="56">
        <v>132.9</v>
      </c>
      <c r="AE34" s="56">
        <v>135.5</v>
      </c>
      <c r="AF34" s="56">
        <v>138.30000000000001</v>
      </c>
      <c r="AG34" s="56">
        <v>141.1</v>
      </c>
      <c r="AH34" s="56">
        <v>143</v>
      </c>
      <c r="AI34" s="56">
        <v>147.69999999999999</v>
      </c>
      <c r="AJ34" s="56">
        <v>144.19999999999999</v>
      </c>
      <c r="AK34" s="56">
        <v>147.6</v>
      </c>
      <c r="AL34" s="56">
        <v>150.6</v>
      </c>
      <c r="AM34" s="56">
        <v>152.6</v>
      </c>
      <c r="AN34" s="56">
        <v>155.6</v>
      </c>
      <c r="AO34" s="56">
        <v>159</v>
      </c>
      <c r="AP34" s="56">
        <v>161.9</v>
      </c>
      <c r="AQ34" s="56">
        <v>163.30000000000001</v>
      </c>
      <c r="AR34" s="56">
        <v>168.2</v>
      </c>
      <c r="AS34" s="56">
        <v>173.3</v>
      </c>
      <c r="AT34" s="56">
        <v>180.2</v>
      </c>
      <c r="AU34" s="56">
        <v>183.7</v>
      </c>
      <c r="AV34" s="56">
        <v>188.3</v>
      </c>
      <c r="AW34" s="56">
        <v>190.7</v>
      </c>
      <c r="AX34" s="56">
        <v>193.9</v>
      </c>
      <c r="AY34" s="56">
        <v>198.3</v>
      </c>
      <c r="AZ34" s="56">
        <v>201.7</v>
      </c>
      <c r="BA34" s="56">
        <v>206</v>
      </c>
      <c r="BB34" s="56">
        <v>209.6</v>
      </c>
      <c r="BC34" s="56">
        <v>216</v>
      </c>
      <c r="BD34" s="56">
        <v>222</v>
      </c>
      <c r="BE34" s="56">
        <v>228</v>
      </c>
      <c r="BF34" s="56">
        <v>234.7</v>
      </c>
      <c r="BG34" s="56">
        <v>240.3</v>
      </c>
      <c r="BH34" s="56">
        <v>244.7</v>
      </c>
      <c r="BI34" s="56">
        <v>250.2</v>
      </c>
      <c r="BJ34" s="56">
        <v>254.7</v>
      </c>
      <c r="BK34" s="56">
        <v>260</v>
      </c>
      <c r="BL34" s="56">
        <v>265.10000000000002</v>
      </c>
      <c r="BM34" s="56">
        <v>268.5</v>
      </c>
      <c r="BN34" s="56">
        <v>273</v>
      </c>
      <c r="BO34" s="56">
        <v>276.60000000000002</v>
      </c>
      <c r="BP34" s="56">
        <v>282.3</v>
      </c>
      <c r="BQ34" s="56">
        <v>286.8</v>
      </c>
      <c r="BR34" s="56">
        <v>291.89999999999998</v>
      </c>
      <c r="BS34" s="56">
        <v>298.5</v>
      </c>
      <c r="BT34" s="56">
        <v>306</v>
      </c>
      <c r="BU34" s="56">
        <v>310</v>
      </c>
      <c r="BV34" s="56">
        <v>315.7</v>
      </c>
      <c r="BW34" s="56">
        <v>323.2</v>
      </c>
      <c r="BX34" s="56">
        <v>327.3</v>
      </c>
      <c r="BY34" s="56">
        <v>332.4</v>
      </c>
      <c r="BZ34" s="56">
        <v>340.2</v>
      </c>
      <c r="CA34" s="56">
        <v>348.2</v>
      </c>
      <c r="CB34" s="56">
        <v>353.9</v>
      </c>
      <c r="CC34" s="56">
        <v>354.2</v>
      </c>
      <c r="CD34" s="56">
        <v>369.3</v>
      </c>
      <c r="CE34" s="56">
        <v>368.7</v>
      </c>
      <c r="CF34" s="56">
        <v>375.6</v>
      </c>
      <c r="CG34" s="56">
        <v>382.7</v>
      </c>
      <c r="CH34" s="56">
        <v>384.3</v>
      </c>
      <c r="CI34" s="56">
        <v>390.2</v>
      </c>
      <c r="CJ34" s="56">
        <v>399.4</v>
      </c>
      <c r="CK34" s="56">
        <v>407.3</v>
      </c>
      <c r="CL34" s="56">
        <v>412.8</v>
      </c>
      <c r="CM34" s="56">
        <v>418.2</v>
      </c>
      <c r="CN34" s="56">
        <v>424.1</v>
      </c>
      <c r="CO34" s="56">
        <v>425.3</v>
      </c>
      <c r="CP34" s="56">
        <v>427.5</v>
      </c>
      <c r="CQ34" s="56">
        <v>432.8</v>
      </c>
      <c r="CR34" s="56">
        <v>439.5</v>
      </c>
      <c r="CS34" s="56">
        <v>447.2</v>
      </c>
      <c r="CT34" s="56">
        <v>456</v>
      </c>
      <c r="CU34" s="56">
        <v>465.8</v>
      </c>
      <c r="CV34" s="56">
        <v>470</v>
      </c>
      <c r="CW34" s="56">
        <v>473.3</v>
      </c>
      <c r="CX34" s="56">
        <v>478.8</v>
      </c>
      <c r="CY34" s="56">
        <v>477.9</v>
      </c>
      <c r="CZ34" s="56">
        <v>483.5</v>
      </c>
      <c r="DA34" s="56">
        <v>489.3</v>
      </c>
      <c r="DB34" s="56">
        <v>497.8</v>
      </c>
      <c r="DC34" s="56">
        <v>506.5</v>
      </c>
      <c r="DD34" s="56">
        <v>510.1</v>
      </c>
      <c r="DE34" s="56">
        <v>517.29999999999995</v>
      </c>
      <c r="DF34" s="56">
        <v>523.79999999999995</v>
      </c>
      <c r="DG34" s="56">
        <v>530.70000000000005</v>
      </c>
      <c r="DH34" s="56">
        <v>536.6</v>
      </c>
      <c r="DI34" s="56">
        <v>544</v>
      </c>
      <c r="DJ34" s="56">
        <v>549.6</v>
      </c>
      <c r="DK34" s="56">
        <v>555.4</v>
      </c>
      <c r="DL34" s="56">
        <v>561.6</v>
      </c>
      <c r="DM34" s="56">
        <v>568.6</v>
      </c>
      <c r="DN34" s="56">
        <v>576.20000000000005</v>
      </c>
      <c r="DO34" s="56">
        <v>585.4</v>
      </c>
      <c r="DP34" s="56">
        <v>595.20000000000005</v>
      </c>
      <c r="DQ34" s="56">
        <v>603.70000000000005</v>
      </c>
      <c r="DR34" s="56">
        <v>612.4</v>
      </c>
      <c r="DS34" s="56">
        <v>618.9</v>
      </c>
      <c r="DT34" s="56">
        <v>623.70000000000005</v>
      </c>
      <c r="DU34" s="56">
        <v>630.1</v>
      </c>
      <c r="DV34" s="56">
        <v>637.1</v>
      </c>
      <c r="DW34" s="56">
        <v>637.79999999999995</v>
      </c>
      <c r="DX34" s="56">
        <v>641.70000000000005</v>
      </c>
      <c r="DY34" s="56">
        <v>653</v>
      </c>
      <c r="DZ34" s="56">
        <v>659.3</v>
      </c>
      <c r="EA34" s="56">
        <v>664</v>
      </c>
      <c r="EB34" s="56">
        <v>680.5</v>
      </c>
      <c r="EC34" s="56">
        <v>689</v>
      </c>
      <c r="ED34" s="56">
        <v>698.5</v>
      </c>
      <c r="EE34" s="56">
        <v>709.9</v>
      </c>
      <c r="EF34" s="56">
        <v>723.4</v>
      </c>
      <c r="EG34" s="56">
        <v>729.8</v>
      </c>
      <c r="EH34" s="56">
        <v>753.2</v>
      </c>
      <c r="EI34" s="56">
        <v>765.1</v>
      </c>
      <c r="EJ34" s="56">
        <v>775.4</v>
      </c>
      <c r="EK34" s="56">
        <v>797.6</v>
      </c>
      <c r="EL34" s="56">
        <v>817.9</v>
      </c>
      <c r="EM34" s="56">
        <v>835.9</v>
      </c>
      <c r="EN34" s="56">
        <v>851.8</v>
      </c>
      <c r="EO34" s="56">
        <v>866.6</v>
      </c>
      <c r="EP34" s="56">
        <v>882.7</v>
      </c>
      <c r="EQ34" s="56">
        <v>892.2</v>
      </c>
      <c r="ER34" s="56">
        <v>903.9</v>
      </c>
      <c r="ES34" s="56">
        <v>912.4</v>
      </c>
      <c r="ET34" s="56">
        <v>931.9</v>
      </c>
      <c r="EU34" s="56">
        <v>939.4</v>
      </c>
      <c r="EV34" s="56">
        <v>940.4</v>
      </c>
      <c r="EW34" s="56">
        <v>957.1</v>
      </c>
      <c r="EX34" s="56">
        <v>952.5</v>
      </c>
      <c r="EY34" s="56">
        <v>959.4</v>
      </c>
      <c r="EZ34" s="56">
        <v>964.8</v>
      </c>
      <c r="FA34" s="56">
        <v>946.3</v>
      </c>
      <c r="FB34" s="56">
        <v>929.2</v>
      </c>
      <c r="FC34" s="56">
        <v>923</v>
      </c>
      <c r="FD34" s="56">
        <v>937.4</v>
      </c>
      <c r="FE34" s="56">
        <v>952.1</v>
      </c>
      <c r="FF34" s="56">
        <v>951.6</v>
      </c>
      <c r="FG34" s="56">
        <v>965.7</v>
      </c>
      <c r="FH34" s="56">
        <v>970.1</v>
      </c>
      <c r="FI34" s="56">
        <v>977.7</v>
      </c>
      <c r="FJ34" s="56">
        <v>986.8</v>
      </c>
      <c r="FK34" s="56">
        <v>996.4</v>
      </c>
      <c r="FL34" s="56">
        <v>994.5</v>
      </c>
      <c r="FM34" s="56">
        <v>1002.7</v>
      </c>
      <c r="FN34" s="56">
        <v>1016.9</v>
      </c>
      <c r="FO34" s="56">
        <v>1019.5</v>
      </c>
      <c r="FP34" s="56">
        <v>1016.6</v>
      </c>
      <c r="FQ34" s="56">
        <v>1030.8</v>
      </c>
      <c r="FR34" s="56">
        <v>1053.0999999999999</v>
      </c>
      <c r="FS34" s="56">
        <v>1054.9000000000001</v>
      </c>
      <c r="FT34" s="56">
        <v>1063.8</v>
      </c>
      <c r="FU34" s="56">
        <v>1069.5</v>
      </c>
      <c r="FV34" s="56">
        <v>1079.3</v>
      </c>
      <c r="FW34" s="56">
        <v>1099.4000000000001</v>
      </c>
      <c r="FX34" s="56">
        <v>1108.2</v>
      </c>
      <c r="FY34" s="56">
        <v>1117.2</v>
      </c>
      <c r="FZ34" s="56">
        <v>1117.9000000000001</v>
      </c>
      <c r="GA34" s="56">
        <v>1125.8</v>
      </c>
      <c r="GB34" s="56">
        <v>1138</v>
      </c>
      <c r="GC34" s="56">
        <v>1144.7</v>
      </c>
      <c r="GD34" s="56">
        <v>1153</v>
      </c>
      <c r="GE34" s="56">
        <v>1160.9000000000001</v>
      </c>
      <c r="GF34" s="56">
        <v>1183.5999999999999</v>
      </c>
      <c r="GG34" s="56">
        <v>1190</v>
      </c>
      <c r="GH34" s="56">
        <v>1209.4000000000001</v>
      </c>
      <c r="GI34" s="56">
        <v>1221.8</v>
      </c>
      <c r="GJ34" s="56">
        <v>1240.2</v>
      </c>
      <c r="GK34" s="56">
        <v>1258.8</v>
      </c>
      <c r="GL34" s="56">
        <v>1273.2</v>
      </c>
      <c r="GM34" s="56">
        <v>1285.3</v>
      </c>
      <c r="GN34" s="56">
        <v>1300.2</v>
      </c>
      <c r="GO34" s="56">
        <v>1315.9</v>
      </c>
      <c r="GP34" s="56">
        <v>1333.7</v>
      </c>
      <c r="GQ34" s="56">
        <v>1348.8</v>
      </c>
      <c r="GR34" s="56">
        <v>1374.2</v>
      </c>
      <c r="GS34" s="56">
        <v>1376.1</v>
      </c>
      <c r="GT34" s="56">
        <v>1379.4</v>
      </c>
      <c r="GU34" s="56">
        <v>1290.5</v>
      </c>
      <c r="GV34" s="56">
        <v>1385.7</v>
      </c>
      <c r="GW34" s="56">
        <v>1405</v>
      </c>
      <c r="GX34" s="56">
        <v>1420.8</v>
      </c>
      <c r="GY34" s="56">
        <v>1494.6</v>
      </c>
      <c r="GZ34" s="56">
        <v>1503.3</v>
      </c>
      <c r="HA34" s="56">
        <v>1554.5</v>
      </c>
      <c r="HB34" s="56">
        <v>1583.1</v>
      </c>
      <c r="HC34">
        <v>1609.6</v>
      </c>
      <c r="HD34">
        <v>1631.8</v>
      </c>
      <c r="HE34">
        <v>1639.6</v>
      </c>
      <c r="HF34">
        <v>1654.1</v>
      </c>
      <c r="HG34">
        <v>1646.2</v>
      </c>
      <c r="HH34">
        <v>1659.2</v>
      </c>
      <c r="HI34">
        <v>1677.6</v>
      </c>
      <c r="HJ34">
        <v>1688</v>
      </c>
    </row>
    <row r="35" spans="1:218" x14ac:dyDescent="0.35">
      <c r="A35" s="56" t="s">
        <v>2230</v>
      </c>
      <c r="B35" s="56">
        <v>3.8</v>
      </c>
      <c r="C35" s="56">
        <v>3.7</v>
      </c>
      <c r="D35" s="56">
        <v>3.8</v>
      </c>
      <c r="E35" s="56">
        <v>3.6</v>
      </c>
      <c r="F35" s="56">
        <v>4.0999999999999996</v>
      </c>
      <c r="G35" s="56">
        <v>4.2</v>
      </c>
      <c r="H35" s="56">
        <v>4.4000000000000004</v>
      </c>
      <c r="I35" s="56">
        <v>4.5</v>
      </c>
      <c r="J35" s="56">
        <v>5</v>
      </c>
      <c r="K35" s="56">
        <v>5</v>
      </c>
      <c r="L35" s="56">
        <v>5.2</v>
      </c>
      <c r="M35" s="56">
        <v>5.7</v>
      </c>
      <c r="N35" s="56">
        <v>6</v>
      </c>
      <c r="O35" s="56">
        <v>6.1</v>
      </c>
      <c r="P35" s="56">
        <v>5.9</v>
      </c>
      <c r="Q35" s="56">
        <v>6.1</v>
      </c>
      <c r="R35" s="56">
        <v>6.3</v>
      </c>
      <c r="S35" s="56">
        <v>6.6</v>
      </c>
      <c r="T35" s="56">
        <v>7.3</v>
      </c>
      <c r="U35" s="56">
        <v>6.5</v>
      </c>
      <c r="V35" s="56">
        <v>6.1</v>
      </c>
      <c r="W35" s="56">
        <v>6.6</v>
      </c>
      <c r="X35" s="56">
        <v>8.1999999999999993</v>
      </c>
      <c r="Y35" s="56">
        <v>8.4</v>
      </c>
      <c r="Z35" s="56">
        <v>9.6999999999999993</v>
      </c>
      <c r="AA35" s="56">
        <v>9.6</v>
      </c>
      <c r="AB35" s="56">
        <v>9.6999999999999993</v>
      </c>
      <c r="AC35" s="56">
        <v>9.6</v>
      </c>
      <c r="AD35" s="56">
        <v>10.5</v>
      </c>
      <c r="AE35" s="56">
        <v>11.4</v>
      </c>
      <c r="AF35" s="56">
        <v>11.8</v>
      </c>
      <c r="AG35" s="56">
        <v>12</v>
      </c>
      <c r="AH35" s="56">
        <v>10.5</v>
      </c>
      <c r="AI35" s="56">
        <v>12.4</v>
      </c>
      <c r="AJ35" s="56">
        <v>12.5</v>
      </c>
      <c r="AK35" s="56">
        <v>13.1</v>
      </c>
      <c r="AL35" s="56">
        <v>13.7</v>
      </c>
      <c r="AM35" s="56">
        <v>13.8</v>
      </c>
      <c r="AN35" s="56">
        <v>13.6</v>
      </c>
      <c r="AO35" s="56">
        <v>13.2</v>
      </c>
      <c r="AP35" s="56">
        <v>16.100000000000001</v>
      </c>
      <c r="AQ35" s="56">
        <v>12.8</v>
      </c>
      <c r="AR35" s="56">
        <v>14</v>
      </c>
      <c r="AS35" s="56">
        <v>15.1</v>
      </c>
      <c r="AT35" s="56">
        <v>16.8</v>
      </c>
      <c r="AU35" s="56">
        <v>15.2</v>
      </c>
      <c r="AV35" s="56">
        <v>15.7</v>
      </c>
      <c r="AW35" s="56">
        <v>14.1</v>
      </c>
      <c r="AX35" s="56">
        <v>14.1</v>
      </c>
      <c r="AY35" s="56">
        <v>14.3</v>
      </c>
      <c r="AZ35" s="56">
        <v>14.4</v>
      </c>
      <c r="BA35" s="56">
        <v>13.3</v>
      </c>
      <c r="BB35" s="56">
        <v>12.8</v>
      </c>
      <c r="BC35" s="56">
        <v>15.7</v>
      </c>
      <c r="BD35" s="56">
        <v>17.399999999999999</v>
      </c>
      <c r="BE35" s="56">
        <v>17.7</v>
      </c>
      <c r="BF35" s="56">
        <v>20.100000000000001</v>
      </c>
      <c r="BG35" s="56">
        <v>19.899999999999999</v>
      </c>
      <c r="BH35" s="56">
        <v>17.5</v>
      </c>
      <c r="BI35" s="56">
        <v>17.7</v>
      </c>
      <c r="BJ35" s="56">
        <v>20</v>
      </c>
      <c r="BK35" s="56">
        <v>19.600000000000001</v>
      </c>
      <c r="BL35" s="56">
        <v>20.9</v>
      </c>
      <c r="BM35" s="56">
        <v>20.5</v>
      </c>
      <c r="BN35" s="56">
        <v>21.4</v>
      </c>
      <c r="BO35" s="56">
        <v>22</v>
      </c>
      <c r="BP35" s="56">
        <v>22.4</v>
      </c>
      <c r="BQ35" s="56">
        <v>24.8</v>
      </c>
      <c r="BR35" s="56">
        <v>22.7</v>
      </c>
      <c r="BS35" s="56">
        <v>24.5</v>
      </c>
      <c r="BT35" s="56">
        <v>24.8</v>
      </c>
      <c r="BU35" s="56">
        <v>23.6</v>
      </c>
      <c r="BV35" s="56">
        <v>23.4</v>
      </c>
      <c r="BW35" s="56">
        <v>25.2</v>
      </c>
      <c r="BX35" s="56">
        <v>27.3</v>
      </c>
      <c r="BY35" s="56">
        <v>28.2</v>
      </c>
      <c r="BZ35" s="56">
        <v>27.8</v>
      </c>
      <c r="CA35" s="56">
        <v>24.2</v>
      </c>
      <c r="CB35" s="56">
        <v>22.8</v>
      </c>
      <c r="CC35" s="56">
        <v>22.1</v>
      </c>
      <c r="CD35" s="56">
        <v>21.4</v>
      </c>
      <c r="CE35" s="56">
        <v>22.1</v>
      </c>
      <c r="CF35" s="56">
        <v>23</v>
      </c>
      <c r="CG35" s="56">
        <v>23.4</v>
      </c>
      <c r="CH35" s="56">
        <v>23.8</v>
      </c>
      <c r="CI35" s="56">
        <v>23.4</v>
      </c>
      <c r="CJ35" s="56">
        <v>23.7</v>
      </c>
      <c r="CK35" s="56">
        <v>23.6</v>
      </c>
      <c r="CL35" s="56">
        <v>25.2</v>
      </c>
      <c r="CM35" s="56">
        <v>24.7</v>
      </c>
      <c r="CN35" s="56">
        <v>23.2</v>
      </c>
      <c r="CO35" s="56">
        <v>24.4</v>
      </c>
      <c r="CP35" s="56">
        <v>24.8</v>
      </c>
      <c r="CQ35" s="56">
        <v>26.8</v>
      </c>
      <c r="CR35" s="56">
        <v>25.2</v>
      </c>
      <c r="CS35" s="56">
        <v>30.8</v>
      </c>
      <c r="CT35" s="56">
        <v>27.1</v>
      </c>
      <c r="CU35" s="56">
        <v>28.7</v>
      </c>
      <c r="CV35" s="56">
        <v>31.4</v>
      </c>
      <c r="CW35" s="56">
        <v>32.700000000000003</v>
      </c>
      <c r="CX35" s="56">
        <v>32.5</v>
      </c>
      <c r="CY35" s="56">
        <v>31.3</v>
      </c>
      <c r="CZ35" s="56">
        <v>31.9</v>
      </c>
      <c r="DA35" s="56">
        <v>30.9</v>
      </c>
      <c r="DB35" s="56">
        <v>31.9</v>
      </c>
      <c r="DC35" s="56">
        <v>33.5</v>
      </c>
      <c r="DD35" s="56">
        <v>33.299999999999997</v>
      </c>
      <c r="DE35" s="56">
        <v>33.4</v>
      </c>
      <c r="DF35" s="56">
        <v>33.1</v>
      </c>
      <c r="DG35" s="56">
        <v>33.6</v>
      </c>
      <c r="DH35" s="56">
        <v>35.5</v>
      </c>
      <c r="DI35" s="56">
        <v>34.4</v>
      </c>
      <c r="DJ35" s="56">
        <v>34.700000000000003</v>
      </c>
      <c r="DK35" s="56">
        <v>34.5</v>
      </c>
      <c r="DL35" s="56">
        <v>35.700000000000003</v>
      </c>
      <c r="DM35" s="56">
        <v>34.799999999999997</v>
      </c>
      <c r="DN35" s="56">
        <v>36.299999999999997</v>
      </c>
      <c r="DO35" s="56">
        <v>35.5</v>
      </c>
      <c r="DP35" s="56">
        <v>35.6</v>
      </c>
      <c r="DQ35" s="56">
        <v>35.9</v>
      </c>
      <c r="DR35" s="56">
        <v>37.200000000000003</v>
      </c>
      <c r="DS35" s="56">
        <v>36.5</v>
      </c>
      <c r="DT35" s="56">
        <v>33.5</v>
      </c>
      <c r="DU35" s="56">
        <v>33.700000000000003</v>
      </c>
      <c r="DV35" s="56">
        <v>30.1</v>
      </c>
      <c r="DW35" s="56">
        <v>30.4</v>
      </c>
      <c r="DX35" s="56">
        <v>28.3</v>
      </c>
      <c r="DY35" s="56">
        <v>26.6</v>
      </c>
      <c r="DZ35" s="56">
        <v>28.3</v>
      </c>
      <c r="EA35" s="56">
        <v>30.2</v>
      </c>
      <c r="EB35" s="56">
        <v>31.5</v>
      </c>
      <c r="EC35" s="56">
        <v>33.5</v>
      </c>
      <c r="ED35" s="56">
        <v>34.5</v>
      </c>
      <c r="EE35" s="56">
        <v>31.7</v>
      </c>
      <c r="EF35" s="56">
        <v>33.6</v>
      </c>
      <c r="EG35" s="56">
        <v>36.200000000000003</v>
      </c>
      <c r="EH35" s="56">
        <v>37.799999999999997</v>
      </c>
      <c r="EI35" s="56">
        <v>40.799999999999997</v>
      </c>
      <c r="EJ35" s="56">
        <v>43.9</v>
      </c>
      <c r="EK35" s="56">
        <v>44.3</v>
      </c>
      <c r="EL35" s="56">
        <v>55.3</v>
      </c>
      <c r="EM35" s="56">
        <v>53</v>
      </c>
      <c r="EN35" s="56">
        <v>53.3</v>
      </c>
      <c r="EO35" s="56">
        <v>58.2</v>
      </c>
      <c r="EP35" s="56">
        <v>59.6</v>
      </c>
      <c r="EQ35" s="56">
        <v>60.3</v>
      </c>
      <c r="ER35" s="56">
        <v>61.8</v>
      </c>
      <c r="ES35" s="56">
        <v>55.2</v>
      </c>
      <c r="ET35" s="56">
        <v>59.2</v>
      </c>
      <c r="EU35" s="56">
        <v>59.4</v>
      </c>
      <c r="EV35" s="56">
        <v>56.3</v>
      </c>
      <c r="EW35" s="56">
        <v>56.6</v>
      </c>
      <c r="EX35" s="56">
        <v>50.2</v>
      </c>
      <c r="EY35" s="56">
        <v>51.6</v>
      </c>
      <c r="EZ35" s="56">
        <v>52.8</v>
      </c>
      <c r="FA35" s="56">
        <v>35.1</v>
      </c>
      <c r="FB35" s="56">
        <v>43.7</v>
      </c>
      <c r="FC35" s="56">
        <v>49.6</v>
      </c>
      <c r="FD35" s="56">
        <v>41.3</v>
      </c>
      <c r="FE35" s="56">
        <v>43.4</v>
      </c>
      <c r="FF35" s="56">
        <v>45.1</v>
      </c>
      <c r="FG35" s="56">
        <v>43.4</v>
      </c>
      <c r="FH35" s="56">
        <v>45.5</v>
      </c>
      <c r="FI35" s="56">
        <v>50.4</v>
      </c>
      <c r="FJ35" s="56">
        <v>48.4</v>
      </c>
      <c r="FK35" s="56">
        <v>49.8</v>
      </c>
      <c r="FL35" s="56">
        <v>46.4</v>
      </c>
      <c r="FM35" s="56">
        <v>49</v>
      </c>
      <c r="FN35" s="56">
        <v>49.2</v>
      </c>
      <c r="FO35" s="56">
        <v>49.5</v>
      </c>
      <c r="FP35" s="56">
        <v>52.1</v>
      </c>
      <c r="FQ35" s="56">
        <v>51.9</v>
      </c>
      <c r="FR35" s="56">
        <v>52.6</v>
      </c>
      <c r="FS35" s="56">
        <v>54.3</v>
      </c>
      <c r="FT35" s="56">
        <v>53.3</v>
      </c>
      <c r="FU35" s="56">
        <v>54.4</v>
      </c>
      <c r="FV35" s="56">
        <v>55.2</v>
      </c>
      <c r="FW35" s="56">
        <v>55.3</v>
      </c>
      <c r="FX35" s="56">
        <v>57.1</v>
      </c>
      <c r="FY35" s="56">
        <v>57.8</v>
      </c>
      <c r="FZ35" s="56">
        <v>57.3</v>
      </c>
      <c r="GA35" s="56">
        <v>57.6</v>
      </c>
      <c r="GB35" s="56">
        <v>55.6</v>
      </c>
      <c r="GC35" s="56">
        <v>53.7</v>
      </c>
      <c r="GD35" s="56">
        <v>53.3</v>
      </c>
      <c r="GE35" s="56">
        <v>52.4</v>
      </c>
      <c r="GF35" s="56">
        <v>52.9</v>
      </c>
      <c r="GG35" s="56">
        <v>54.2</v>
      </c>
      <c r="GH35" s="56">
        <v>55.1</v>
      </c>
      <c r="GI35" s="56">
        <v>53.8</v>
      </c>
      <c r="GJ35" s="56">
        <v>54.2</v>
      </c>
      <c r="GK35" s="56">
        <v>54.5</v>
      </c>
      <c r="GL35" s="56">
        <v>54.9</v>
      </c>
      <c r="GM35" s="56">
        <v>60.4</v>
      </c>
      <c r="GN35" s="56">
        <v>61.6</v>
      </c>
      <c r="GO35" s="56">
        <v>63.6</v>
      </c>
      <c r="GP35" s="56">
        <v>73.3</v>
      </c>
      <c r="GQ35" s="56">
        <v>74.7</v>
      </c>
      <c r="GR35" s="56">
        <v>74.2</v>
      </c>
      <c r="GS35" s="56">
        <v>71.7</v>
      </c>
      <c r="GT35" s="56">
        <v>65.8</v>
      </c>
      <c r="GU35" s="56">
        <v>63.7</v>
      </c>
      <c r="GV35" s="56">
        <v>79.599999999999994</v>
      </c>
      <c r="GW35" s="56">
        <v>82.3</v>
      </c>
      <c r="GX35" s="56">
        <v>86.5</v>
      </c>
      <c r="GY35" s="56">
        <v>95.3</v>
      </c>
      <c r="GZ35" s="56">
        <v>111.7</v>
      </c>
      <c r="HA35" s="56">
        <v>150.1</v>
      </c>
      <c r="HB35">
        <v>184.2</v>
      </c>
      <c r="HC35">
        <v>143.5</v>
      </c>
      <c r="HD35">
        <v>146.19999999999999</v>
      </c>
      <c r="HE35">
        <v>160.5</v>
      </c>
      <c r="HF35">
        <v>172.5</v>
      </c>
      <c r="HG35">
        <v>150.69999999999999</v>
      </c>
      <c r="HH35">
        <v>148.69999999999999</v>
      </c>
      <c r="HI35">
        <v>165.7</v>
      </c>
      <c r="HJ35">
        <v>169.1</v>
      </c>
    </row>
    <row r="36" spans="1:218" x14ac:dyDescent="0.35">
      <c r="A36" s="56" t="s">
        <v>2231</v>
      </c>
      <c r="B36" s="56">
        <v>1.1000000000000001</v>
      </c>
      <c r="C36" s="56">
        <v>1.1000000000000001</v>
      </c>
      <c r="D36" s="56">
        <v>1.1000000000000001</v>
      </c>
      <c r="E36" s="56">
        <v>1.1000000000000001</v>
      </c>
      <c r="F36" s="56">
        <v>1.1000000000000001</v>
      </c>
      <c r="G36" s="56">
        <v>1.2</v>
      </c>
      <c r="H36" s="56">
        <v>1.2</v>
      </c>
      <c r="I36" s="56">
        <v>1.2</v>
      </c>
      <c r="J36" s="56">
        <v>1.3</v>
      </c>
      <c r="K36" s="56">
        <v>1.3</v>
      </c>
      <c r="L36" s="56">
        <v>1.3</v>
      </c>
      <c r="M36" s="56">
        <v>1.4</v>
      </c>
      <c r="N36" s="56">
        <v>1.4</v>
      </c>
      <c r="O36" s="56">
        <v>1.5</v>
      </c>
      <c r="P36" s="56">
        <v>1.5</v>
      </c>
      <c r="Q36" s="56">
        <v>1.6</v>
      </c>
      <c r="R36" s="56">
        <v>1.6</v>
      </c>
      <c r="S36" s="56">
        <v>1.6</v>
      </c>
      <c r="T36" s="56">
        <v>1.7</v>
      </c>
      <c r="U36" s="56">
        <v>1.7</v>
      </c>
      <c r="V36" s="56">
        <v>1.8</v>
      </c>
      <c r="W36" s="56">
        <v>1.8</v>
      </c>
      <c r="X36" s="56">
        <v>1.9</v>
      </c>
      <c r="Y36" s="56">
        <v>2</v>
      </c>
      <c r="Z36" s="56">
        <v>2</v>
      </c>
      <c r="AA36" s="56">
        <v>2.1</v>
      </c>
      <c r="AB36" s="56">
        <v>2.2000000000000002</v>
      </c>
      <c r="AC36" s="56">
        <v>2.2999999999999998</v>
      </c>
      <c r="AD36" s="56">
        <v>2.5</v>
      </c>
      <c r="AE36" s="56">
        <v>2.7</v>
      </c>
      <c r="AF36" s="56">
        <v>2.9</v>
      </c>
      <c r="AG36" s="56">
        <v>3</v>
      </c>
      <c r="AH36" s="56">
        <v>3.2</v>
      </c>
      <c r="AI36" s="56">
        <v>3.3</v>
      </c>
      <c r="AJ36" s="56">
        <v>3.5</v>
      </c>
      <c r="AK36" s="56">
        <v>3.6</v>
      </c>
      <c r="AL36" s="56">
        <v>3.8</v>
      </c>
      <c r="AM36" s="56">
        <v>3.9</v>
      </c>
      <c r="AN36" s="56">
        <v>3.9</v>
      </c>
      <c r="AO36" s="56">
        <v>4</v>
      </c>
      <c r="AP36" s="56">
        <v>3.6</v>
      </c>
      <c r="AQ36" s="56">
        <v>2.9</v>
      </c>
      <c r="AR36" s="56">
        <v>3.8</v>
      </c>
      <c r="AS36" s="56">
        <v>4</v>
      </c>
      <c r="AT36" s="56">
        <v>3.7</v>
      </c>
      <c r="AU36" s="56">
        <v>3.8</v>
      </c>
      <c r="AV36" s="56">
        <v>3.9</v>
      </c>
      <c r="AW36" s="56">
        <v>4</v>
      </c>
      <c r="AX36" s="56">
        <v>4</v>
      </c>
      <c r="AY36" s="56">
        <v>4</v>
      </c>
      <c r="AZ36" s="56">
        <v>4.0999999999999996</v>
      </c>
      <c r="BA36" s="56">
        <v>4.0999999999999996</v>
      </c>
      <c r="BB36" s="56">
        <v>4</v>
      </c>
      <c r="BC36" s="56">
        <v>4.0999999999999996</v>
      </c>
      <c r="BD36" s="56">
        <v>4.0999999999999996</v>
      </c>
      <c r="BE36" s="56">
        <v>4.3</v>
      </c>
      <c r="BF36" s="56">
        <v>4.5</v>
      </c>
      <c r="BG36" s="56">
        <v>4.7</v>
      </c>
      <c r="BH36" s="56">
        <v>4.8</v>
      </c>
      <c r="BI36" s="56">
        <v>4.8</v>
      </c>
      <c r="BJ36" s="56">
        <v>4.7</v>
      </c>
      <c r="BK36" s="56">
        <v>4.8</v>
      </c>
      <c r="BL36" s="56">
        <v>4.9000000000000004</v>
      </c>
      <c r="BM36" s="56">
        <v>5.2</v>
      </c>
      <c r="BN36" s="56">
        <v>5.5</v>
      </c>
      <c r="BO36" s="56">
        <v>5.8</v>
      </c>
      <c r="BP36" s="56">
        <v>6.1</v>
      </c>
      <c r="BQ36" s="56">
        <v>6.4</v>
      </c>
      <c r="BR36" s="56">
        <v>6.7</v>
      </c>
      <c r="BS36" s="56">
        <v>7</v>
      </c>
      <c r="BT36" s="56">
        <v>7.3</v>
      </c>
      <c r="BU36" s="56">
        <v>7.7</v>
      </c>
      <c r="BV36" s="56">
        <v>8</v>
      </c>
      <c r="BW36" s="56">
        <v>8.3000000000000007</v>
      </c>
      <c r="BX36" s="56">
        <v>8.5</v>
      </c>
      <c r="BY36" s="56">
        <v>8.6999999999999993</v>
      </c>
      <c r="BZ36" s="56">
        <v>8.8000000000000007</v>
      </c>
      <c r="CA36" s="56">
        <v>8.9</v>
      </c>
      <c r="CB36" s="56">
        <v>9</v>
      </c>
      <c r="CC36" s="56">
        <v>9.3000000000000007</v>
      </c>
      <c r="CD36" s="56">
        <v>9.5</v>
      </c>
      <c r="CE36" s="56">
        <v>9.9</v>
      </c>
      <c r="CF36" s="56">
        <v>10.199999999999999</v>
      </c>
      <c r="CG36" s="56">
        <v>10.5</v>
      </c>
      <c r="CH36" s="56">
        <v>11</v>
      </c>
      <c r="CI36" s="56">
        <v>11.4</v>
      </c>
      <c r="CJ36" s="56">
        <v>11.8</v>
      </c>
      <c r="CK36" s="56">
        <v>12.2</v>
      </c>
      <c r="CL36" s="56">
        <v>12.6</v>
      </c>
      <c r="CM36" s="56">
        <v>13</v>
      </c>
      <c r="CN36" s="56">
        <v>13.3</v>
      </c>
      <c r="CO36" s="56">
        <v>13.6</v>
      </c>
      <c r="CP36" s="56">
        <v>13.8</v>
      </c>
      <c r="CQ36" s="56">
        <v>14.1</v>
      </c>
      <c r="CR36" s="56">
        <v>14.2</v>
      </c>
      <c r="CS36" s="56">
        <v>14.4</v>
      </c>
      <c r="CT36" s="56">
        <v>14.6</v>
      </c>
      <c r="CU36" s="56">
        <v>14.6</v>
      </c>
      <c r="CV36" s="56">
        <v>14.5</v>
      </c>
      <c r="CW36" s="56">
        <v>14.4</v>
      </c>
      <c r="CX36" s="56">
        <v>14</v>
      </c>
      <c r="CY36" s="56">
        <v>13.7</v>
      </c>
      <c r="CZ36" s="56">
        <v>13.5</v>
      </c>
      <c r="DA36" s="56">
        <v>13.2</v>
      </c>
      <c r="DB36" s="56">
        <v>13</v>
      </c>
      <c r="DC36" s="56">
        <v>12.7</v>
      </c>
      <c r="DD36" s="56">
        <v>12.3</v>
      </c>
      <c r="DE36" s="56">
        <v>11.9</v>
      </c>
      <c r="DF36" s="56">
        <v>11.3</v>
      </c>
      <c r="DG36" s="56">
        <v>10.9</v>
      </c>
      <c r="DH36" s="56">
        <v>10.6</v>
      </c>
      <c r="DI36" s="56">
        <v>10.5</v>
      </c>
      <c r="DJ36" s="56">
        <v>10.5</v>
      </c>
      <c r="DK36" s="56">
        <v>10.5</v>
      </c>
      <c r="DL36" s="56">
        <v>10.3</v>
      </c>
      <c r="DM36" s="56">
        <v>10.1</v>
      </c>
      <c r="DN36" s="56">
        <v>9.9</v>
      </c>
      <c r="DO36" s="56">
        <v>9.6999999999999993</v>
      </c>
      <c r="DP36" s="56">
        <v>9.6999999999999993</v>
      </c>
      <c r="DQ36" s="56">
        <v>9.8000000000000007</v>
      </c>
      <c r="DR36" s="56">
        <v>10</v>
      </c>
      <c r="DS36" s="56">
        <v>10.4</v>
      </c>
      <c r="DT36" s="56">
        <v>11</v>
      </c>
      <c r="DU36" s="56">
        <v>11.8</v>
      </c>
      <c r="DV36" s="56">
        <v>12.7</v>
      </c>
      <c r="DW36" s="56">
        <v>13.5</v>
      </c>
      <c r="DX36" s="56">
        <v>14.1</v>
      </c>
      <c r="DY36" s="56">
        <v>14.5</v>
      </c>
      <c r="DZ36" s="56">
        <v>14.9</v>
      </c>
      <c r="EA36" s="56">
        <v>15.4</v>
      </c>
      <c r="EB36" s="56">
        <v>16.100000000000001</v>
      </c>
      <c r="EC36" s="56">
        <v>17</v>
      </c>
      <c r="ED36" s="56">
        <v>18</v>
      </c>
      <c r="EE36" s="56">
        <v>19.2</v>
      </c>
      <c r="EF36" s="56">
        <v>20.5</v>
      </c>
      <c r="EG36" s="56">
        <v>22</v>
      </c>
      <c r="EH36" s="56">
        <v>23.4</v>
      </c>
      <c r="EI36" s="56">
        <v>24.5</v>
      </c>
      <c r="EJ36" s="56">
        <v>25.2</v>
      </c>
      <c r="EK36" s="56">
        <v>25.5</v>
      </c>
      <c r="EL36" s="56">
        <v>25.3</v>
      </c>
      <c r="EM36" s="56">
        <v>25</v>
      </c>
      <c r="EN36" s="56">
        <v>24.4</v>
      </c>
      <c r="EO36" s="56">
        <v>23.7</v>
      </c>
      <c r="EP36" s="56">
        <v>22.8</v>
      </c>
      <c r="EQ36" s="56">
        <v>21.9</v>
      </c>
      <c r="ER36" s="56">
        <v>21</v>
      </c>
      <c r="ES36" s="56">
        <v>20.2</v>
      </c>
      <c r="ET36" s="56">
        <v>19.399999999999999</v>
      </c>
      <c r="EU36" s="56">
        <v>18.899999999999999</v>
      </c>
      <c r="EV36" s="56">
        <v>18.5</v>
      </c>
      <c r="EW36" s="56">
        <v>18.5</v>
      </c>
      <c r="EX36" s="56">
        <v>18.600000000000001</v>
      </c>
      <c r="EY36" s="56">
        <v>18.7</v>
      </c>
      <c r="EZ36" s="56">
        <v>18.7</v>
      </c>
      <c r="FA36" s="56">
        <v>18.8</v>
      </c>
      <c r="FB36" s="56">
        <v>18.8</v>
      </c>
      <c r="FC36" s="56">
        <v>18.7</v>
      </c>
      <c r="FD36" s="56">
        <v>18.5</v>
      </c>
      <c r="FE36" s="56">
        <v>18.3</v>
      </c>
      <c r="FF36" s="56">
        <v>18</v>
      </c>
      <c r="FG36" s="56">
        <v>17.7</v>
      </c>
      <c r="FH36" s="56">
        <v>17.7</v>
      </c>
      <c r="FI36" s="56">
        <v>17.7</v>
      </c>
      <c r="FJ36" s="56">
        <v>17.899999999999999</v>
      </c>
      <c r="FK36" s="56">
        <v>18</v>
      </c>
      <c r="FL36" s="56">
        <v>17.899999999999999</v>
      </c>
      <c r="FM36" s="56">
        <v>17.7</v>
      </c>
      <c r="FN36" s="56">
        <v>17.399999999999999</v>
      </c>
      <c r="FO36" s="56">
        <v>17.2</v>
      </c>
      <c r="FP36" s="56">
        <v>17.100000000000001</v>
      </c>
      <c r="FQ36" s="56">
        <v>17.100000000000001</v>
      </c>
      <c r="FR36" s="56">
        <v>17.3</v>
      </c>
      <c r="FS36" s="56">
        <v>17.5</v>
      </c>
      <c r="FT36" s="56">
        <v>17.8</v>
      </c>
      <c r="FU36" s="56">
        <v>18.100000000000001</v>
      </c>
      <c r="FV36" s="56">
        <v>18.399999999999999</v>
      </c>
      <c r="FW36" s="56">
        <v>18.7</v>
      </c>
      <c r="FX36" s="56">
        <v>18.899999999999999</v>
      </c>
      <c r="FY36" s="56">
        <v>19</v>
      </c>
      <c r="FZ36" s="56">
        <v>19</v>
      </c>
      <c r="GA36" s="56">
        <v>19.100000000000001</v>
      </c>
      <c r="GB36" s="56">
        <v>19.3</v>
      </c>
      <c r="GC36" s="56">
        <v>19.5</v>
      </c>
      <c r="GD36" s="56">
        <v>19.8</v>
      </c>
      <c r="GE36" s="56">
        <v>20</v>
      </c>
      <c r="GF36" s="56">
        <v>20</v>
      </c>
      <c r="GG36" s="56">
        <v>20</v>
      </c>
      <c r="GH36" s="56">
        <v>19.8</v>
      </c>
      <c r="GI36" s="56">
        <v>19.8</v>
      </c>
      <c r="GJ36" s="56">
        <v>19.8</v>
      </c>
      <c r="GK36" s="56">
        <v>20</v>
      </c>
      <c r="GL36" s="56">
        <v>20.2</v>
      </c>
      <c r="GM36" s="56">
        <v>20.399999999999999</v>
      </c>
      <c r="GN36" s="56">
        <v>20.6</v>
      </c>
      <c r="GO36" s="56">
        <v>20.6</v>
      </c>
      <c r="GP36" s="56">
        <v>20.8</v>
      </c>
      <c r="GQ36" s="56">
        <v>20.8</v>
      </c>
      <c r="GR36" s="56">
        <v>20.6</v>
      </c>
      <c r="GS36" s="56">
        <v>20.399999999999999</v>
      </c>
      <c r="GT36" s="56">
        <v>20.3</v>
      </c>
      <c r="GU36" s="56">
        <v>19.3</v>
      </c>
      <c r="GV36" s="56">
        <v>19.899999999999999</v>
      </c>
      <c r="GW36" s="56">
        <v>20.7</v>
      </c>
      <c r="GX36" s="56">
        <v>21.3</v>
      </c>
      <c r="GY36" s="56">
        <v>22</v>
      </c>
      <c r="GZ36" s="56">
        <v>22.6</v>
      </c>
      <c r="HA36" s="56">
        <v>22.9</v>
      </c>
      <c r="HB36" s="56">
        <v>22.9</v>
      </c>
      <c r="HC36">
        <v>22.6</v>
      </c>
      <c r="HD36">
        <v>22.4</v>
      </c>
      <c r="HE36">
        <v>22</v>
      </c>
      <c r="HF36">
        <v>21.5</v>
      </c>
      <c r="HG36">
        <v>21.4</v>
      </c>
      <c r="HH36">
        <v>21.9</v>
      </c>
      <c r="HI36">
        <v>22.8</v>
      </c>
      <c r="HJ36">
        <v>24.3</v>
      </c>
    </row>
    <row r="37" spans="1:218" x14ac:dyDescent="0.35">
      <c r="A37" s="56" t="s">
        <v>2232</v>
      </c>
      <c r="B37" s="56">
        <v>14.7</v>
      </c>
      <c r="C37" s="56">
        <v>15.6</v>
      </c>
      <c r="D37" s="56">
        <v>16.600000000000001</v>
      </c>
      <c r="E37" s="56">
        <v>17.5</v>
      </c>
      <c r="F37" s="56">
        <v>18.3</v>
      </c>
      <c r="G37" s="56">
        <v>19.100000000000001</v>
      </c>
      <c r="H37" s="56">
        <v>19.600000000000001</v>
      </c>
      <c r="I37" s="56">
        <v>20.3</v>
      </c>
      <c r="J37" s="56">
        <v>21.2</v>
      </c>
      <c r="K37" s="56">
        <v>21.6</v>
      </c>
      <c r="L37" s="56">
        <v>22.5</v>
      </c>
      <c r="M37" s="56">
        <v>22.5</v>
      </c>
      <c r="N37" s="56">
        <v>23.2</v>
      </c>
      <c r="O37" s="56">
        <v>24</v>
      </c>
      <c r="P37" s="56">
        <v>24.2</v>
      </c>
      <c r="Q37" s="56">
        <v>25</v>
      </c>
      <c r="R37" s="56">
        <v>23.4</v>
      </c>
      <c r="S37" s="56">
        <v>24.7</v>
      </c>
      <c r="T37" s="56">
        <v>25.9</v>
      </c>
      <c r="U37" s="56">
        <v>27.1</v>
      </c>
      <c r="V37" s="56">
        <v>29.2</v>
      </c>
      <c r="W37" s="56">
        <v>30.5</v>
      </c>
      <c r="X37" s="56">
        <v>31</v>
      </c>
      <c r="Y37" s="56">
        <v>32.6</v>
      </c>
      <c r="Z37" s="56">
        <v>33.4</v>
      </c>
      <c r="AA37" s="56">
        <v>33.4</v>
      </c>
      <c r="AB37" s="56">
        <v>34.700000000000003</v>
      </c>
      <c r="AC37" s="56">
        <v>35</v>
      </c>
      <c r="AD37" s="56">
        <v>35.700000000000003</v>
      </c>
      <c r="AE37" s="56">
        <v>37.5</v>
      </c>
      <c r="AF37" s="56">
        <v>37.299999999999997</v>
      </c>
      <c r="AG37" s="56">
        <v>37.700000000000003</v>
      </c>
      <c r="AH37" s="56">
        <v>39.200000000000003</v>
      </c>
      <c r="AI37" s="56">
        <v>41</v>
      </c>
      <c r="AJ37" s="56">
        <v>41.3</v>
      </c>
      <c r="AK37" s="56">
        <v>41.7</v>
      </c>
      <c r="AL37" s="56">
        <v>42.4</v>
      </c>
      <c r="AM37" s="56">
        <v>43.5</v>
      </c>
      <c r="AN37" s="56">
        <v>44.5</v>
      </c>
      <c r="AO37" s="56">
        <v>46.9</v>
      </c>
      <c r="AP37" s="56">
        <v>49.1</v>
      </c>
      <c r="AQ37" s="56">
        <v>49</v>
      </c>
      <c r="AR37" s="56">
        <v>52.4</v>
      </c>
      <c r="AS37" s="56">
        <v>54.3</v>
      </c>
      <c r="AT37" s="56">
        <v>55.6</v>
      </c>
      <c r="AU37" s="56">
        <v>57.4</v>
      </c>
      <c r="AV37" s="56">
        <v>57.7</v>
      </c>
      <c r="AW37" s="56">
        <v>57.7</v>
      </c>
      <c r="AX37" s="56">
        <v>59</v>
      </c>
      <c r="AY37" s="56">
        <v>61</v>
      </c>
      <c r="AZ37" s="56">
        <v>62.1</v>
      </c>
      <c r="BA37" s="56">
        <v>62.6</v>
      </c>
      <c r="BB37" s="56">
        <v>65.8</v>
      </c>
      <c r="BC37" s="56">
        <v>66.3</v>
      </c>
      <c r="BD37" s="56">
        <v>67.2</v>
      </c>
      <c r="BE37" s="56">
        <v>68.3</v>
      </c>
      <c r="BF37" s="56">
        <v>69.900000000000006</v>
      </c>
      <c r="BG37" s="56">
        <v>70.599999999999994</v>
      </c>
      <c r="BH37" s="56">
        <v>71.3</v>
      </c>
      <c r="BI37" s="56">
        <v>72.8</v>
      </c>
      <c r="BJ37" s="56">
        <v>74.900000000000006</v>
      </c>
      <c r="BK37" s="56">
        <v>76.3</v>
      </c>
      <c r="BL37" s="56">
        <v>78.099999999999994</v>
      </c>
      <c r="BM37" s="56">
        <v>79.8</v>
      </c>
      <c r="BN37" s="56">
        <v>81.599999999999994</v>
      </c>
      <c r="BO37" s="56">
        <v>83.6</v>
      </c>
      <c r="BP37" s="56">
        <v>85.3</v>
      </c>
      <c r="BQ37" s="56">
        <v>86.9</v>
      </c>
      <c r="BR37" s="56">
        <v>88.3</v>
      </c>
      <c r="BS37" s="56">
        <v>89.9</v>
      </c>
      <c r="BT37" s="56">
        <v>91.6</v>
      </c>
      <c r="BU37" s="56">
        <v>93.1</v>
      </c>
      <c r="BV37" s="56">
        <v>95.3</v>
      </c>
      <c r="BW37" s="56">
        <v>97.3</v>
      </c>
      <c r="BX37" s="56">
        <v>99.5</v>
      </c>
      <c r="BY37" s="56">
        <v>101.9</v>
      </c>
      <c r="BZ37" s="56">
        <v>104.2</v>
      </c>
      <c r="CA37" s="56">
        <v>107.3</v>
      </c>
      <c r="CB37" s="56">
        <v>111</v>
      </c>
      <c r="CC37" s="56">
        <v>114.8</v>
      </c>
      <c r="CD37" s="56">
        <v>118.8</v>
      </c>
      <c r="CE37" s="56">
        <v>124.2</v>
      </c>
      <c r="CF37" s="56">
        <v>130.30000000000001</v>
      </c>
      <c r="CG37" s="56">
        <v>137.4</v>
      </c>
      <c r="CH37" s="56">
        <v>141.5</v>
      </c>
      <c r="CI37" s="56">
        <v>152.19999999999999</v>
      </c>
      <c r="CJ37" s="56">
        <v>158.6</v>
      </c>
      <c r="CK37" s="56">
        <v>173.8</v>
      </c>
      <c r="CL37" s="56">
        <v>170.5</v>
      </c>
      <c r="CM37" s="56">
        <v>178.6</v>
      </c>
      <c r="CN37" s="56">
        <v>185.8</v>
      </c>
      <c r="CO37" s="56">
        <v>185</v>
      </c>
      <c r="CP37" s="56">
        <v>188.9</v>
      </c>
      <c r="CQ37" s="56">
        <v>189.7</v>
      </c>
      <c r="CR37" s="56">
        <v>200.6</v>
      </c>
      <c r="CS37" s="56">
        <v>201.7</v>
      </c>
      <c r="CT37" s="56">
        <v>203.6</v>
      </c>
      <c r="CU37" s="56">
        <v>203.9</v>
      </c>
      <c r="CV37" s="56">
        <v>203.7</v>
      </c>
      <c r="CW37" s="56">
        <v>215.7</v>
      </c>
      <c r="CX37" s="56">
        <v>220.4</v>
      </c>
      <c r="CY37" s="56">
        <v>220.7</v>
      </c>
      <c r="CZ37" s="56">
        <v>220.7</v>
      </c>
      <c r="DA37" s="56">
        <v>208.8</v>
      </c>
      <c r="DB37" s="56">
        <v>218.2</v>
      </c>
      <c r="DC37" s="56">
        <v>232.2</v>
      </c>
      <c r="DD37" s="56">
        <v>224.8</v>
      </c>
      <c r="DE37" s="56">
        <v>221.7</v>
      </c>
      <c r="DF37" s="56">
        <v>226</v>
      </c>
      <c r="DG37" s="56">
        <v>223.7</v>
      </c>
      <c r="DH37" s="56">
        <v>228</v>
      </c>
      <c r="DI37" s="56">
        <v>232.4</v>
      </c>
      <c r="DJ37" s="56">
        <v>232.1</v>
      </c>
      <c r="DK37" s="56">
        <v>235.3</v>
      </c>
      <c r="DL37" s="56">
        <v>233.9</v>
      </c>
      <c r="DM37" s="56">
        <v>241.7</v>
      </c>
      <c r="DN37" s="56">
        <v>247.8</v>
      </c>
      <c r="DO37" s="56">
        <v>246.4</v>
      </c>
      <c r="DP37" s="56">
        <v>255</v>
      </c>
      <c r="DQ37" s="56">
        <v>260.2</v>
      </c>
      <c r="DR37" s="56">
        <v>260.10000000000002</v>
      </c>
      <c r="DS37" s="56">
        <v>269.39999999999998</v>
      </c>
      <c r="DT37" s="56">
        <v>277.2</v>
      </c>
      <c r="DU37" s="56">
        <v>279.10000000000002</v>
      </c>
      <c r="DV37" s="56">
        <v>290.39999999999998</v>
      </c>
      <c r="DW37" s="56">
        <v>308</v>
      </c>
      <c r="DX37" s="56">
        <v>295.8</v>
      </c>
      <c r="DY37" s="56">
        <v>326</v>
      </c>
      <c r="DZ37" s="56">
        <v>326</v>
      </c>
      <c r="EA37" s="56">
        <v>326</v>
      </c>
      <c r="EB37" s="56">
        <v>334.7</v>
      </c>
      <c r="EC37" s="56">
        <v>345.4</v>
      </c>
      <c r="ED37" s="56">
        <v>347</v>
      </c>
      <c r="EE37" s="56">
        <v>348.3</v>
      </c>
      <c r="EF37" s="56">
        <v>361.8</v>
      </c>
      <c r="EG37" s="56">
        <v>357</v>
      </c>
      <c r="EH37" s="56">
        <v>376</v>
      </c>
      <c r="EI37" s="56">
        <v>387.1</v>
      </c>
      <c r="EJ37" s="56">
        <v>385.7</v>
      </c>
      <c r="EK37" s="56">
        <v>391</v>
      </c>
      <c r="EL37" s="56">
        <v>399.1</v>
      </c>
      <c r="EM37" s="56">
        <v>410</v>
      </c>
      <c r="EN37" s="56">
        <v>409.1</v>
      </c>
      <c r="EO37" s="56">
        <v>407.9</v>
      </c>
      <c r="EP37" s="56">
        <v>394</v>
      </c>
      <c r="EQ37" s="56">
        <v>399.2</v>
      </c>
      <c r="ER37" s="56">
        <v>414.4</v>
      </c>
      <c r="ES37" s="56">
        <v>408.1</v>
      </c>
      <c r="ET37" s="56">
        <v>440.1</v>
      </c>
      <c r="EU37" s="56">
        <v>423.7</v>
      </c>
      <c r="EV37" s="56">
        <v>429.9</v>
      </c>
      <c r="EW37" s="56">
        <v>442.3</v>
      </c>
      <c r="EX37" s="56">
        <v>446.3</v>
      </c>
      <c r="EY37" s="56">
        <v>456</v>
      </c>
      <c r="EZ37" s="56">
        <v>460</v>
      </c>
      <c r="FA37" s="56">
        <v>462.1</v>
      </c>
      <c r="FB37" s="56">
        <v>480.2</v>
      </c>
      <c r="FC37" s="56">
        <v>492</v>
      </c>
      <c r="FD37" s="56">
        <v>502.4</v>
      </c>
      <c r="FE37" s="56">
        <v>498.2</v>
      </c>
      <c r="FF37" s="56">
        <v>508.7</v>
      </c>
      <c r="FG37" s="56">
        <v>513</v>
      </c>
      <c r="FH37" s="56">
        <v>533.20000000000005</v>
      </c>
      <c r="FI37" s="56">
        <v>540.79999999999995</v>
      </c>
      <c r="FJ37" s="56">
        <v>544.4</v>
      </c>
      <c r="FK37" s="56">
        <v>534.70000000000005</v>
      </c>
      <c r="FL37" s="56">
        <v>520.70000000000005</v>
      </c>
      <c r="FM37" s="56">
        <v>522.9</v>
      </c>
      <c r="FN37" s="56">
        <v>523.9</v>
      </c>
      <c r="FO37" s="56">
        <v>544.4</v>
      </c>
      <c r="FP37" s="56">
        <v>542</v>
      </c>
      <c r="FQ37" s="56">
        <v>552.70000000000005</v>
      </c>
      <c r="FR37" s="56">
        <v>548.4</v>
      </c>
      <c r="FS37" s="56">
        <v>562.79999999999995</v>
      </c>
      <c r="FT37" s="56">
        <v>572.79999999999995</v>
      </c>
      <c r="FU37" s="56">
        <v>573.6</v>
      </c>
      <c r="FV37" s="56">
        <v>585.1</v>
      </c>
      <c r="FW37" s="56">
        <v>607.79999999999995</v>
      </c>
      <c r="FX37" s="56">
        <v>634.1</v>
      </c>
      <c r="FY37" s="56">
        <v>643.20000000000005</v>
      </c>
      <c r="FZ37" s="56">
        <v>652.20000000000005</v>
      </c>
      <c r="GA37" s="56">
        <v>667.3</v>
      </c>
      <c r="GB37" s="56">
        <v>670.2</v>
      </c>
      <c r="GC37" s="56">
        <v>671.5</v>
      </c>
      <c r="GD37" s="56">
        <v>679.9</v>
      </c>
      <c r="GE37" s="56">
        <v>688.5</v>
      </c>
      <c r="GF37" s="56">
        <v>697.2</v>
      </c>
      <c r="GG37" s="56">
        <v>706.6</v>
      </c>
      <c r="GH37" s="56">
        <v>705.1</v>
      </c>
      <c r="GI37" s="56">
        <v>702.3</v>
      </c>
      <c r="GJ37" s="56">
        <v>718</v>
      </c>
      <c r="GK37" s="56">
        <v>713.3</v>
      </c>
      <c r="GL37" s="56">
        <v>720.7</v>
      </c>
      <c r="GM37" s="56">
        <v>732.9</v>
      </c>
      <c r="GN37" s="56">
        <v>737.3</v>
      </c>
      <c r="GO37" s="56">
        <v>733.6</v>
      </c>
      <c r="GP37" s="56">
        <v>744.2</v>
      </c>
      <c r="GQ37" s="56">
        <v>762.1</v>
      </c>
      <c r="GR37" s="56">
        <v>772.2</v>
      </c>
      <c r="GS37" s="56">
        <v>772.4</v>
      </c>
      <c r="GT37" s="56">
        <v>761.7</v>
      </c>
      <c r="GU37" s="56">
        <v>812.1</v>
      </c>
      <c r="GV37" s="56">
        <v>850.2</v>
      </c>
      <c r="GW37" s="56">
        <v>838.8</v>
      </c>
      <c r="GX37" s="56">
        <v>866.1</v>
      </c>
      <c r="GY37" s="56">
        <v>908</v>
      </c>
      <c r="GZ37" s="56">
        <v>915.6</v>
      </c>
      <c r="HA37" s="56">
        <v>912.9</v>
      </c>
      <c r="HB37" s="56">
        <v>960.5</v>
      </c>
      <c r="HC37">
        <v>995.3</v>
      </c>
      <c r="HD37">
        <v>1015.5</v>
      </c>
      <c r="HE37">
        <v>1078.2</v>
      </c>
      <c r="HF37">
        <v>1055.7</v>
      </c>
      <c r="HG37">
        <v>1087.5</v>
      </c>
      <c r="HH37">
        <v>1057.5999999999999</v>
      </c>
      <c r="HI37">
        <v>1045.2</v>
      </c>
      <c r="HJ37">
        <v>1094.8</v>
      </c>
    </row>
    <row r="38" spans="1:218" x14ac:dyDescent="0.35">
      <c r="A38" s="56" t="s">
        <v>2233</v>
      </c>
      <c r="B38" s="56">
        <v>129.9</v>
      </c>
      <c r="C38" s="56">
        <v>134.1</v>
      </c>
      <c r="D38" s="56">
        <v>140.1</v>
      </c>
      <c r="E38" s="56">
        <v>144.30000000000001</v>
      </c>
      <c r="F38" s="56">
        <v>149.1</v>
      </c>
      <c r="G38" s="56">
        <v>153.6</v>
      </c>
      <c r="H38" s="56">
        <v>156.9</v>
      </c>
      <c r="I38" s="56">
        <v>161</v>
      </c>
      <c r="J38" s="56">
        <v>165.7</v>
      </c>
      <c r="K38" s="56">
        <v>167.9</v>
      </c>
      <c r="L38" s="56">
        <v>172.5</v>
      </c>
      <c r="M38" s="56">
        <v>176.8</v>
      </c>
      <c r="N38" s="56">
        <v>181.7</v>
      </c>
      <c r="O38" s="56">
        <v>185.7</v>
      </c>
      <c r="P38" s="56">
        <v>190</v>
      </c>
      <c r="Q38" s="56">
        <v>195.9</v>
      </c>
      <c r="R38" s="56">
        <v>201.1</v>
      </c>
      <c r="S38" s="56">
        <v>210.1</v>
      </c>
      <c r="T38" s="56">
        <v>217</v>
      </c>
      <c r="U38" s="56">
        <v>223.7</v>
      </c>
      <c r="V38" s="56">
        <v>235.9</v>
      </c>
      <c r="W38" s="56">
        <v>240.3</v>
      </c>
      <c r="X38" s="56">
        <v>246.6</v>
      </c>
      <c r="Y38" s="56">
        <v>254.2</v>
      </c>
      <c r="Z38" s="56">
        <v>260.3</v>
      </c>
      <c r="AA38" s="56">
        <v>259.39999999999998</v>
      </c>
      <c r="AB38" s="56">
        <v>261.3</v>
      </c>
      <c r="AC38" s="56">
        <v>263.89999999999998</v>
      </c>
      <c r="AD38" s="56">
        <v>271.10000000000002</v>
      </c>
      <c r="AE38" s="56">
        <v>278.60000000000002</v>
      </c>
      <c r="AF38" s="56">
        <v>282.3</v>
      </c>
      <c r="AG38" s="56">
        <v>287.5</v>
      </c>
      <c r="AH38" s="56">
        <v>292.5</v>
      </c>
      <c r="AI38" s="56">
        <v>306</v>
      </c>
      <c r="AJ38" s="56">
        <v>313.5</v>
      </c>
      <c r="AK38" s="56">
        <v>320.5</v>
      </c>
      <c r="AL38" s="56">
        <v>323.2</v>
      </c>
      <c r="AM38" s="56">
        <v>333.2</v>
      </c>
      <c r="AN38" s="56">
        <v>344.8</v>
      </c>
      <c r="AO38" s="56">
        <v>356.1</v>
      </c>
      <c r="AP38" s="56">
        <v>367.6</v>
      </c>
      <c r="AQ38" s="56">
        <v>371.7</v>
      </c>
      <c r="AR38" s="56">
        <v>379.1</v>
      </c>
      <c r="AS38" s="56">
        <v>388.1</v>
      </c>
      <c r="AT38" s="56">
        <v>402.6</v>
      </c>
      <c r="AU38" s="56">
        <v>405.3</v>
      </c>
      <c r="AV38" s="56">
        <v>409.8</v>
      </c>
      <c r="AW38" s="56">
        <v>418.5</v>
      </c>
      <c r="AX38" s="56">
        <v>425.5</v>
      </c>
      <c r="AY38" s="56">
        <v>435.4</v>
      </c>
      <c r="AZ38" s="56">
        <v>443.4</v>
      </c>
      <c r="BA38" s="56">
        <v>452.9</v>
      </c>
      <c r="BB38" s="56">
        <v>461.9</v>
      </c>
      <c r="BC38" s="56">
        <v>467.5</v>
      </c>
      <c r="BD38" s="56">
        <v>476.7</v>
      </c>
      <c r="BE38" s="56">
        <v>482.1</v>
      </c>
      <c r="BF38" s="56">
        <v>495.1</v>
      </c>
      <c r="BG38" s="56">
        <v>505.9</v>
      </c>
      <c r="BH38" s="56">
        <v>518.29999999999995</v>
      </c>
      <c r="BI38" s="56">
        <v>529.29999999999995</v>
      </c>
      <c r="BJ38" s="56">
        <v>542.70000000000005</v>
      </c>
      <c r="BK38" s="56">
        <v>557.70000000000005</v>
      </c>
      <c r="BL38" s="56">
        <v>571.6</v>
      </c>
      <c r="BM38" s="56">
        <v>582.20000000000005</v>
      </c>
      <c r="BN38" s="56">
        <v>595.9</v>
      </c>
      <c r="BO38" s="56">
        <v>605.5</v>
      </c>
      <c r="BP38" s="56">
        <v>616.5</v>
      </c>
      <c r="BQ38" s="56">
        <v>626.29999999999995</v>
      </c>
      <c r="BR38" s="56">
        <v>637.79999999999995</v>
      </c>
      <c r="BS38" s="56">
        <v>646.9</v>
      </c>
      <c r="BT38" s="56">
        <v>656.4</v>
      </c>
      <c r="BU38" s="56">
        <v>668.1</v>
      </c>
      <c r="BV38" s="56">
        <v>678.6</v>
      </c>
      <c r="BW38" s="56">
        <v>693.1</v>
      </c>
      <c r="BX38" s="56">
        <v>703.2</v>
      </c>
      <c r="BY38" s="56">
        <v>720.1</v>
      </c>
      <c r="BZ38" s="56">
        <v>736.6</v>
      </c>
      <c r="CA38" s="56">
        <v>755.1</v>
      </c>
      <c r="CB38" s="56">
        <v>770.4</v>
      </c>
      <c r="CC38" s="56">
        <v>790</v>
      </c>
      <c r="CD38" s="56">
        <v>811.4</v>
      </c>
      <c r="CE38" s="56">
        <v>824.1</v>
      </c>
      <c r="CF38" s="56">
        <v>843.9</v>
      </c>
      <c r="CG38" s="56">
        <v>871</v>
      </c>
      <c r="CH38" s="56">
        <v>881.6</v>
      </c>
      <c r="CI38" s="56">
        <v>901.3</v>
      </c>
      <c r="CJ38" s="56">
        <v>919.2</v>
      </c>
      <c r="CK38" s="56">
        <v>947</v>
      </c>
      <c r="CL38" s="56">
        <v>959.3</v>
      </c>
      <c r="CM38" s="56">
        <v>975.2</v>
      </c>
      <c r="CN38" s="56">
        <v>988.2</v>
      </c>
      <c r="CO38" s="56">
        <v>991.3</v>
      </c>
      <c r="CP38" s="56">
        <v>1001.1</v>
      </c>
      <c r="CQ38" s="56">
        <v>1011.6</v>
      </c>
      <c r="CR38" s="56">
        <v>1028.0999999999999</v>
      </c>
      <c r="CS38" s="56">
        <v>1036.0999999999999</v>
      </c>
      <c r="CT38" s="56">
        <v>1046.5999999999999</v>
      </c>
      <c r="CU38" s="56">
        <v>1060.5</v>
      </c>
      <c r="CV38" s="56">
        <v>1077.4000000000001</v>
      </c>
      <c r="CW38" s="56">
        <v>1100.7</v>
      </c>
      <c r="CX38" s="56">
        <v>1118.5</v>
      </c>
      <c r="CY38" s="56">
        <v>1132.8</v>
      </c>
      <c r="CZ38" s="56">
        <v>1136.8</v>
      </c>
      <c r="DA38" s="56">
        <v>1131.2</v>
      </c>
      <c r="DB38" s="56">
        <v>1145.0999999999999</v>
      </c>
      <c r="DC38" s="56">
        <v>1171.4000000000001</v>
      </c>
      <c r="DD38" s="56">
        <v>1176</v>
      </c>
      <c r="DE38" s="56">
        <v>1192</v>
      </c>
      <c r="DF38" s="56">
        <v>1202.5</v>
      </c>
      <c r="DG38" s="56">
        <v>1209</v>
      </c>
      <c r="DH38" s="56">
        <v>1225.5</v>
      </c>
      <c r="DI38" s="56">
        <v>1243.5</v>
      </c>
      <c r="DJ38" s="56">
        <v>1250.5</v>
      </c>
      <c r="DK38" s="56">
        <v>1272.2</v>
      </c>
      <c r="DL38" s="56">
        <v>1290.9000000000001</v>
      </c>
      <c r="DM38" s="56">
        <v>1312.2</v>
      </c>
      <c r="DN38" s="56">
        <v>1338.9</v>
      </c>
      <c r="DO38" s="56">
        <v>1357.5</v>
      </c>
      <c r="DP38" s="56">
        <v>1388.2</v>
      </c>
      <c r="DQ38" s="56">
        <v>1417.2</v>
      </c>
      <c r="DR38" s="56">
        <v>1435.6</v>
      </c>
      <c r="DS38" s="56">
        <v>1453</v>
      </c>
      <c r="DT38" s="56">
        <v>1478</v>
      </c>
      <c r="DU38" s="56">
        <v>1507</v>
      </c>
      <c r="DV38" s="56">
        <v>1560.6</v>
      </c>
      <c r="DW38" s="56">
        <v>1617.6</v>
      </c>
      <c r="DX38" s="56">
        <v>1597.3</v>
      </c>
      <c r="DY38" s="56">
        <v>1656.2</v>
      </c>
      <c r="DZ38" s="56">
        <v>1677.3</v>
      </c>
      <c r="EA38" s="56">
        <v>1694.5</v>
      </c>
      <c r="EB38" s="56">
        <v>1724.4</v>
      </c>
      <c r="EC38" s="56">
        <v>1756.3</v>
      </c>
      <c r="ED38" s="56">
        <v>1781.7</v>
      </c>
      <c r="EE38" s="56">
        <v>1783.4</v>
      </c>
      <c r="EF38" s="56">
        <v>1811.7</v>
      </c>
      <c r="EG38" s="56">
        <v>1814.6</v>
      </c>
      <c r="EH38" s="56">
        <v>1843.6</v>
      </c>
      <c r="EI38" s="56">
        <v>1868.2</v>
      </c>
      <c r="EJ38" s="56">
        <v>1895.3</v>
      </c>
      <c r="EK38" s="56">
        <v>1903</v>
      </c>
      <c r="EL38" s="56">
        <v>1925.1</v>
      </c>
      <c r="EM38" s="56">
        <v>1952.9</v>
      </c>
      <c r="EN38" s="56">
        <v>1978</v>
      </c>
      <c r="EO38" s="56">
        <v>2024.5</v>
      </c>
      <c r="EP38" s="56">
        <v>2008</v>
      </c>
      <c r="EQ38" s="56">
        <v>2042.4</v>
      </c>
      <c r="ER38" s="56">
        <v>2078.5</v>
      </c>
      <c r="ES38" s="56">
        <v>2094.1999999999998</v>
      </c>
      <c r="ET38" s="56">
        <v>2165.9</v>
      </c>
      <c r="EU38" s="56">
        <v>2182.4</v>
      </c>
      <c r="EV38" s="56">
        <v>2205.9</v>
      </c>
      <c r="EW38" s="56">
        <v>2242.1</v>
      </c>
      <c r="EX38" s="56">
        <v>2256.4</v>
      </c>
      <c r="EY38" s="56">
        <v>2293.3000000000002</v>
      </c>
      <c r="EZ38" s="56">
        <v>2337.8000000000002</v>
      </c>
      <c r="FA38" s="56">
        <v>2337.1999999999998</v>
      </c>
      <c r="FB38" s="56">
        <v>2371.5</v>
      </c>
      <c r="FC38" s="56">
        <v>2419.8000000000002</v>
      </c>
      <c r="FD38" s="56">
        <v>2446.9</v>
      </c>
      <c r="FE38" s="56">
        <v>2444.5</v>
      </c>
      <c r="FF38" s="56">
        <v>2439.1</v>
      </c>
      <c r="FG38" s="56">
        <v>2443.1</v>
      </c>
      <c r="FH38" s="56">
        <v>2451.4</v>
      </c>
      <c r="FI38" s="56">
        <v>2452.3000000000002</v>
      </c>
      <c r="FJ38" s="56">
        <v>2451.4</v>
      </c>
      <c r="FK38" s="56">
        <v>2445</v>
      </c>
      <c r="FL38" s="56">
        <v>2423.3000000000002</v>
      </c>
      <c r="FM38" s="56">
        <v>2417.9</v>
      </c>
      <c r="FN38" s="56">
        <v>2431.3000000000002</v>
      </c>
      <c r="FO38" s="56">
        <v>2447.1999999999998</v>
      </c>
      <c r="FP38" s="56">
        <v>2448.6</v>
      </c>
      <c r="FQ38" s="56">
        <v>2475.8000000000002</v>
      </c>
      <c r="FR38" s="56">
        <v>2483.9</v>
      </c>
      <c r="FS38" s="56">
        <v>2506.1999999999998</v>
      </c>
      <c r="FT38" s="56">
        <v>2526.9</v>
      </c>
      <c r="FU38" s="56">
        <v>2529.9</v>
      </c>
      <c r="FV38" s="56">
        <v>2540.3000000000002</v>
      </c>
      <c r="FW38" s="56">
        <v>2577.6</v>
      </c>
      <c r="FX38" s="56">
        <v>2619.9</v>
      </c>
      <c r="FY38" s="56">
        <v>2643.5</v>
      </c>
      <c r="FZ38" s="56">
        <v>2650.2</v>
      </c>
      <c r="GA38" s="56">
        <v>2706.1</v>
      </c>
      <c r="GB38" s="56">
        <v>2730.1</v>
      </c>
      <c r="GC38" s="56">
        <v>2731.2</v>
      </c>
      <c r="GD38" s="56">
        <v>2755.7</v>
      </c>
      <c r="GE38" s="56">
        <v>2784.2</v>
      </c>
      <c r="GF38" s="56">
        <v>2809.5</v>
      </c>
      <c r="GG38" s="56">
        <v>2835</v>
      </c>
      <c r="GH38" s="56">
        <v>2849.2</v>
      </c>
      <c r="GI38" s="56">
        <v>2851.8</v>
      </c>
      <c r="GJ38" s="56">
        <v>2892.4</v>
      </c>
      <c r="GK38" s="56">
        <v>2918.9</v>
      </c>
      <c r="GL38" s="56">
        <v>2940.4</v>
      </c>
      <c r="GM38" s="56">
        <v>2985</v>
      </c>
      <c r="GN38" s="56">
        <v>3020.2</v>
      </c>
      <c r="GO38" s="56">
        <v>3027</v>
      </c>
      <c r="GP38" s="56">
        <v>3072.9</v>
      </c>
      <c r="GQ38" s="56">
        <v>3145</v>
      </c>
      <c r="GR38" s="56">
        <v>3186</v>
      </c>
      <c r="GS38" s="56">
        <v>3217.4</v>
      </c>
      <c r="GT38" s="56">
        <v>3253.3</v>
      </c>
      <c r="GU38" s="56">
        <v>3270.2</v>
      </c>
      <c r="GV38" s="56">
        <v>3318.1</v>
      </c>
      <c r="GW38" s="56">
        <v>3320.8</v>
      </c>
      <c r="GX38" s="56">
        <v>3391.6</v>
      </c>
      <c r="GY38" s="56">
        <v>3465</v>
      </c>
      <c r="GZ38" s="56">
        <v>3501.8</v>
      </c>
      <c r="HA38" s="56">
        <v>3516.4</v>
      </c>
      <c r="HB38" s="56">
        <v>3592.5</v>
      </c>
      <c r="HC38">
        <v>3691.8</v>
      </c>
      <c r="HD38">
        <v>3753.6</v>
      </c>
      <c r="HE38">
        <v>3851.6</v>
      </c>
      <c r="HF38">
        <v>3877.6</v>
      </c>
      <c r="HG38">
        <v>3934.2</v>
      </c>
      <c r="HH38">
        <v>3985.3</v>
      </c>
      <c r="HI38">
        <v>4017.4</v>
      </c>
      <c r="HJ38">
        <v>4105</v>
      </c>
    </row>
    <row r="39" spans="1:218" x14ac:dyDescent="0.35">
      <c r="A39" s="56" t="s">
        <v>2234</v>
      </c>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c r="BU39" s="56"/>
      <c r="BV39" s="56"/>
      <c r="BW39" s="56"/>
      <c r="BX39" s="56"/>
      <c r="BY39" s="56"/>
      <c r="BZ39" s="56"/>
      <c r="CA39" s="56"/>
      <c r="CB39" s="56"/>
      <c r="CC39" s="56"/>
      <c r="CD39" s="56"/>
      <c r="CE39" s="56"/>
      <c r="CF39" s="56"/>
      <c r="CG39" s="56"/>
      <c r="CH39" s="56"/>
      <c r="CI39" s="56"/>
      <c r="CJ39" s="56"/>
      <c r="CK39" s="56"/>
      <c r="CL39" s="56"/>
      <c r="CM39" s="56"/>
      <c r="CN39" s="56"/>
      <c r="CO39" s="56"/>
      <c r="CP39" s="56">
        <v>78.072000000000003</v>
      </c>
      <c r="CQ39" s="56">
        <v>80.831000000000003</v>
      </c>
      <c r="CR39" s="56">
        <v>85.251000000000005</v>
      </c>
      <c r="CS39" s="56">
        <v>88.177999999999997</v>
      </c>
      <c r="CT39" s="56">
        <v>84.001999999999995</v>
      </c>
      <c r="CU39" s="56">
        <v>86.254999999999995</v>
      </c>
      <c r="CV39" s="56">
        <v>87.977999999999994</v>
      </c>
      <c r="CW39" s="56">
        <v>89.828999999999994</v>
      </c>
      <c r="CX39" s="56">
        <v>95.218000000000004</v>
      </c>
      <c r="CY39" s="56">
        <v>94.483999999999995</v>
      </c>
      <c r="CZ39" s="56">
        <v>93.858000000000004</v>
      </c>
      <c r="DA39" s="56">
        <v>92.180999999999997</v>
      </c>
      <c r="DB39" s="56">
        <v>94.539000000000001</v>
      </c>
      <c r="DC39" s="56">
        <v>102.461</v>
      </c>
      <c r="DD39" s="56">
        <v>99.671999999999997</v>
      </c>
      <c r="DE39" s="56">
        <v>97.608999999999995</v>
      </c>
      <c r="DF39" s="56">
        <v>98.691000000000003</v>
      </c>
      <c r="DG39" s="56">
        <v>98.641999999999996</v>
      </c>
      <c r="DH39" s="56">
        <v>101.001</v>
      </c>
      <c r="DI39" s="56">
        <v>105.738</v>
      </c>
      <c r="DJ39" s="56">
        <v>103.992</v>
      </c>
      <c r="DK39" s="56">
        <v>106.28700000000001</v>
      </c>
      <c r="DL39" s="56">
        <v>106.646</v>
      </c>
      <c r="DM39" s="56">
        <v>110.762</v>
      </c>
      <c r="DN39" s="56">
        <v>114.027</v>
      </c>
      <c r="DO39" s="56">
        <v>113.559</v>
      </c>
      <c r="DP39" s="56">
        <v>120.524</v>
      </c>
      <c r="DQ39" s="56">
        <v>121.904</v>
      </c>
      <c r="DR39" s="56">
        <v>121.898</v>
      </c>
      <c r="DS39" s="56">
        <v>123.319</v>
      </c>
      <c r="DT39" s="56">
        <v>133.626</v>
      </c>
      <c r="DU39" s="56">
        <v>129.62200000000001</v>
      </c>
      <c r="DV39" s="56">
        <v>138.71600000000001</v>
      </c>
      <c r="DW39" s="56">
        <v>145.774</v>
      </c>
      <c r="DX39" s="56">
        <v>143.21899999999999</v>
      </c>
      <c r="DY39" s="56">
        <v>153.809</v>
      </c>
      <c r="DZ39" s="56">
        <v>156.084</v>
      </c>
      <c r="EA39" s="56">
        <v>157.45500000000001</v>
      </c>
      <c r="EB39" s="56">
        <v>164.01</v>
      </c>
      <c r="EC39" s="56">
        <v>166.934</v>
      </c>
      <c r="ED39" s="56">
        <v>165.90600000000001</v>
      </c>
      <c r="EE39" s="56">
        <v>171.10599999999999</v>
      </c>
      <c r="EF39" s="56">
        <v>186.792</v>
      </c>
      <c r="EG39" s="56">
        <v>182.54300000000001</v>
      </c>
      <c r="EH39" s="56">
        <v>190.07</v>
      </c>
      <c r="EI39" s="56">
        <v>194.96299999999999</v>
      </c>
      <c r="EJ39" s="56">
        <v>186.476</v>
      </c>
      <c r="EK39" s="56">
        <v>191.75200000000001</v>
      </c>
      <c r="EL39" s="56">
        <v>199.036</v>
      </c>
      <c r="EM39" s="56">
        <v>200.24600000000001</v>
      </c>
      <c r="EN39" s="56">
        <v>195.23099999999999</v>
      </c>
      <c r="EO39" s="56">
        <v>197.352</v>
      </c>
      <c r="EP39" s="56">
        <v>191.74700000000001</v>
      </c>
      <c r="EQ39" s="56">
        <v>189.018</v>
      </c>
      <c r="ER39" s="56">
        <v>197.488</v>
      </c>
      <c r="ES39" s="56">
        <v>189.083</v>
      </c>
      <c r="ET39" s="56">
        <v>209.34700000000001</v>
      </c>
      <c r="EU39" s="56">
        <v>201.38300000000001</v>
      </c>
      <c r="EV39" s="56">
        <v>204.31800000000001</v>
      </c>
      <c r="EW39" s="56">
        <v>206.11</v>
      </c>
      <c r="EX39" s="56">
        <v>209.60300000000001</v>
      </c>
      <c r="EY39" s="56">
        <v>216.57</v>
      </c>
      <c r="EZ39" s="56">
        <v>213.01599999999999</v>
      </c>
      <c r="FA39" s="56">
        <v>217.49100000000001</v>
      </c>
      <c r="FB39" s="56">
        <v>266.40699999999998</v>
      </c>
      <c r="FC39" s="56">
        <v>284.52600000000001</v>
      </c>
      <c r="FD39" s="56">
        <v>273.90300000000002</v>
      </c>
      <c r="FE39" s="56">
        <v>272.34500000000003</v>
      </c>
      <c r="FF39" s="56">
        <v>283.26799999999997</v>
      </c>
      <c r="FG39" s="56">
        <v>290.80799999999999</v>
      </c>
      <c r="FH39" s="56">
        <v>297.13</v>
      </c>
      <c r="FI39" s="56">
        <v>309.66800000000001</v>
      </c>
      <c r="FJ39" s="56">
        <v>293.83999999999997</v>
      </c>
      <c r="FK39" s="56">
        <v>288.89999999999998</v>
      </c>
      <c r="FL39" s="56">
        <v>248.81299999999999</v>
      </c>
      <c r="FM39" s="56">
        <v>249.625</v>
      </c>
      <c r="FN39" s="56">
        <v>258.161</v>
      </c>
      <c r="FO39" s="56">
        <v>273.39</v>
      </c>
      <c r="FP39" s="56">
        <v>263.07900000000001</v>
      </c>
      <c r="FQ39" s="56">
        <v>269.70999999999998</v>
      </c>
      <c r="FR39" s="56">
        <v>272.06299999999999</v>
      </c>
      <c r="FS39" s="56">
        <v>283.40800000000002</v>
      </c>
      <c r="FT39" s="56">
        <v>281.45499999999998</v>
      </c>
      <c r="FU39" s="56">
        <v>282.10700000000003</v>
      </c>
      <c r="FV39" s="56">
        <v>303.39</v>
      </c>
      <c r="FW39" s="56">
        <v>320.01499999999999</v>
      </c>
      <c r="FX39" s="56">
        <v>343.69200000000001</v>
      </c>
      <c r="FY39" s="56">
        <v>345.71199999999999</v>
      </c>
      <c r="FZ39" s="56">
        <v>362.79199999999997</v>
      </c>
      <c r="GA39" s="56">
        <v>363.41</v>
      </c>
      <c r="GB39" s="56">
        <v>365.38400000000001</v>
      </c>
      <c r="GC39" s="56">
        <v>384.03199999999998</v>
      </c>
      <c r="GD39" s="56">
        <v>378.24599999999998</v>
      </c>
      <c r="GE39" s="56">
        <v>382.36700000000002</v>
      </c>
      <c r="GF39" s="56">
        <v>396.21600000000001</v>
      </c>
      <c r="GG39" s="56">
        <v>408.32299999999998</v>
      </c>
      <c r="GH39" s="56">
        <v>396.16199999999998</v>
      </c>
      <c r="GI39" s="56">
        <v>373.916</v>
      </c>
      <c r="GJ39" s="56">
        <v>396.06599999999997</v>
      </c>
      <c r="GK39" s="56">
        <v>401.38499999999999</v>
      </c>
      <c r="GL39" s="56">
        <v>411.488</v>
      </c>
      <c r="GM39" s="56">
        <v>404.339</v>
      </c>
      <c r="GN39" s="56">
        <v>411.95499999999998</v>
      </c>
      <c r="GO39" s="56">
        <v>412.702</v>
      </c>
      <c r="GP39" s="56">
        <v>428.54199999999997</v>
      </c>
      <c r="GQ39" s="56">
        <v>435.80200000000002</v>
      </c>
      <c r="GR39" s="56">
        <v>438.41199999999998</v>
      </c>
      <c r="GS39" s="56">
        <v>438.09800000000001</v>
      </c>
      <c r="GT39" s="56">
        <v>448.28899999999999</v>
      </c>
      <c r="GU39" s="56">
        <v>580.39099999999996</v>
      </c>
      <c r="GV39" s="56">
        <v>533.846</v>
      </c>
      <c r="GW39" s="56">
        <v>544.28700000000003</v>
      </c>
      <c r="GX39" s="56">
        <v>541.42399999999998</v>
      </c>
      <c r="GY39" s="56">
        <v>556.03399999999999</v>
      </c>
      <c r="GZ39" s="56">
        <v>581.58000000000004</v>
      </c>
      <c r="HA39" s="56">
        <v>611.87599999999998</v>
      </c>
      <c r="HB39" s="56">
        <v>640.38</v>
      </c>
      <c r="HC39">
        <v>637.29200000000003</v>
      </c>
      <c r="HD39">
        <v>641.39700000000005</v>
      </c>
      <c r="HE39">
        <v>640.96799999999996</v>
      </c>
      <c r="HF39">
        <v>663.50199999999995</v>
      </c>
      <c r="HG39">
        <v>669.447</v>
      </c>
      <c r="HH39">
        <v>622.95699999999999</v>
      </c>
      <c r="HI39">
        <v>646.50400000000002</v>
      </c>
      <c r="HJ39">
        <v>643.06399999999996</v>
      </c>
    </row>
    <row r="40" spans="1:218" x14ac:dyDescent="0.35">
      <c r="A40" s="56" t="s">
        <v>2235</v>
      </c>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v>73.888000000000005</v>
      </c>
      <c r="CQ40" s="56">
        <v>76.036000000000001</v>
      </c>
      <c r="CR40" s="56">
        <v>80.603999999999999</v>
      </c>
      <c r="CS40" s="56">
        <v>84.1</v>
      </c>
      <c r="CT40" s="56">
        <v>78.947999999999993</v>
      </c>
      <c r="CU40" s="56">
        <v>81.772000000000006</v>
      </c>
      <c r="CV40" s="56">
        <v>82.891999999999996</v>
      </c>
      <c r="CW40" s="56">
        <v>85.54</v>
      </c>
      <c r="CX40" s="56">
        <v>90.524000000000001</v>
      </c>
      <c r="CY40" s="56">
        <v>90.54</v>
      </c>
      <c r="CZ40" s="56">
        <v>89.28</v>
      </c>
      <c r="DA40" s="56">
        <v>87.567999999999998</v>
      </c>
      <c r="DB40" s="56">
        <v>88.772000000000006</v>
      </c>
      <c r="DC40" s="56">
        <v>96.376000000000005</v>
      </c>
      <c r="DD40" s="56">
        <v>94.872</v>
      </c>
      <c r="DE40" s="56">
        <v>93.891999999999996</v>
      </c>
      <c r="DF40" s="56">
        <v>95.98</v>
      </c>
      <c r="DG40" s="56">
        <v>94.924000000000007</v>
      </c>
      <c r="DH40" s="56">
        <v>97.108000000000004</v>
      </c>
      <c r="DI40" s="56">
        <v>101.384</v>
      </c>
      <c r="DJ40" s="56">
        <v>99.444000000000003</v>
      </c>
      <c r="DK40" s="56">
        <v>101.608</v>
      </c>
      <c r="DL40" s="56">
        <v>102.26</v>
      </c>
      <c r="DM40" s="56">
        <v>103.952</v>
      </c>
      <c r="DN40" s="56">
        <v>107.1</v>
      </c>
      <c r="DO40" s="56">
        <v>107.208</v>
      </c>
      <c r="DP40" s="56">
        <v>113.428</v>
      </c>
      <c r="DQ40" s="56">
        <v>114.62</v>
      </c>
      <c r="DR40" s="56">
        <v>114.852</v>
      </c>
      <c r="DS40" s="56">
        <v>116.16800000000001</v>
      </c>
      <c r="DT40" s="56">
        <v>125.392</v>
      </c>
      <c r="DU40" s="56">
        <v>121.748</v>
      </c>
      <c r="DV40" s="56">
        <v>129.38800000000001</v>
      </c>
      <c r="DW40" s="56">
        <v>132.12799999999999</v>
      </c>
      <c r="DX40" s="56">
        <v>133.364</v>
      </c>
      <c r="DY40" s="56">
        <v>143.65199999999999</v>
      </c>
      <c r="DZ40" s="56">
        <v>145.547</v>
      </c>
      <c r="EA40" s="56">
        <v>146.352</v>
      </c>
      <c r="EB40" s="56">
        <v>152.89599999999999</v>
      </c>
      <c r="EC40" s="56">
        <v>155.30699999999999</v>
      </c>
      <c r="ED40" s="56">
        <v>154.37799999999999</v>
      </c>
      <c r="EE40" s="56">
        <v>158.02000000000001</v>
      </c>
      <c r="EF40" s="56">
        <v>174.22900000000001</v>
      </c>
      <c r="EG40" s="56">
        <v>170.506</v>
      </c>
      <c r="EH40" s="56">
        <v>177.77199999999999</v>
      </c>
      <c r="EI40" s="56">
        <v>182.69200000000001</v>
      </c>
      <c r="EJ40" s="56">
        <v>173.33</v>
      </c>
      <c r="EK40" s="56">
        <v>177.28200000000001</v>
      </c>
      <c r="EL40" s="56">
        <v>183.90799999999999</v>
      </c>
      <c r="EM40" s="56">
        <v>185.81800000000001</v>
      </c>
      <c r="EN40" s="56">
        <v>179.68299999999999</v>
      </c>
      <c r="EO40" s="56">
        <v>182.94399999999999</v>
      </c>
      <c r="EP40" s="56">
        <v>175.95599999999999</v>
      </c>
      <c r="EQ40" s="56">
        <v>176.53</v>
      </c>
      <c r="ER40" s="56">
        <v>186.733</v>
      </c>
      <c r="ES40" s="56">
        <v>177.65899999999999</v>
      </c>
      <c r="ET40" s="56">
        <v>200.21799999999999</v>
      </c>
      <c r="EU40" s="56">
        <v>190.602</v>
      </c>
      <c r="EV40" s="56">
        <v>194.11099999999999</v>
      </c>
      <c r="EW40" s="56">
        <v>196.02799999999999</v>
      </c>
      <c r="EX40" s="56">
        <v>200.29400000000001</v>
      </c>
      <c r="EY40" s="56">
        <v>203.79400000000001</v>
      </c>
      <c r="EZ40" s="56">
        <v>205.059</v>
      </c>
      <c r="FA40" s="56">
        <v>208.505</v>
      </c>
      <c r="FB40" s="56">
        <v>256.94400000000002</v>
      </c>
      <c r="FC40" s="56">
        <v>274.66399999999999</v>
      </c>
      <c r="FD40" s="56">
        <v>263.92399999999998</v>
      </c>
      <c r="FE40" s="56">
        <v>261.94400000000002</v>
      </c>
      <c r="FF40" s="56">
        <v>271.84399999999999</v>
      </c>
      <c r="FG40" s="56">
        <v>272.45600000000002</v>
      </c>
      <c r="FH40" s="56">
        <v>283.69099999999997</v>
      </c>
      <c r="FI40" s="56">
        <v>297.60899999999998</v>
      </c>
      <c r="FJ40" s="56">
        <v>282.44499999999999</v>
      </c>
      <c r="FK40" s="56">
        <v>277.19600000000003</v>
      </c>
      <c r="FL40" s="56">
        <v>237.739</v>
      </c>
      <c r="FM40" s="56">
        <v>239.291</v>
      </c>
      <c r="FN40" s="56">
        <v>246.24799999999999</v>
      </c>
      <c r="FO40" s="56">
        <v>262.32400000000001</v>
      </c>
      <c r="FP40" s="56">
        <v>250.54</v>
      </c>
      <c r="FQ40" s="56">
        <v>259.56200000000001</v>
      </c>
      <c r="FR40" s="56">
        <v>258.45</v>
      </c>
      <c r="FS40" s="56">
        <v>270.887</v>
      </c>
      <c r="FT40" s="56">
        <v>269.279</v>
      </c>
      <c r="FU40" s="56">
        <v>269.98200000000003</v>
      </c>
      <c r="FV40" s="56">
        <v>291.58999999999997</v>
      </c>
      <c r="FW40" s="56">
        <v>307.77499999999998</v>
      </c>
      <c r="FX40" s="56">
        <v>332.4</v>
      </c>
      <c r="FY40" s="56">
        <v>335.61099999999999</v>
      </c>
      <c r="FZ40" s="56">
        <v>352.18799999999999</v>
      </c>
      <c r="GA40" s="56">
        <v>353.44200000000001</v>
      </c>
      <c r="GB40" s="56">
        <v>352.90899999999999</v>
      </c>
      <c r="GC40" s="56">
        <v>366.274</v>
      </c>
      <c r="GD40" s="56">
        <v>360.221</v>
      </c>
      <c r="GE40" s="56">
        <v>363.84399999999999</v>
      </c>
      <c r="GF40" s="56">
        <v>377.96699999999998</v>
      </c>
      <c r="GG40" s="56">
        <v>388.17599999999999</v>
      </c>
      <c r="GH40" s="56">
        <v>376.56400000000002</v>
      </c>
      <c r="GI40" s="56">
        <v>354.404</v>
      </c>
      <c r="GJ40" s="56">
        <v>375.43799999999999</v>
      </c>
      <c r="GK40" s="56">
        <v>382.68</v>
      </c>
      <c r="GL40" s="56">
        <v>389.90100000000001</v>
      </c>
      <c r="GM40" s="56">
        <v>385.517</v>
      </c>
      <c r="GN40" s="56">
        <v>390.85199999999998</v>
      </c>
      <c r="GO40" s="56">
        <v>391.92099999999999</v>
      </c>
      <c r="GP40" s="56">
        <v>406.23</v>
      </c>
      <c r="GQ40" s="56">
        <v>414.87200000000001</v>
      </c>
      <c r="GR40" s="56">
        <v>418.36200000000002</v>
      </c>
      <c r="GS40" s="56">
        <v>414.971</v>
      </c>
      <c r="GT40" s="56">
        <v>424.089</v>
      </c>
      <c r="GU40" s="56">
        <v>505.45</v>
      </c>
      <c r="GV40" s="56">
        <v>483.86599999999999</v>
      </c>
      <c r="GW40" s="56">
        <v>506.75599999999997</v>
      </c>
      <c r="GX40" s="56">
        <v>501.459</v>
      </c>
      <c r="GY40" s="56">
        <v>526.38599999999997</v>
      </c>
      <c r="GZ40" s="56">
        <v>541.66800000000001</v>
      </c>
      <c r="HA40" s="56">
        <v>563.64300000000003</v>
      </c>
      <c r="HB40" s="56">
        <v>594.56200000000001</v>
      </c>
      <c r="HC40">
        <v>595.59299999999996</v>
      </c>
      <c r="HD40">
        <v>607.94899999999996</v>
      </c>
      <c r="HE40">
        <v>607.13699999999994</v>
      </c>
      <c r="HF40">
        <v>630.96299999999997</v>
      </c>
      <c r="HG40">
        <v>639.71100000000001</v>
      </c>
      <c r="HH40">
        <v>590.947</v>
      </c>
      <c r="HI40">
        <v>616.99699999999996</v>
      </c>
      <c r="HJ40">
        <v>613.56899999999996</v>
      </c>
    </row>
    <row r="41" spans="1:218" x14ac:dyDescent="0.35">
      <c r="A41" s="56" t="s">
        <v>2236</v>
      </c>
      <c r="B41" s="56">
        <v>5.5759999999999996</v>
      </c>
      <c r="C41" s="56">
        <v>5.2279999999999998</v>
      </c>
      <c r="D41" s="56">
        <v>4.8159999999999998</v>
      </c>
      <c r="E41" s="56">
        <v>4.9000000000000004</v>
      </c>
      <c r="F41" s="56">
        <v>5.4640000000000004</v>
      </c>
      <c r="G41" s="56">
        <v>6.3120000000000003</v>
      </c>
      <c r="H41" s="56">
        <v>5.7560000000000002</v>
      </c>
      <c r="I41" s="56">
        <v>5.6440000000000001</v>
      </c>
      <c r="J41" s="56">
        <v>5.6680000000000001</v>
      </c>
      <c r="K41" s="56">
        <v>5.2160000000000002</v>
      </c>
      <c r="L41" s="56">
        <v>6.7240000000000002</v>
      </c>
      <c r="M41" s="56">
        <v>5.7</v>
      </c>
      <c r="N41" s="56">
        <v>5.74</v>
      </c>
      <c r="O41" s="56">
        <v>6.2080000000000002</v>
      </c>
      <c r="P41" s="56">
        <v>5.3440000000000003</v>
      </c>
      <c r="Q41" s="56">
        <v>5.92</v>
      </c>
      <c r="R41" s="56">
        <v>7.76</v>
      </c>
      <c r="S41" s="56">
        <v>8.5719999999999992</v>
      </c>
      <c r="T41" s="56">
        <v>6.4960000000000004</v>
      </c>
      <c r="U41" s="56">
        <v>7.84</v>
      </c>
      <c r="V41" s="56">
        <v>8.6519999999999992</v>
      </c>
      <c r="W41" s="56">
        <v>7.8040000000000003</v>
      </c>
      <c r="X41" s="56">
        <v>10.772</v>
      </c>
      <c r="Y41" s="56">
        <v>10.423999999999999</v>
      </c>
      <c r="Z41" s="56">
        <v>10.012</v>
      </c>
      <c r="AA41" s="56">
        <v>9.76</v>
      </c>
      <c r="AB41" s="56">
        <v>10.592000000000001</v>
      </c>
      <c r="AC41" s="56">
        <v>11.108000000000001</v>
      </c>
      <c r="AD41" s="56">
        <v>10.715999999999999</v>
      </c>
      <c r="AE41" s="56">
        <v>10.651999999999999</v>
      </c>
      <c r="AF41" s="56">
        <v>11.804</v>
      </c>
      <c r="AG41" s="56">
        <v>10.7</v>
      </c>
      <c r="AH41" s="56">
        <v>10.968</v>
      </c>
      <c r="AI41" s="56">
        <v>11.528</v>
      </c>
      <c r="AJ41" s="56">
        <v>11.907999999999999</v>
      </c>
      <c r="AK41" s="56">
        <v>12.528</v>
      </c>
      <c r="AL41" s="56">
        <v>13.592000000000001</v>
      </c>
      <c r="AM41" s="56">
        <v>13.048</v>
      </c>
      <c r="AN41" s="56">
        <v>14.292</v>
      </c>
      <c r="AO41" s="56">
        <v>15.752000000000001</v>
      </c>
      <c r="AP41" s="56">
        <v>16.260000000000002</v>
      </c>
      <c r="AQ41" s="56">
        <v>16.536000000000001</v>
      </c>
      <c r="AR41" s="56">
        <v>15.916</v>
      </c>
      <c r="AS41" s="56">
        <v>16.628</v>
      </c>
      <c r="AT41" s="56">
        <v>16.091999999999999</v>
      </c>
      <c r="AU41" s="56">
        <v>15.715999999999999</v>
      </c>
      <c r="AV41" s="56">
        <v>14.827999999999999</v>
      </c>
      <c r="AW41" s="56">
        <v>15.012</v>
      </c>
      <c r="AX41" s="56">
        <v>13.852</v>
      </c>
      <c r="AY41" s="56">
        <v>14.552</v>
      </c>
      <c r="AZ41" s="56">
        <v>14.544</v>
      </c>
      <c r="BA41" s="56">
        <v>14.484</v>
      </c>
      <c r="BB41" s="56">
        <v>15.9</v>
      </c>
      <c r="BC41" s="56">
        <v>14.2</v>
      </c>
      <c r="BD41" s="56">
        <v>15.904</v>
      </c>
      <c r="BE41" s="56">
        <v>15.768000000000001</v>
      </c>
      <c r="BF41" s="56">
        <v>16.556000000000001</v>
      </c>
      <c r="BG41" s="56">
        <v>17.236000000000001</v>
      </c>
      <c r="BH41" s="56">
        <v>18.091999999999999</v>
      </c>
      <c r="BI41" s="56">
        <v>18.824000000000002</v>
      </c>
      <c r="BJ41" s="56">
        <v>17.044</v>
      </c>
      <c r="BK41" s="56">
        <v>19.408000000000001</v>
      </c>
      <c r="BL41" s="56">
        <v>20.036000000000001</v>
      </c>
      <c r="BM41" s="56">
        <v>21.184000000000001</v>
      </c>
      <c r="BN41" s="56">
        <v>19.72</v>
      </c>
      <c r="BO41" s="56">
        <v>20.556000000000001</v>
      </c>
      <c r="BP41" s="56">
        <v>21.283999999999999</v>
      </c>
      <c r="BQ41" s="56">
        <v>18.32</v>
      </c>
      <c r="BR41" s="56">
        <v>18.760000000000002</v>
      </c>
      <c r="BS41" s="56">
        <v>19.559999999999999</v>
      </c>
      <c r="BT41" s="56">
        <v>18.827999999999999</v>
      </c>
      <c r="BU41" s="56">
        <v>18.696000000000002</v>
      </c>
      <c r="BV41" s="56">
        <v>18.972000000000001</v>
      </c>
      <c r="BW41" s="56">
        <v>19.835999999999999</v>
      </c>
      <c r="BX41" s="56">
        <v>20.388000000000002</v>
      </c>
      <c r="BY41" s="56">
        <v>19.283999999999999</v>
      </c>
      <c r="BZ41" s="56">
        <v>20.192</v>
      </c>
      <c r="CA41" s="56">
        <v>19.936</v>
      </c>
      <c r="CB41" s="56">
        <v>18.832000000000001</v>
      </c>
      <c r="CC41" s="56">
        <v>20.492000000000001</v>
      </c>
      <c r="CD41" s="56">
        <v>21.448</v>
      </c>
      <c r="CE41" s="56">
        <v>20.184000000000001</v>
      </c>
      <c r="CF41" s="56">
        <v>20.507999999999999</v>
      </c>
      <c r="CG41" s="56">
        <v>21.187999999999999</v>
      </c>
      <c r="CH41" s="56">
        <v>21.552</v>
      </c>
      <c r="CI41" s="56">
        <v>21.611999999999998</v>
      </c>
      <c r="CJ41" s="56">
        <v>21.056000000000001</v>
      </c>
      <c r="CK41" s="56">
        <v>20.611999999999998</v>
      </c>
      <c r="CL41" s="56">
        <v>21.388000000000002</v>
      </c>
      <c r="CM41" s="56">
        <v>22.8</v>
      </c>
      <c r="CN41" s="56">
        <v>22.288</v>
      </c>
      <c r="CO41" s="56">
        <v>23.064</v>
      </c>
      <c r="CP41" s="56">
        <v>21.783999999999999</v>
      </c>
      <c r="CQ41" s="56">
        <v>22.472000000000001</v>
      </c>
      <c r="CR41" s="56">
        <v>24.884</v>
      </c>
      <c r="CS41" s="56">
        <v>24.763999999999999</v>
      </c>
      <c r="CT41" s="56">
        <v>23.632000000000001</v>
      </c>
      <c r="CU41" s="56">
        <v>23.952000000000002</v>
      </c>
      <c r="CV41" s="56">
        <v>25.152000000000001</v>
      </c>
      <c r="CW41" s="56">
        <v>26.475999999999999</v>
      </c>
      <c r="CX41" s="56">
        <v>27.744</v>
      </c>
      <c r="CY41" s="56">
        <v>28.027999999999999</v>
      </c>
      <c r="CZ41" s="56">
        <v>26.448</v>
      </c>
      <c r="DA41" s="56">
        <v>26.815999999999999</v>
      </c>
      <c r="DB41" s="56">
        <v>29.135999999999999</v>
      </c>
      <c r="DC41" s="56">
        <v>27.904</v>
      </c>
      <c r="DD41" s="56">
        <v>27.116</v>
      </c>
      <c r="DE41" s="56">
        <v>28.72</v>
      </c>
      <c r="DF41" s="56">
        <v>28.4</v>
      </c>
      <c r="DG41" s="56">
        <v>29.015999999999998</v>
      </c>
      <c r="DH41" s="56">
        <v>29.084</v>
      </c>
      <c r="DI41" s="56">
        <v>28.744</v>
      </c>
      <c r="DJ41" s="56">
        <v>27.052</v>
      </c>
      <c r="DK41" s="56">
        <v>27.335999999999999</v>
      </c>
      <c r="DL41" s="56">
        <v>29.103999999999999</v>
      </c>
      <c r="DM41" s="56">
        <v>31.231999999999999</v>
      </c>
      <c r="DN41" s="56">
        <v>27.78</v>
      </c>
      <c r="DO41" s="56">
        <v>32.192</v>
      </c>
      <c r="DP41" s="56">
        <v>34.264000000000003</v>
      </c>
      <c r="DQ41" s="56">
        <v>34.124000000000002</v>
      </c>
      <c r="DR41" s="56">
        <v>35.572000000000003</v>
      </c>
      <c r="DS41" s="56">
        <v>36.04</v>
      </c>
      <c r="DT41" s="56">
        <v>35.728000000000002</v>
      </c>
      <c r="DU41" s="56">
        <v>39.26</v>
      </c>
      <c r="DV41" s="56">
        <v>40.316000000000003</v>
      </c>
      <c r="DW41" s="56">
        <v>43.008000000000003</v>
      </c>
      <c r="DX41" s="56">
        <v>42.667999999999999</v>
      </c>
      <c r="DY41" s="56">
        <v>43.008000000000003</v>
      </c>
      <c r="DZ41" s="56">
        <v>50.609000000000002</v>
      </c>
      <c r="EA41" s="56">
        <v>45.405000000000001</v>
      </c>
      <c r="EB41" s="56">
        <v>41.341999999999999</v>
      </c>
      <c r="EC41" s="56">
        <v>44.814</v>
      </c>
      <c r="ED41" s="56">
        <v>43.170999999999999</v>
      </c>
      <c r="EE41" s="56">
        <v>48.719000000000001</v>
      </c>
      <c r="EF41" s="56">
        <v>46.442999999999998</v>
      </c>
      <c r="EG41" s="56">
        <v>45.506999999999998</v>
      </c>
      <c r="EH41" s="56">
        <v>47.600999999999999</v>
      </c>
      <c r="EI41" s="56">
        <v>44.213000000000001</v>
      </c>
      <c r="EJ41" s="56">
        <v>50.412999999999997</v>
      </c>
      <c r="EK41" s="56">
        <v>44.947000000000003</v>
      </c>
      <c r="EL41" s="56">
        <v>49.942999999999998</v>
      </c>
      <c r="EM41" s="56">
        <v>51.171999999999997</v>
      </c>
      <c r="EN41" s="56">
        <v>47.383000000000003</v>
      </c>
      <c r="EO41" s="56">
        <v>49.225000000000001</v>
      </c>
      <c r="EP41" s="56">
        <v>53.557000000000002</v>
      </c>
      <c r="EQ41" s="56">
        <v>53.237000000000002</v>
      </c>
      <c r="ER41" s="56">
        <v>52.164999999999999</v>
      </c>
      <c r="ES41" s="56">
        <v>51.704000000000001</v>
      </c>
      <c r="ET41" s="56">
        <v>50.936999999999998</v>
      </c>
      <c r="EU41" s="56">
        <v>56.121000000000002</v>
      </c>
      <c r="EV41" s="56">
        <v>55.527999999999999</v>
      </c>
      <c r="EW41" s="56">
        <v>54.619</v>
      </c>
      <c r="EX41" s="56">
        <v>56.613</v>
      </c>
      <c r="EY41" s="56">
        <v>58.841999999999999</v>
      </c>
      <c r="EZ41" s="56">
        <v>56.868000000000002</v>
      </c>
      <c r="FA41" s="56">
        <v>58.177</v>
      </c>
      <c r="FB41" s="56">
        <v>58.334000000000003</v>
      </c>
      <c r="FC41" s="56">
        <v>59.643000000000001</v>
      </c>
      <c r="FD41" s="56">
        <v>67.126000000000005</v>
      </c>
      <c r="FE41" s="56">
        <v>68.543000000000006</v>
      </c>
      <c r="FF41" s="56">
        <v>64.721000000000004</v>
      </c>
      <c r="FG41" s="56">
        <v>73.736999999999995</v>
      </c>
      <c r="FH41" s="56">
        <v>74.820999999999998</v>
      </c>
      <c r="FI41" s="56">
        <v>75.022000000000006</v>
      </c>
      <c r="FJ41" s="56">
        <v>70.503</v>
      </c>
      <c r="FK41" s="56">
        <v>69.144999999999996</v>
      </c>
      <c r="FL41" s="56">
        <v>65.915999999999997</v>
      </c>
      <c r="FM41" s="56">
        <v>70.531000000000006</v>
      </c>
      <c r="FN41" s="56">
        <v>67.106999999999999</v>
      </c>
      <c r="FO41" s="56">
        <v>67.67</v>
      </c>
      <c r="FP41" s="56">
        <v>65.88</v>
      </c>
      <c r="FQ41" s="56">
        <v>65.507000000000005</v>
      </c>
      <c r="FR41" s="56">
        <v>67.563999999999993</v>
      </c>
      <c r="FS41" s="56">
        <v>63.978999999999999</v>
      </c>
      <c r="FT41" s="56">
        <v>68.013999999999996</v>
      </c>
      <c r="FU41" s="56">
        <v>65.742000000000004</v>
      </c>
      <c r="FV41" s="56">
        <v>65.275999999999996</v>
      </c>
      <c r="FW41" s="56">
        <v>67.164000000000001</v>
      </c>
      <c r="FX41" s="56">
        <v>68.84</v>
      </c>
      <c r="FY41" s="56">
        <v>61.402999999999999</v>
      </c>
      <c r="FZ41" s="56">
        <v>63.533999999999999</v>
      </c>
      <c r="GA41" s="56">
        <v>62.906999999999996</v>
      </c>
      <c r="GB41" s="56">
        <v>66.760000000000005</v>
      </c>
      <c r="GC41" s="56">
        <v>64.462000000000003</v>
      </c>
      <c r="GD41" s="56">
        <v>66.301000000000002</v>
      </c>
      <c r="GE41" s="56">
        <v>67.191000000000003</v>
      </c>
      <c r="GF41" s="56">
        <v>68.578000000000003</v>
      </c>
      <c r="GG41" s="56">
        <v>66.980999999999995</v>
      </c>
      <c r="GH41" s="56">
        <v>67.222999999999999</v>
      </c>
      <c r="GI41" s="56">
        <v>69.478999999999999</v>
      </c>
      <c r="GJ41" s="56">
        <v>64.623999999999995</v>
      </c>
      <c r="GK41" s="56">
        <v>65.736999999999995</v>
      </c>
      <c r="GL41" s="56">
        <v>65.069000000000003</v>
      </c>
      <c r="GM41" s="56">
        <v>65.826999999999998</v>
      </c>
      <c r="GN41" s="56">
        <v>70.346000000000004</v>
      </c>
      <c r="GO41" s="56">
        <v>66.262</v>
      </c>
      <c r="GP41" s="56">
        <v>67.274000000000001</v>
      </c>
      <c r="GQ41" s="56">
        <v>67.611000000000004</v>
      </c>
      <c r="GR41" s="56">
        <v>71.308000000000007</v>
      </c>
      <c r="GS41" s="56">
        <v>72.156000000000006</v>
      </c>
      <c r="GT41" s="56">
        <v>75.245999999999995</v>
      </c>
      <c r="GU41" s="56">
        <v>75.986000000000004</v>
      </c>
      <c r="GV41" s="56">
        <v>79.650999999999996</v>
      </c>
      <c r="GW41" s="56">
        <v>75.400999999999996</v>
      </c>
      <c r="GX41" s="56">
        <v>73.034999999999997</v>
      </c>
      <c r="GY41" s="56">
        <v>75.13</v>
      </c>
      <c r="GZ41" s="56">
        <v>70.191999999999993</v>
      </c>
      <c r="HA41" s="56">
        <v>72.266999999999996</v>
      </c>
      <c r="HB41" s="56">
        <v>74.974000000000004</v>
      </c>
      <c r="HC41">
        <v>428.19</v>
      </c>
      <c r="HD41">
        <v>145.27699999999999</v>
      </c>
      <c r="HE41">
        <v>81.352000000000004</v>
      </c>
      <c r="HF41">
        <v>80.510999999999996</v>
      </c>
      <c r="HG41">
        <v>86.768000000000001</v>
      </c>
      <c r="HH41">
        <v>90.495000000000005</v>
      </c>
      <c r="HI41">
        <v>88.635000000000005</v>
      </c>
      <c r="HJ41">
        <v>90.14</v>
      </c>
    </row>
    <row r="42" spans="1:218" x14ac:dyDescent="0.35">
      <c r="A42" s="56" t="s">
        <v>2237</v>
      </c>
      <c r="B42" s="56">
        <v>4.7</v>
      </c>
      <c r="C42" s="56">
        <v>4.8</v>
      </c>
      <c r="D42" s="56">
        <v>4.7</v>
      </c>
      <c r="E42" s="56">
        <v>4.8</v>
      </c>
      <c r="F42" s="56">
        <v>4.7</v>
      </c>
      <c r="G42" s="56">
        <v>4.8</v>
      </c>
      <c r="H42" s="56">
        <v>4.5</v>
      </c>
      <c r="I42" s="56">
        <v>4.5999999999999996</v>
      </c>
      <c r="J42" s="56">
        <v>6.1</v>
      </c>
      <c r="K42" s="56">
        <v>6.2</v>
      </c>
      <c r="L42" s="56">
        <v>7.1</v>
      </c>
      <c r="M42" s="56">
        <v>7</v>
      </c>
      <c r="N42" s="56">
        <v>5.9</v>
      </c>
      <c r="O42" s="56">
        <v>5.6</v>
      </c>
      <c r="P42" s="56">
        <v>4.5999999999999996</v>
      </c>
      <c r="Q42" s="56">
        <v>4.5</v>
      </c>
      <c r="R42" s="56">
        <v>3.5</v>
      </c>
      <c r="S42" s="56">
        <v>2.8</v>
      </c>
      <c r="T42" s="56">
        <v>3.1</v>
      </c>
      <c r="U42" s="56">
        <v>3.5</v>
      </c>
      <c r="V42" s="56">
        <v>4.0999999999999996</v>
      </c>
      <c r="W42" s="56">
        <v>4.0999999999999996</v>
      </c>
      <c r="X42" s="56">
        <v>4.4000000000000004</v>
      </c>
      <c r="Y42" s="56">
        <v>4.8</v>
      </c>
      <c r="Z42" s="56">
        <v>5</v>
      </c>
      <c r="AA42" s="56">
        <v>4.7</v>
      </c>
      <c r="AB42" s="56">
        <v>4.9000000000000004</v>
      </c>
      <c r="AC42" s="56">
        <v>5.3</v>
      </c>
      <c r="AD42" s="56">
        <v>5.6</v>
      </c>
      <c r="AE42" s="56">
        <v>5.7</v>
      </c>
      <c r="AF42" s="56">
        <v>6.2</v>
      </c>
      <c r="AG42" s="56">
        <v>10.1</v>
      </c>
      <c r="AH42" s="56">
        <v>8.5</v>
      </c>
      <c r="AI42" s="56">
        <v>8.1</v>
      </c>
      <c r="AJ42" s="56">
        <v>8</v>
      </c>
      <c r="AK42" s="56">
        <v>10.1</v>
      </c>
      <c r="AL42" s="56">
        <v>8.1</v>
      </c>
      <c r="AM42" s="56">
        <v>8.5</v>
      </c>
      <c r="AN42" s="56">
        <v>7.8</v>
      </c>
      <c r="AO42" s="56">
        <v>8.5</v>
      </c>
      <c r="AP42" s="56">
        <v>8.9</v>
      </c>
      <c r="AQ42" s="56">
        <v>9.3000000000000007</v>
      </c>
      <c r="AR42" s="56">
        <v>9.6999999999999993</v>
      </c>
      <c r="AS42" s="56">
        <v>9.9</v>
      </c>
      <c r="AT42" s="56">
        <v>10.199999999999999</v>
      </c>
      <c r="AU42" s="56">
        <v>10.3</v>
      </c>
      <c r="AV42" s="56">
        <v>10.7</v>
      </c>
      <c r="AW42" s="56">
        <v>13.1</v>
      </c>
      <c r="AX42" s="56">
        <v>13.6</v>
      </c>
      <c r="AY42" s="56">
        <v>13.2</v>
      </c>
      <c r="AZ42" s="56">
        <v>12.6</v>
      </c>
      <c r="BA42" s="56">
        <v>19</v>
      </c>
      <c r="BB42" s="56">
        <v>19.399999999999999</v>
      </c>
      <c r="BC42" s="56">
        <v>21.1</v>
      </c>
      <c r="BD42" s="56">
        <v>21.8</v>
      </c>
      <c r="BE42" s="56">
        <v>21.1</v>
      </c>
      <c r="BF42" s="56">
        <v>20.8</v>
      </c>
      <c r="BG42" s="56">
        <v>20.6</v>
      </c>
      <c r="BH42" s="56">
        <v>20.5</v>
      </c>
      <c r="BI42" s="56">
        <v>20.8</v>
      </c>
      <c r="BJ42" s="56">
        <v>20.8</v>
      </c>
      <c r="BK42" s="56">
        <v>20.7</v>
      </c>
      <c r="BL42" s="56">
        <v>21</v>
      </c>
      <c r="BM42" s="56">
        <v>21.7</v>
      </c>
      <c r="BN42" s="56">
        <v>22.8</v>
      </c>
      <c r="BO42" s="56">
        <v>23.9</v>
      </c>
      <c r="BP42" s="56">
        <v>25.1</v>
      </c>
      <c r="BQ42" s="56">
        <v>26.5</v>
      </c>
      <c r="BR42" s="56">
        <v>28</v>
      </c>
      <c r="BS42" s="56">
        <v>30.2</v>
      </c>
      <c r="BT42" s="56">
        <v>31</v>
      </c>
      <c r="BU42" s="56">
        <v>30.8</v>
      </c>
      <c r="BV42" s="56">
        <v>30</v>
      </c>
      <c r="BW42" s="56">
        <v>29.5</v>
      </c>
      <c r="BX42" s="56">
        <v>28.9</v>
      </c>
      <c r="BY42" s="56">
        <v>28.2</v>
      </c>
      <c r="BZ42" s="56">
        <v>27.6</v>
      </c>
      <c r="CA42" s="56">
        <v>27</v>
      </c>
      <c r="CB42" s="56">
        <v>26.7</v>
      </c>
      <c r="CC42" s="56">
        <v>26.9</v>
      </c>
      <c r="CD42" s="56">
        <v>26.8</v>
      </c>
      <c r="CE42" s="56">
        <v>26.6</v>
      </c>
      <c r="CF42" s="56">
        <v>26.6</v>
      </c>
      <c r="CG42" s="56">
        <v>26.6</v>
      </c>
      <c r="CH42" s="56">
        <v>26.7</v>
      </c>
      <c r="CI42" s="56">
        <v>26.8</v>
      </c>
      <c r="CJ42" s="56">
        <v>27.1</v>
      </c>
      <c r="CK42" s="56">
        <v>27.7</v>
      </c>
      <c r="CL42" s="56">
        <v>28.2</v>
      </c>
      <c r="CM42" s="56">
        <v>28.8</v>
      </c>
      <c r="CN42" s="56">
        <v>30</v>
      </c>
      <c r="CO42" s="56">
        <v>31.8</v>
      </c>
      <c r="CP42" s="56">
        <v>35.1</v>
      </c>
      <c r="CQ42" s="56">
        <v>37.200000000000003</v>
      </c>
      <c r="CR42" s="56">
        <v>37.299999999999997</v>
      </c>
      <c r="CS42" s="56">
        <v>35.700000000000003</v>
      </c>
      <c r="CT42" s="56">
        <v>33.200000000000003</v>
      </c>
      <c r="CU42" s="56">
        <v>32</v>
      </c>
      <c r="CV42" s="56">
        <v>31.6</v>
      </c>
      <c r="CW42" s="56">
        <v>31.9</v>
      </c>
      <c r="CX42" s="56">
        <v>33.6</v>
      </c>
      <c r="CY42" s="56">
        <v>34.299999999999997</v>
      </c>
      <c r="CZ42" s="56">
        <v>34.799999999999997</v>
      </c>
      <c r="DA42" s="56">
        <v>35.200000000000003</v>
      </c>
      <c r="DB42" s="56">
        <v>35.200000000000003</v>
      </c>
      <c r="DC42" s="56">
        <v>35.1</v>
      </c>
      <c r="DD42" s="56">
        <v>34.9</v>
      </c>
      <c r="DE42" s="56">
        <v>34.4</v>
      </c>
      <c r="DF42" s="56">
        <v>34</v>
      </c>
      <c r="DG42" s="56">
        <v>33.200000000000003</v>
      </c>
      <c r="DH42" s="56">
        <v>33</v>
      </c>
      <c r="DI42" s="56">
        <v>33.299999999999997</v>
      </c>
      <c r="DJ42" s="56">
        <v>33.4</v>
      </c>
      <c r="DK42" s="56">
        <v>34.6</v>
      </c>
      <c r="DL42" s="56">
        <v>36.299999999999997</v>
      </c>
      <c r="DM42" s="56">
        <v>39.4</v>
      </c>
      <c r="DN42" s="56">
        <v>42</v>
      </c>
      <c r="DO42" s="56">
        <v>44.6</v>
      </c>
      <c r="DP42" s="56">
        <v>46</v>
      </c>
      <c r="DQ42" s="56">
        <v>46.5</v>
      </c>
      <c r="DR42" s="56">
        <v>44.6</v>
      </c>
      <c r="DS42" s="56">
        <v>45</v>
      </c>
      <c r="DT42" s="56">
        <v>45.3</v>
      </c>
      <c r="DU42" s="56">
        <v>46.4</v>
      </c>
      <c r="DV42" s="56">
        <v>47.2</v>
      </c>
      <c r="DW42" s="56">
        <v>47.6</v>
      </c>
      <c r="DX42" s="56">
        <v>66.3</v>
      </c>
      <c r="DY42" s="56">
        <v>43.1</v>
      </c>
      <c r="DZ42" s="56">
        <v>40.700000000000003</v>
      </c>
      <c r="EA42" s="56">
        <v>39.200000000000003</v>
      </c>
      <c r="EB42" s="56">
        <v>39.700000000000003</v>
      </c>
      <c r="EC42" s="56">
        <v>42.3</v>
      </c>
      <c r="ED42" s="56">
        <v>47</v>
      </c>
      <c r="EE42" s="56">
        <v>56.8</v>
      </c>
      <c r="EF42" s="56">
        <v>46.9</v>
      </c>
      <c r="EG42" s="56">
        <v>45.1</v>
      </c>
      <c r="EH42" s="56">
        <v>43.9</v>
      </c>
      <c r="EI42" s="56">
        <v>43.3</v>
      </c>
      <c r="EJ42" s="56">
        <v>45</v>
      </c>
      <c r="EK42" s="56">
        <v>51.9</v>
      </c>
      <c r="EL42" s="56">
        <v>56.4</v>
      </c>
      <c r="EM42" s="56">
        <v>60.3</v>
      </c>
      <c r="EN42" s="56">
        <v>61.6</v>
      </c>
      <c r="EO42" s="56">
        <v>63.9</v>
      </c>
      <c r="EP42" s="56">
        <v>55.4</v>
      </c>
      <c r="EQ42" s="56">
        <v>51.2</v>
      </c>
      <c r="ER42" s="56">
        <v>49.5</v>
      </c>
      <c r="ES42" s="56">
        <v>48.3</v>
      </c>
      <c r="ET42" s="56">
        <v>47.6</v>
      </c>
      <c r="EU42" s="56">
        <v>47.5</v>
      </c>
      <c r="EV42" s="56">
        <v>47.2</v>
      </c>
      <c r="EW42" s="56">
        <v>47.5</v>
      </c>
      <c r="EX42" s="56">
        <v>48</v>
      </c>
      <c r="EY42" s="56">
        <v>48.7</v>
      </c>
      <c r="EZ42" s="56">
        <v>49.8</v>
      </c>
      <c r="FA42" s="56">
        <v>51.8</v>
      </c>
      <c r="FB42" s="56">
        <v>53.4</v>
      </c>
      <c r="FC42" s="56">
        <v>54.3</v>
      </c>
      <c r="FD42" s="56">
        <v>65.900000000000006</v>
      </c>
      <c r="FE42" s="56">
        <v>54.3</v>
      </c>
      <c r="FF42" s="56">
        <v>53.2</v>
      </c>
      <c r="FG42" s="56">
        <v>53.4</v>
      </c>
      <c r="FH42" s="56">
        <v>54.4</v>
      </c>
      <c r="FI42" s="56">
        <v>56</v>
      </c>
      <c r="FJ42" s="56">
        <v>58</v>
      </c>
      <c r="FK42" s="56">
        <v>59.5</v>
      </c>
      <c r="FL42" s="56">
        <v>59.7</v>
      </c>
      <c r="FM42" s="56">
        <v>60.6</v>
      </c>
      <c r="FN42" s="56">
        <v>57.9</v>
      </c>
      <c r="FO42" s="56">
        <v>57.6</v>
      </c>
      <c r="FP42" s="56">
        <v>55.8</v>
      </c>
      <c r="FQ42" s="56">
        <v>58.9</v>
      </c>
      <c r="FR42" s="56">
        <v>58.9</v>
      </c>
      <c r="FS42" s="56">
        <v>59.6</v>
      </c>
      <c r="FT42" s="56">
        <v>59.5</v>
      </c>
      <c r="FU42" s="56">
        <v>58.9</v>
      </c>
      <c r="FV42" s="56">
        <v>58.2</v>
      </c>
      <c r="FW42" s="56">
        <v>58</v>
      </c>
      <c r="FX42" s="56">
        <v>57.7</v>
      </c>
      <c r="FY42" s="56">
        <v>56.5</v>
      </c>
      <c r="FZ42" s="56">
        <v>55.5</v>
      </c>
      <c r="GA42" s="56">
        <v>55.9</v>
      </c>
      <c r="GB42" s="56">
        <v>57.2</v>
      </c>
      <c r="GC42" s="56">
        <v>58.1</v>
      </c>
      <c r="GD42" s="56">
        <v>60.2</v>
      </c>
      <c r="GE42" s="56">
        <v>61.8</v>
      </c>
      <c r="GF42" s="56">
        <v>62.5</v>
      </c>
      <c r="GG42" s="56">
        <v>60.4</v>
      </c>
      <c r="GH42" s="56">
        <v>58.8</v>
      </c>
      <c r="GI42" s="56">
        <v>57.5</v>
      </c>
      <c r="GJ42" s="56">
        <v>61.4</v>
      </c>
      <c r="GK42" s="56">
        <v>59.6</v>
      </c>
      <c r="GL42" s="56">
        <v>58.1</v>
      </c>
      <c r="GM42" s="56">
        <v>57.7</v>
      </c>
      <c r="GN42" s="56">
        <v>57.3</v>
      </c>
      <c r="GO42" s="56">
        <v>77.900000000000006</v>
      </c>
      <c r="GP42" s="56">
        <v>68.5</v>
      </c>
      <c r="GQ42" s="56">
        <v>58.3</v>
      </c>
      <c r="GR42" s="56">
        <v>80.599999999999994</v>
      </c>
      <c r="GS42" s="56">
        <v>82.1</v>
      </c>
      <c r="GT42" s="56">
        <v>80</v>
      </c>
      <c r="GU42" s="56">
        <v>975.8</v>
      </c>
      <c r="GV42" s="56">
        <v>1108.4000000000001</v>
      </c>
      <c r="GW42" s="56">
        <v>460.7</v>
      </c>
      <c r="GX42" s="56">
        <v>385.5</v>
      </c>
      <c r="GY42" s="56">
        <v>692.7</v>
      </c>
      <c r="GZ42" s="56">
        <v>547.1</v>
      </c>
      <c r="HA42" s="56">
        <v>293.2</v>
      </c>
      <c r="HB42" s="56">
        <v>151.4</v>
      </c>
      <c r="HC42">
        <v>129.5</v>
      </c>
      <c r="HD42">
        <v>117.7</v>
      </c>
      <c r="HE42">
        <v>108.6</v>
      </c>
      <c r="HF42">
        <v>100.7</v>
      </c>
      <c r="HG42">
        <v>99.2</v>
      </c>
      <c r="HH42">
        <v>102.4</v>
      </c>
      <c r="HI42">
        <v>99.3</v>
      </c>
      <c r="HJ42">
        <v>96.5</v>
      </c>
    </row>
    <row r="43" spans="1:218" x14ac:dyDescent="0.35">
      <c r="A43" s="56" t="s">
        <v>2238</v>
      </c>
      <c r="B43" s="56">
        <v>0</v>
      </c>
      <c r="C43" s="56">
        <v>0</v>
      </c>
      <c r="D43" s="56">
        <v>0</v>
      </c>
      <c r="E43" s="56">
        <v>0</v>
      </c>
      <c r="F43" s="56">
        <v>0</v>
      </c>
      <c r="G43" s="56">
        <v>0</v>
      </c>
      <c r="H43" s="56">
        <v>0</v>
      </c>
      <c r="I43" s="56">
        <v>0</v>
      </c>
      <c r="J43" s="56">
        <v>0</v>
      </c>
      <c r="K43" s="56">
        <v>0.1</v>
      </c>
      <c r="L43" s="56">
        <v>0.1</v>
      </c>
      <c r="M43" s="56">
        <v>0.1</v>
      </c>
      <c r="N43" s="56">
        <v>0.1</v>
      </c>
      <c r="O43" s="56">
        <v>0.1</v>
      </c>
      <c r="P43" s="56">
        <v>0.1</v>
      </c>
      <c r="Q43" s="56">
        <v>0.1</v>
      </c>
      <c r="R43" s="56">
        <v>0.1</v>
      </c>
      <c r="S43" s="56">
        <v>0.1</v>
      </c>
      <c r="T43" s="56">
        <v>0.1</v>
      </c>
      <c r="U43" s="56">
        <v>0.1</v>
      </c>
      <c r="V43" s="56">
        <v>0.1</v>
      </c>
      <c r="W43" s="56">
        <v>0.2</v>
      </c>
      <c r="X43" s="56">
        <v>0.2</v>
      </c>
      <c r="Y43" s="56">
        <v>0.2</v>
      </c>
      <c r="Z43" s="56">
        <v>0.2</v>
      </c>
      <c r="AA43" s="56">
        <v>0.2</v>
      </c>
      <c r="AB43" s="56">
        <v>0.2</v>
      </c>
      <c r="AC43" s="56">
        <v>0.2</v>
      </c>
      <c r="AD43" s="56">
        <v>0.2</v>
      </c>
      <c r="AE43" s="56">
        <v>0.2</v>
      </c>
      <c r="AF43" s="56">
        <v>0.2</v>
      </c>
      <c r="AG43" s="56">
        <v>0.2</v>
      </c>
      <c r="AH43" s="56">
        <v>0.2</v>
      </c>
      <c r="AI43" s="56">
        <v>0.2</v>
      </c>
      <c r="AJ43" s="56">
        <v>0.2</v>
      </c>
      <c r="AK43" s="56">
        <v>0.3</v>
      </c>
      <c r="AL43" s="56">
        <v>0.3</v>
      </c>
      <c r="AM43" s="56">
        <v>0.3</v>
      </c>
      <c r="AN43" s="56">
        <v>0.3</v>
      </c>
      <c r="AO43" s="56">
        <v>0.3</v>
      </c>
      <c r="AP43" s="56">
        <v>0.3</v>
      </c>
      <c r="AQ43" s="56">
        <v>0.3</v>
      </c>
      <c r="AR43" s="56">
        <v>0.4</v>
      </c>
      <c r="AS43" s="56">
        <v>0.4</v>
      </c>
      <c r="AT43" s="56">
        <v>0.4</v>
      </c>
      <c r="AU43" s="56">
        <v>0.4</v>
      </c>
      <c r="AV43" s="56">
        <v>0.4</v>
      </c>
      <c r="AW43" s="56">
        <v>0.4</v>
      </c>
      <c r="AX43" s="56">
        <v>0.4</v>
      </c>
      <c r="AY43" s="56">
        <v>0.5</v>
      </c>
      <c r="AZ43" s="56">
        <v>0.5</v>
      </c>
      <c r="BA43" s="56">
        <v>0.5</v>
      </c>
      <c r="BB43" s="56">
        <v>0.5</v>
      </c>
      <c r="BC43" s="56">
        <v>0.4</v>
      </c>
      <c r="BD43" s="56">
        <v>0.4</v>
      </c>
      <c r="BE43" s="56">
        <v>0.4</v>
      </c>
      <c r="BF43" s="56">
        <v>0.4</v>
      </c>
      <c r="BG43" s="56">
        <v>0.4</v>
      </c>
      <c r="BH43" s="56">
        <v>0.4</v>
      </c>
      <c r="BI43" s="56">
        <v>0.4</v>
      </c>
      <c r="BJ43" s="56">
        <v>0.3</v>
      </c>
      <c r="BK43" s="56">
        <v>0.3</v>
      </c>
      <c r="BL43" s="56">
        <v>0.3</v>
      </c>
      <c r="BM43" s="56">
        <v>0.3</v>
      </c>
      <c r="BN43" s="56">
        <v>0.3</v>
      </c>
      <c r="BO43" s="56">
        <v>0.3</v>
      </c>
      <c r="BP43" s="56">
        <v>0.3</v>
      </c>
      <c r="BQ43" s="56">
        <v>0.3</v>
      </c>
      <c r="BR43" s="56">
        <v>0.3</v>
      </c>
      <c r="BS43" s="56">
        <v>0.3</v>
      </c>
      <c r="BT43" s="56">
        <v>0.3</v>
      </c>
      <c r="BU43" s="56">
        <v>0.3</v>
      </c>
      <c r="BV43" s="56">
        <v>0.3</v>
      </c>
      <c r="BW43" s="56">
        <v>0.3</v>
      </c>
      <c r="BX43" s="56">
        <v>0.4</v>
      </c>
      <c r="BY43" s="56">
        <v>0.4</v>
      </c>
      <c r="BZ43" s="56">
        <v>0.4</v>
      </c>
      <c r="CA43" s="56">
        <v>0.4</v>
      </c>
      <c r="CB43" s="56">
        <v>0.4</v>
      </c>
      <c r="CC43" s="56">
        <v>0.4</v>
      </c>
      <c r="CD43" s="56">
        <v>0.4</v>
      </c>
      <c r="CE43" s="56">
        <v>0.4</v>
      </c>
      <c r="CF43" s="56">
        <v>0.4</v>
      </c>
      <c r="CG43" s="56">
        <v>0.4</v>
      </c>
      <c r="CH43" s="56">
        <v>0.4</v>
      </c>
      <c r="CI43" s="56">
        <v>0.4</v>
      </c>
      <c r="CJ43" s="56">
        <v>0.4</v>
      </c>
      <c r="CK43" s="56">
        <v>0.4</v>
      </c>
      <c r="CL43" s="56">
        <v>0.4</v>
      </c>
      <c r="CM43" s="56">
        <v>0.4</v>
      </c>
      <c r="CN43" s="56">
        <v>0.4</v>
      </c>
      <c r="CO43" s="56">
        <v>0.4</v>
      </c>
      <c r="CP43" s="56">
        <v>0.4</v>
      </c>
      <c r="CQ43" s="56">
        <v>0.4</v>
      </c>
      <c r="CR43" s="56">
        <v>0.4</v>
      </c>
      <c r="CS43" s="56">
        <v>0.4</v>
      </c>
      <c r="CT43" s="56">
        <v>0.4</v>
      </c>
      <c r="CU43" s="56">
        <v>0.3</v>
      </c>
      <c r="CV43" s="56">
        <v>0.3</v>
      </c>
      <c r="CW43" s="56">
        <v>0.3</v>
      </c>
      <c r="CX43" s="56">
        <v>0.3</v>
      </c>
      <c r="CY43" s="56">
        <v>0.3</v>
      </c>
      <c r="CZ43" s="56">
        <v>0.3</v>
      </c>
      <c r="DA43" s="56">
        <v>0.3</v>
      </c>
      <c r="DB43" s="56">
        <v>0.3</v>
      </c>
      <c r="DC43" s="56">
        <v>0.3</v>
      </c>
      <c r="DD43" s="56">
        <v>0.3</v>
      </c>
      <c r="DE43" s="56">
        <v>0.4</v>
      </c>
      <c r="DF43" s="56">
        <v>0.4</v>
      </c>
      <c r="DG43" s="56">
        <v>0.4</v>
      </c>
      <c r="DH43" s="56">
        <v>0.4</v>
      </c>
      <c r="DI43" s="56">
        <v>0.5</v>
      </c>
      <c r="DJ43" s="56">
        <v>0.5</v>
      </c>
      <c r="DK43" s="56">
        <v>0.5</v>
      </c>
      <c r="DL43" s="56">
        <v>0.4</v>
      </c>
      <c r="DM43" s="56">
        <v>0.4</v>
      </c>
      <c r="DN43" s="56">
        <v>0.4</v>
      </c>
      <c r="DO43" s="56">
        <v>0.4</v>
      </c>
      <c r="DP43" s="56">
        <v>0.4</v>
      </c>
      <c r="DQ43" s="56">
        <v>0.4</v>
      </c>
      <c r="DR43" s="56">
        <v>0.5</v>
      </c>
      <c r="DS43" s="56">
        <v>0.5</v>
      </c>
      <c r="DT43" s="56">
        <v>0.6</v>
      </c>
      <c r="DU43" s="56">
        <v>0.6</v>
      </c>
      <c r="DV43" s="56">
        <v>8</v>
      </c>
      <c r="DW43" s="56">
        <v>14.4</v>
      </c>
      <c r="DX43" s="56">
        <v>4.8</v>
      </c>
      <c r="DY43" s="56">
        <v>3.4</v>
      </c>
      <c r="DZ43" s="56">
        <v>1.8</v>
      </c>
      <c r="EA43" s="56">
        <v>0.6</v>
      </c>
      <c r="EB43" s="56">
        <v>1.7</v>
      </c>
      <c r="EC43" s="56">
        <v>-0.4</v>
      </c>
      <c r="ED43" s="56">
        <v>0.1</v>
      </c>
      <c r="EE43" s="56">
        <v>0.3</v>
      </c>
      <c r="EF43" s="56">
        <v>-1</v>
      </c>
      <c r="EG43" s="56">
        <v>0.9</v>
      </c>
      <c r="EH43" s="56">
        <v>0.4</v>
      </c>
      <c r="EI43" s="56">
        <v>0.4</v>
      </c>
      <c r="EJ43" s="56">
        <v>0.4</v>
      </c>
      <c r="EK43" s="56">
        <v>0.4</v>
      </c>
      <c r="EL43" s="56">
        <v>0.4</v>
      </c>
      <c r="EM43" s="56">
        <v>0.4</v>
      </c>
      <c r="EN43" s="56">
        <v>0.4</v>
      </c>
      <c r="EO43" s="56">
        <v>0.4</v>
      </c>
      <c r="EP43" s="56">
        <v>0.4</v>
      </c>
      <c r="EQ43" s="56">
        <v>0.4</v>
      </c>
      <c r="ER43" s="56">
        <v>0.4</v>
      </c>
      <c r="ES43" s="56">
        <v>0.4</v>
      </c>
      <c r="ET43" s="56">
        <v>1.9</v>
      </c>
      <c r="EU43" s="56">
        <v>10.7</v>
      </c>
      <c r="EV43" s="56">
        <v>8.8000000000000007</v>
      </c>
      <c r="EW43" s="56">
        <v>7.2</v>
      </c>
      <c r="EX43" s="56">
        <v>4</v>
      </c>
      <c r="EY43" s="56">
        <v>2.9</v>
      </c>
      <c r="EZ43" s="56">
        <v>2.2000000000000002</v>
      </c>
      <c r="FA43" s="56">
        <v>2.8</v>
      </c>
      <c r="FB43" s="56">
        <v>2</v>
      </c>
      <c r="FC43" s="56">
        <v>1.2</v>
      </c>
      <c r="FD43" s="56">
        <v>1.2</v>
      </c>
      <c r="FE43" s="56">
        <v>1.2</v>
      </c>
      <c r="FF43" s="56">
        <v>1.6</v>
      </c>
      <c r="FG43" s="56">
        <v>2.1</v>
      </c>
      <c r="FH43" s="56">
        <v>1.6</v>
      </c>
      <c r="FI43" s="56">
        <v>1</v>
      </c>
      <c r="FJ43" s="56">
        <v>0.9</v>
      </c>
      <c r="FK43" s="56">
        <v>0.4</v>
      </c>
      <c r="FL43" s="56">
        <v>0.4</v>
      </c>
      <c r="FM43" s="56">
        <v>0.4</v>
      </c>
      <c r="FN43" s="56">
        <v>0.5</v>
      </c>
      <c r="FO43" s="56">
        <v>0.5</v>
      </c>
      <c r="FP43" s="56">
        <v>0.5</v>
      </c>
      <c r="FQ43" s="56">
        <v>0.5</v>
      </c>
      <c r="FR43" s="56">
        <v>0.5</v>
      </c>
      <c r="FS43" s="56">
        <v>0.5</v>
      </c>
      <c r="FT43" s="56">
        <v>0.5</v>
      </c>
      <c r="FU43" s="56">
        <v>0.5</v>
      </c>
      <c r="FV43" s="56">
        <v>0.5</v>
      </c>
      <c r="FW43" s="56">
        <v>0.5</v>
      </c>
      <c r="FX43" s="56">
        <v>0.5</v>
      </c>
      <c r="FY43" s="56">
        <v>0.5</v>
      </c>
      <c r="FZ43" s="56">
        <v>0.5</v>
      </c>
      <c r="GA43" s="56">
        <v>0.5</v>
      </c>
      <c r="GB43" s="56">
        <v>0.5</v>
      </c>
      <c r="GC43" s="56">
        <v>0.5</v>
      </c>
      <c r="GD43" s="56">
        <v>0.5</v>
      </c>
      <c r="GE43" s="56">
        <v>0.5</v>
      </c>
      <c r="GF43" s="56">
        <v>0.5</v>
      </c>
      <c r="GG43" s="56">
        <v>0.5</v>
      </c>
      <c r="GH43" s="56">
        <v>0.5</v>
      </c>
      <c r="GI43" s="56">
        <v>0.6</v>
      </c>
      <c r="GJ43" s="56">
        <v>0.6</v>
      </c>
      <c r="GK43" s="56">
        <v>0.6</v>
      </c>
      <c r="GL43" s="56">
        <v>0.6</v>
      </c>
      <c r="GM43" s="56">
        <v>0.6</v>
      </c>
      <c r="GN43" s="56">
        <v>0.6</v>
      </c>
      <c r="GO43" s="56">
        <v>0.6</v>
      </c>
      <c r="GP43" s="56">
        <v>0.6</v>
      </c>
      <c r="GQ43" s="56">
        <v>0.6</v>
      </c>
      <c r="GR43" s="56">
        <v>0.6</v>
      </c>
      <c r="GS43" s="56">
        <v>0.6</v>
      </c>
      <c r="GT43" s="56">
        <v>0.6</v>
      </c>
      <c r="GU43" s="56">
        <v>0.6</v>
      </c>
      <c r="GV43" s="56">
        <v>0.6</v>
      </c>
      <c r="GW43" s="56">
        <v>0.6</v>
      </c>
      <c r="GX43" s="56">
        <v>2.5</v>
      </c>
      <c r="GY43" s="56">
        <v>8.6</v>
      </c>
      <c r="GZ43" s="56">
        <v>0.7</v>
      </c>
      <c r="HA43" s="56">
        <v>0.7</v>
      </c>
      <c r="HB43" s="56">
        <v>0.7</v>
      </c>
      <c r="HC43">
        <v>0.7</v>
      </c>
      <c r="HD43">
        <v>0.7</v>
      </c>
      <c r="HE43">
        <v>0.7</v>
      </c>
      <c r="HF43">
        <v>0.7</v>
      </c>
      <c r="HG43">
        <v>0.7</v>
      </c>
      <c r="HH43">
        <v>0.7</v>
      </c>
      <c r="HI43">
        <v>0.7</v>
      </c>
      <c r="HJ43">
        <v>0.7</v>
      </c>
    </row>
    <row r="44" spans="1:218" x14ac:dyDescent="0.35">
      <c r="A44" s="56" t="s">
        <v>2239</v>
      </c>
      <c r="B44" s="56">
        <v>4.7</v>
      </c>
      <c r="C44" s="56">
        <v>4.8</v>
      </c>
      <c r="D44" s="56">
        <v>4.7</v>
      </c>
      <c r="E44" s="56">
        <v>4.8</v>
      </c>
      <c r="F44" s="56">
        <v>4.8</v>
      </c>
      <c r="G44" s="56">
        <v>4.8</v>
      </c>
      <c r="H44" s="56">
        <v>4.5</v>
      </c>
      <c r="I44" s="56">
        <v>4.5999999999999996</v>
      </c>
      <c r="J44" s="56">
        <v>6.1</v>
      </c>
      <c r="K44" s="56">
        <v>6.2</v>
      </c>
      <c r="L44" s="56">
        <v>7.2</v>
      </c>
      <c r="M44" s="56">
        <v>7.1</v>
      </c>
      <c r="N44" s="56">
        <v>5.9</v>
      </c>
      <c r="O44" s="56">
        <v>5.7</v>
      </c>
      <c r="P44" s="56">
        <v>4.7</v>
      </c>
      <c r="Q44" s="56">
        <v>4.5999999999999996</v>
      </c>
      <c r="R44" s="56">
        <v>3.6</v>
      </c>
      <c r="S44" s="56">
        <v>2.9</v>
      </c>
      <c r="T44" s="56">
        <v>3.2</v>
      </c>
      <c r="U44" s="56">
        <v>3.6</v>
      </c>
      <c r="V44" s="56">
        <v>4.2</v>
      </c>
      <c r="W44" s="56">
        <v>4.3</v>
      </c>
      <c r="X44" s="56">
        <v>4.5999999999999996</v>
      </c>
      <c r="Y44" s="56">
        <v>4.9000000000000004</v>
      </c>
      <c r="Z44" s="56">
        <v>5.0999999999999996</v>
      </c>
      <c r="AA44" s="56">
        <v>4.8</v>
      </c>
      <c r="AB44" s="56">
        <v>5.0999999999999996</v>
      </c>
      <c r="AC44" s="56">
        <v>5.5</v>
      </c>
      <c r="AD44" s="56">
        <v>5.8</v>
      </c>
      <c r="AE44" s="56">
        <v>5.9</v>
      </c>
      <c r="AF44" s="56">
        <v>6.4</v>
      </c>
      <c r="AG44" s="56">
        <v>10.3</v>
      </c>
      <c r="AH44" s="56">
        <v>8.6999999999999993</v>
      </c>
      <c r="AI44" s="56">
        <v>8.4</v>
      </c>
      <c r="AJ44" s="56">
        <v>8.3000000000000007</v>
      </c>
      <c r="AK44" s="56">
        <v>10.4</v>
      </c>
      <c r="AL44" s="56">
        <v>8.4</v>
      </c>
      <c r="AM44" s="56">
        <v>8.8000000000000007</v>
      </c>
      <c r="AN44" s="56">
        <v>8.1</v>
      </c>
      <c r="AO44" s="56">
        <v>8.9</v>
      </c>
      <c r="AP44" s="56">
        <v>9.1999999999999993</v>
      </c>
      <c r="AQ44" s="56">
        <v>9.6</v>
      </c>
      <c r="AR44" s="56">
        <v>10.1</v>
      </c>
      <c r="AS44" s="56">
        <v>10.3</v>
      </c>
      <c r="AT44" s="56">
        <v>10.6</v>
      </c>
      <c r="AU44" s="56">
        <v>10.7</v>
      </c>
      <c r="AV44" s="56">
        <v>11.1</v>
      </c>
      <c r="AW44" s="56">
        <v>13.5</v>
      </c>
      <c r="AX44" s="56">
        <v>14</v>
      </c>
      <c r="AY44" s="56">
        <v>13.6</v>
      </c>
      <c r="AZ44" s="56">
        <v>13</v>
      </c>
      <c r="BA44" s="56">
        <v>19.399999999999999</v>
      </c>
      <c r="BB44" s="56">
        <v>19.899999999999999</v>
      </c>
      <c r="BC44" s="56">
        <v>21.6</v>
      </c>
      <c r="BD44" s="56">
        <v>22.2</v>
      </c>
      <c r="BE44" s="56">
        <v>21.5</v>
      </c>
      <c r="BF44" s="56">
        <v>21.2</v>
      </c>
      <c r="BG44" s="56">
        <v>21</v>
      </c>
      <c r="BH44" s="56">
        <v>20.9</v>
      </c>
      <c r="BI44" s="56">
        <v>21.2</v>
      </c>
      <c r="BJ44" s="56">
        <v>21.1</v>
      </c>
      <c r="BK44" s="56">
        <v>21</v>
      </c>
      <c r="BL44" s="56">
        <v>21.3</v>
      </c>
      <c r="BM44" s="56">
        <v>22</v>
      </c>
      <c r="BN44" s="56">
        <v>23.1</v>
      </c>
      <c r="BO44" s="56">
        <v>24.2</v>
      </c>
      <c r="BP44" s="56">
        <v>25.5</v>
      </c>
      <c r="BQ44" s="56">
        <v>26.8</v>
      </c>
      <c r="BR44" s="56">
        <v>28.3</v>
      </c>
      <c r="BS44" s="56">
        <v>30.4</v>
      </c>
      <c r="BT44" s="56">
        <v>31.3</v>
      </c>
      <c r="BU44" s="56">
        <v>31.1</v>
      </c>
      <c r="BV44" s="56">
        <v>30.4</v>
      </c>
      <c r="BW44" s="56">
        <v>29.8</v>
      </c>
      <c r="BX44" s="56">
        <v>29.2</v>
      </c>
      <c r="BY44" s="56">
        <v>28.6</v>
      </c>
      <c r="BZ44" s="56">
        <v>28</v>
      </c>
      <c r="CA44" s="56">
        <v>27.4</v>
      </c>
      <c r="CB44" s="56">
        <v>27.1</v>
      </c>
      <c r="CC44" s="56">
        <v>27.3</v>
      </c>
      <c r="CD44" s="56">
        <v>27.1</v>
      </c>
      <c r="CE44" s="56">
        <v>27</v>
      </c>
      <c r="CF44" s="56">
        <v>26.9</v>
      </c>
      <c r="CG44" s="56">
        <v>27</v>
      </c>
      <c r="CH44" s="56">
        <v>27.1</v>
      </c>
      <c r="CI44" s="56">
        <v>27.2</v>
      </c>
      <c r="CJ44" s="56">
        <v>27.5</v>
      </c>
      <c r="CK44" s="56">
        <v>28.1</v>
      </c>
      <c r="CL44" s="56">
        <v>28.6</v>
      </c>
      <c r="CM44" s="56">
        <v>29.2</v>
      </c>
      <c r="CN44" s="56">
        <v>30.4</v>
      </c>
      <c r="CO44" s="56">
        <v>32.200000000000003</v>
      </c>
      <c r="CP44" s="56">
        <v>35.5</v>
      </c>
      <c r="CQ44" s="56">
        <v>37.6</v>
      </c>
      <c r="CR44" s="56">
        <v>37.700000000000003</v>
      </c>
      <c r="CS44" s="56">
        <v>36</v>
      </c>
      <c r="CT44" s="56">
        <v>33.6</v>
      </c>
      <c r="CU44" s="56">
        <v>32.4</v>
      </c>
      <c r="CV44" s="56">
        <v>31.9</v>
      </c>
      <c r="CW44" s="56">
        <v>32.200000000000003</v>
      </c>
      <c r="CX44" s="56">
        <v>34</v>
      </c>
      <c r="CY44" s="56">
        <v>34.6</v>
      </c>
      <c r="CZ44" s="56">
        <v>35.1</v>
      </c>
      <c r="DA44" s="56">
        <v>35.5</v>
      </c>
      <c r="DB44" s="56">
        <v>35.5</v>
      </c>
      <c r="DC44" s="56">
        <v>35.4</v>
      </c>
      <c r="DD44" s="56">
        <v>35.200000000000003</v>
      </c>
      <c r="DE44" s="56">
        <v>34.799999999999997</v>
      </c>
      <c r="DF44" s="56">
        <v>34.4</v>
      </c>
      <c r="DG44" s="56">
        <v>33.6</v>
      </c>
      <c r="DH44" s="56">
        <v>33.4</v>
      </c>
      <c r="DI44" s="56">
        <v>33.799999999999997</v>
      </c>
      <c r="DJ44" s="56">
        <v>33.799999999999997</v>
      </c>
      <c r="DK44" s="56">
        <v>35</v>
      </c>
      <c r="DL44" s="56">
        <v>36.799999999999997</v>
      </c>
      <c r="DM44" s="56">
        <v>39.9</v>
      </c>
      <c r="DN44" s="56">
        <v>42.4</v>
      </c>
      <c r="DO44" s="56">
        <v>45</v>
      </c>
      <c r="DP44" s="56">
        <v>46.4</v>
      </c>
      <c r="DQ44" s="56">
        <v>46.9</v>
      </c>
      <c r="DR44" s="56">
        <v>45.1</v>
      </c>
      <c r="DS44" s="56">
        <v>45.5</v>
      </c>
      <c r="DT44" s="56">
        <v>45.8</v>
      </c>
      <c r="DU44" s="56">
        <v>47</v>
      </c>
      <c r="DV44" s="56">
        <v>55.2</v>
      </c>
      <c r="DW44" s="56">
        <v>62</v>
      </c>
      <c r="DX44" s="56">
        <v>71.2</v>
      </c>
      <c r="DY44" s="56">
        <v>46.4</v>
      </c>
      <c r="DZ44" s="56">
        <v>42.6</v>
      </c>
      <c r="EA44" s="56">
        <v>39.799999999999997</v>
      </c>
      <c r="EB44" s="56">
        <v>41.3</v>
      </c>
      <c r="EC44" s="56">
        <v>41.9</v>
      </c>
      <c r="ED44" s="56">
        <v>47.1</v>
      </c>
      <c r="EE44" s="56">
        <v>57.1</v>
      </c>
      <c r="EF44" s="56">
        <v>45.9</v>
      </c>
      <c r="EG44" s="56">
        <v>46</v>
      </c>
      <c r="EH44" s="56">
        <v>44.2</v>
      </c>
      <c r="EI44" s="56">
        <v>43.7</v>
      </c>
      <c r="EJ44" s="56">
        <v>45.4</v>
      </c>
      <c r="EK44" s="56">
        <v>52.3</v>
      </c>
      <c r="EL44" s="56">
        <v>56.7</v>
      </c>
      <c r="EM44" s="56">
        <v>60.7</v>
      </c>
      <c r="EN44" s="56">
        <v>62</v>
      </c>
      <c r="EO44" s="56">
        <v>64.2</v>
      </c>
      <c r="EP44" s="56">
        <v>55.7</v>
      </c>
      <c r="EQ44" s="56">
        <v>51.5</v>
      </c>
      <c r="ER44" s="56">
        <v>49.9</v>
      </c>
      <c r="ES44" s="56">
        <v>48.7</v>
      </c>
      <c r="ET44" s="56">
        <v>49.5</v>
      </c>
      <c r="EU44" s="56">
        <v>58.2</v>
      </c>
      <c r="EV44" s="56">
        <v>55.9</v>
      </c>
      <c r="EW44" s="56">
        <v>54.7</v>
      </c>
      <c r="EX44" s="56">
        <v>51.9</v>
      </c>
      <c r="EY44" s="56">
        <v>51.7</v>
      </c>
      <c r="EZ44" s="56">
        <v>52</v>
      </c>
      <c r="FA44" s="56">
        <v>54.6</v>
      </c>
      <c r="FB44" s="56">
        <v>55.4</v>
      </c>
      <c r="FC44" s="56">
        <v>55.5</v>
      </c>
      <c r="FD44" s="56">
        <v>67.099999999999994</v>
      </c>
      <c r="FE44" s="56">
        <v>55.5</v>
      </c>
      <c r="FF44" s="56">
        <v>54.8</v>
      </c>
      <c r="FG44" s="56">
        <v>55.5</v>
      </c>
      <c r="FH44" s="56">
        <v>56</v>
      </c>
      <c r="FI44" s="56">
        <v>56.9</v>
      </c>
      <c r="FJ44" s="56">
        <v>58.9</v>
      </c>
      <c r="FK44" s="56">
        <v>59.9</v>
      </c>
      <c r="FL44" s="56">
        <v>60.2</v>
      </c>
      <c r="FM44" s="56">
        <v>61.1</v>
      </c>
      <c r="FN44" s="56">
        <v>58.4</v>
      </c>
      <c r="FO44" s="56">
        <v>58.1</v>
      </c>
      <c r="FP44" s="56">
        <v>56.3</v>
      </c>
      <c r="FQ44" s="56">
        <v>59.4</v>
      </c>
      <c r="FR44" s="56">
        <v>59.4</v>
      </c>
      <c r="FS44" s="56">
        <v>60.1</v>
      </c>
      <c r="FT44" s="56">
        <v>60</v>
      </c>
      <c r="FU44" s="56">
        <v>59.4</v>
      </c>
      <c r="FV44" s="56">
        <v>58.7</v>
      </c>
      <c r="FW44" s="56">
        <v>58.5</v>
      </c>
      <c r="FX44" s="56">
        <v>58.2</v>
      </c>
      <c r="FY44" s="56">
        <v>57</v>
      </c>
      <c r="FZ44" s="56">
        <v>56</v>
      </c>
      <c r="GA44" s="56">
        <v>56.4</v>
      </c>
      <c r="GB44" s="56">
        <v>57.7</v>
      </c>
      <c r="GC44" s="56">
        <v>58.7</v>
      </c>
      <c r="GD44" s="56">
        <v>60.7</v>
      </c>
      <c r="GE44" s="56">
        <v>62.4</v>
      </c>
      <c r="GF44" s="56">
        <v>63</v>
      </c>
      <c r="GG44" s="56">
        <v>60.9</v>
      </c>
      <c r="GH44" s="56">
        <v>59.4</v>
      </c>
      <c r="GI44" s="56">
        <v>58</v>
      </c>
      <c r="GJ44" s="56">
        <v>61.9</v>
      </c>
      <c r="GK44" s="56">
        <v>60.2</v>
      </c>
      <c r="GL44" s="56">
        <v>58.7</v>
      </c>
      <c r="GM44" s="56">
        <v>58.2</v>
      </c>
      <c r="GN44" s="56">
        <v>57.8</v>
      </c>
      <c r="GO44" s="56">
        <v>78.5</v>
      </c>
      <c r="GP44" s="56">
        <v>69.099999999999994</v>
      </c>
      <c r="GQ44" s="56">
        <v>58.9</v>
      </c>
      <c r="GR44" s="56">
        <v>81.2</v>
      </c>
      <c r="GS44" s="56">
        <v>82.7</v>
      </c>
      <c r="GT44" s="56">
        <v>80.599999999999994</v>
      </c>
      <c r="GU44" s="56">
        <v>976.4</v>
      </c>
      <c r="GV44" s="56">
        <v>1109</v>
      </c>
      <c r="GW44" s="56">
        <v>461.4</v>
      </c>
      <c r="GX44" s="56">
        <v>388</v>
      </c>
      <c r="GY44" s="56">
        <v>701.3</v>
      </c>
      <c r="GZ44" s="56">
        <v>547.79999999999995</v>
      </c>
      <c r="HA44" s="56">
        <v>293.89999999999998</v>
      </c>
      <c r="HB44" s="56">
        <v>152</v>
      </c>
      <c r="HC44">
        <v>130.1</v>
      </c>
      <c r="HD44">
        <v>118.4</v>
      </c>
      <c r="HE44">
        <v>109.2</v>
      </c>
      <c r="HF44">
        <v>101.4</v>
      </c>
      <c r="HG44">
        <v>99.9</v>
      </c>
      <c r="HH44">
        <v>103.1</v>
      </c>
      <c r="HI44">
        <v>100</v>
      </c>
      <c r="HJ44">
        <v>97.2</v>
      </c>
    </row>
    <row r="45" spans="1:218" x14ac:dyDescent="0.35">
      <c r="A45" s="56" t="s">
        <v>2240</v>
      </c>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v>1078.0999999999999</v>
      </c>
      <c r="GV45" s="56">
        <v>15.6</v>
      </c>
      <c r="GW45" s="56">
        <v>5</v>
      </c>
      <c r="GX45" s="56">
        <v>1933.7</v>
      </c>
      <c r="GY45" s="56">
        <v>290.10000000000002</v>
      </c>
      <c r="GZ45" s="56">
        <v>38.9</v>
      </c>
      <c r="HA45" s="56">
        <v>14.2</v>
      </c>
      <c r="HB45" s="56">
        <v>0</v>
      </c>
      <c r="HC45">
        <v>0</v>
      </c>
      <c r="HD45">
        <v>0</v>
      </c>
      <c r="HE45">
        <v>0</v>
      </c>
    </row>
    <row r="46" spans="1:218" x14ac:dyDescent="0.35">
      <c r="A46" s="56" t="s">
        <v>2241</v>
      </c>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s="56"/>
      <c r="BP46" s="56"/>
      <c r="BQ46" s="56"/>
      <c r="BR46" s="56"/>
      <c r="BS46" s="56"/>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56"/>
      <c r="CT46" s="56"/>
      <c r="CU46" s="56"/>
      <c r="CV46" s="56"/>
      <c r="CW46" s="56"/>
      <c r="CX46" s="56"/>
      <c r="CY46" s="56"/>
      <c r="CZ46" s="56"/>
      <c r="DA46" s="56"/>
      <c r="DB46" s="56"/>
      <c r="DC46" s="56"/>
      <c r="DD46" s="56"/>
      <c r="DE46" s="56"/>
      <c r="DF46" s="56"/>
      <c r="DG46" s="56"/>
      <c r="DH46" s="56"/>
      <c r="DI46" s="56"/>
      <c r="DJ46" s="56"/>
      <c r="DK46" s="56"/>
      <c r="DL46" s="56"/>
      <c r="DM46" s="56"/>
      <c r="DN46" s="56"/>
      <c r="DO46" s="56"/>
      <c r="DP46" s="56"/>
      <c r="DQ46" s="56"/>
      <c r="DR46" s="56"/>
      <c r="DS46" s="56"/>
      <c r="DT46" s="56"/>
      <c r="DU46" s="56"/>
      <c r="DV46" s="56"/>
      <c r="DW46" s="56"/>
      <c r="DX46" s="56"/>
      <c r="DY46" s="56"/>
      <c r="DZ46" s="56"/>
      <c r="EA46" s="56"/>
      <c r="EB46" s="56"/>
      <c r="EC46" s="56"/>
      <c r="ED46" s="56"/>
      <c r="EE46" s="56"/>
      <c r="EF46" s="56"/>
      <c r="EG46" s="56"/>
      <c r="EH46" s="56"/>
      <c r="EI46" s="56"/>
      <c r="EJ46" s="56"/>
      <c r="EK46" s="56"/>
      <c r="EL46" s="56"/>
      <c r="EM46" s="56"/>
      <c r="EN46" s="56"/>
      <c r="EO46" s="56"/>
      <c r="EP46" s="56"/>
      <c r="EQ46" s="56"/>
      <c r="ER46" s="56"/>
      <c r="ES46" s="56"/>
      <c r="ET46" s="56"/>
      <c r="EU46" s="56"/>
      <c r="EV46" s="56"/>
      <c r="EW46" s="56"/>
      <c r="EX46" s="56"/>
      <c r="EY46" s="56"/>
      <c r="EZ46" s="56"/>
      <c r="FA46" s="56"/>
      <c r="FB46" s="56"/>
      <c r="FC46" s="56"/>
      <c r="FD46" s="56"/>
      <c r="FE46" s="56"/>
      <c r="FF46" s="56"/>
      <c r="FG46" s="56"/>
      <c r="FH46" s="56"/>
      <c r="FI46" s="56"/>
      <c r="FJ46" s="56"/>
      <c r="FK46" s="56"/>
      <c r="FL46" s="56"/>
      <c r="FM46" s="56"/>
      <c r="FN46" s="56"/>
      <c r="FO46" s="56"/>
      <c r="FP46" s="56"/>
      <c r="FQ46" s="56"/>
      <c r="FR46" s="56"/>
      <c r="FS46" s="56"/>
      <c r="FT46" s="56"/>
      <c r="FU46" s="56"/>
      <c r="FV46" s="56"/>
      <c r="FW46" s="56"/>
      <c r="FX46" s="56"/>
      <c r="FY46" s="56"/>
      <c r="FZ46" s="56"/>
      <c r="GA46" s="56"/>
      <c r="GB46" s="56"/>
      <c r="GC46" s="56"/>
      <c r="GD46" s="56"/>
      <c r="GE46" s="56"/>
      <c r="GF46" s="56"/>
      <c r="GG46" s="56"/>
      <c r="GH46" s="56"/>
      <c r="GI46" s="56"/>
      <c r="GJ46" s="56"/>
      <c r="GK46" s="56"/>
      <c r="GL46" s="56"/>
      <c r="GM46" s="56"/>
      <c r="GN46" s="56"/>
      <c r="GO46" s="56"/>
      <c r="GP46" s="56"/>
      <c r="GQ46" s="56"/>
      <c r="GR46" s="56"/>
      <c r="GS46" s="56"/>
      <c r="GT46" s="56"/>
      <c r="GU46" s="56">
        <v>9.6</v>
      </c>
      <c r="GV46" s="56">
        <v>14.4</v>
      </c>
      <c r="GW46" s="56">
        <v>14.3</v>
      </c>
      <c r="GX46" s="56">
        <v>15</v>
      </c>
      <c r="GY46" s="56">
        <v>15.3</v>
      </c>
      <c r="GZ46" s="56">
        <v>15.6</v>
      </c>
      <c r="HA46" s="56">
        <v>15.7</v>
      </c>
      <c r="HB46" s="56">
        <v>15.8</v>
      </c>
      <c r="HC46">
        <v>7.9</v>
      </c>
      <c r="HD46">
        <v>0</v>
      </c>
      <c r="HE46">
        <v>0</v>
      </c>
    </row>
    <row r="47" spans="1:218" x14ac:dyDescent="0.35">
      <c r="A47" s="56" t="s">
        <v>2242</v>
      </c>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6"/>
      <c r="DM47" s="56"/>
      <c r="DN47" s="56"/>
      <c r="DO47" s="56"/>
      <c r="DP47" s="56"/>
      <c r="DQ47" s="56"/>
      <c r="DR47" s="56"/>
      <c r="DS47" s="56"/>
      <c r="DT47" s="56"/>
      <c r="DU47" s="56"/>
      <c r="DV47" s="56"/>
      <c r="DW47" s="56"/>
      <c r="DX47" s="56"/>
      <c r="DY47" s="56"/>
      <c r="DZ47" s="56"/>
      <c r="EA47" s="56"/>
      <c r="EB47" s="56"/>
      <c r="EC47" s="56"/>
      <c r="ED47" s="56"/>
      <c r="EE47" s="56"/>
      <c r="EF47" s="56"/>
      <c r="EG47" s="56"/>
      <c r="EH47" s="56"/>
      <c r="EI47" s="56"/>
      <c r="EJ47" s="56"/>
      <c r="EK47" s="56"/>
      <c r="EL47" s="56"/>
      <c r="EM47" s="56"/>
      <c r="EN47" s="56"/>
      <c r="EO47" s="56"/>
      <c r="EP47" s="56"/>
      <c r="EQ47" s="56"/>
      <c r="ER47" s="56"/>
      <c r="ES47" s="56"/>
      <c r="ET47" s="56"/>
      <c r="EU47" s="56"/>
      <c r="EV47" s="56"/>
      <c r="EW47" s="56"/>
      <c r="EX47" s="56"/>
      <c r="EY47" s="56"/>
      <c r="EZ47" s="56"/>
      <c r="FA47" s="56"/>
      <c r="FB47" s="56"/>
      <c r="FC47" s="56"/>
      <c r="FD47" s="56"/>
      <c r="FE47" s="56"/>
      <c r="FF47" s="56"/>
      <c r="FG47" s="56"/>
      <c r="FH47" s="56"/>
      <c r="FI47" s="56"/>
      <c r="FJ47" s="56"/>
      <c r="FK47" s="56"/>
      <c r="FL47" s="56"/>
      <c r="FM47" s="56"/>
      <c r="FN47" s="56"/>
      <c r="FO47" s="56"/>
      <c r="FP47" s="56"/>
      <c r="FQ47" s="56"/>
      <c r="FR47" s="56"/>
      <c r="FS47" s="56"/>
      <c r="FT47" s="56"/>
      <c r="FU47" s="56"/>
      <c r="FV47" s="56"/>
      <c r="FW47" s="56"/>
      <c r="FX47" s="56"/>
      <c r="FY47" s="56"/>
      <c r="FZ47" s="56"/>
      <c r="GA47" s="56"/>
      <c r="GB47" s="56"/>
      <c r="GC47" s="56"/>
      <c r="GD47" s="56"/>
      <c r="GE47" s="56"/>
      <c r="GF47" s="56"/>
      <c r="GG47" s="56"/>
      <c r="GH47" s="56"/>
      <c r="GI47" s="56"/>
      <c r="GJ47" s="56"/>
      <c r="GK47" s="56"/>
      <c r="GL47" s="56"/>
      <c r="GM47" s="56"/>
      <c r="GN47" s="56"/>
      <c r="GO47" s="56"/>
      <c r="GP47" s="56"/>
      <c r="GQ47" s="56"/>
      <c r="GR47" s="56"/>
      <c r="GS47" s="56"/>
      <c r="GT47" s="56"/>
      <c r="GU47" s="56">
        <v>57.2</v>
      </c>
      <c r="GV47" s="56">
        <v>81.2</v>
      </c>
      <c r="GW47" s="56">
        <v>24.4</v>
      </c>
      <c r="GX47" s="56">
        <v>11.7</v>
      </c>
      <c r="GY47" s="56">
        <v>28.5</v>
      </c>
      <c r="GZ47" s="56">
        <v>18.8</v>
      </c>
      <c r="HA47" s="56">
        <v>1.6</v>
      </c>
      <c r="HB47" s="56">
        <v>0</v>
      </c>
      <c r="HC47">
        <v>0</v>
      </c>
      <c r="HD47">
        <v>0</v>
      </c>
      <c r="HE47">
        <v>0</v>
      </c>
    </row>
    <row r="48" spans="1:218" x14ac:dyDescent="0.35">
      <c r="A48" s="56" t="s">
        <v>2243</v>
      </c>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O48" s="56"/>
      <c r="BP48" s="56"/>
      <c r="BQ48" s="56"/>
      <c r="BR48" s="56"/>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6"/>
      <c r="DM48" s="56"/>
      <c r="DN48" s="56"/>
      <c r="DO48" s="56"/>
      <c r="DP48" s="56"/>
      <c r="DQ48" s="56"/>
      <c r="DR48" s="56"/>
      <c r="DS48" s="56"/>
      <c r="DT48" s="56"/>
      <c r="DU48" s="56"/>
      <c r="DV48" s="56"/>
      <c r="DW48" s="56"/>
      <c r="DX48" s="56"/>
      <c r="DY48" s="56"/>
      <c r="DZ48" s="56"/>
      <c r="EA48" s="56"/>
      <c r="EB48" s="56"/>
      <c r="EC48" s="56"/>
      <c r="ED48" s="56"/>
      <c r="EE48" s="56"/>
      <c r="EF48" s="56"/>
      <c r="EG48" s="56"/>
      <c r="EH48" s="56"/>
      <c r="EI48" s="56"/>
      <c r="EJ48" s="56"/>
      <c r="EK48" s="56"/>
      <c r="EL48" s="56"/>
      <c r="EM48" s="56"/>
      <c r="EN48" s="56"/>
      <c r="EO48" s="56"/>
      <c r="EP48" s="56"/>
      <c r="EQ48" s="56"/>
      <c r="ER48" s="56"/>
      <c r="ES48" s="56"/>
      <c r="ET48" s="56"/>
      <c r="EU48" s="56"/>
      <c r="EV48" s="56"/>
      <c r="EW48" s="56"/>
      <c r="EX48" s="56"/>
      <c r="EY48" s="56"/>
      <c r="EZ48" s="56"/>
      <c r="FA48" s="56"/>
      <c r="FB48" s="56"/>
      <c r="FC48" s="56"/>
      <c r="FD48" s="56"/>
      <c r="FE48" s="56"/>
      <c r="FF48" s="56"/>
      <c r="FG48" s="56"/>
      <c r="FH48" s="56"/>
      <c r="FI48" s="56"/>
      <c r="FJ48" s="56"/>
      <c r="FK48" s="56"/>
      <c r="FL48" s="56"/>
      <c r="FM48" s="56"/>
      <c r="FN48" s="56"/>
      <c r="FO48" s="56"/>
      <c r="FP48" s="56"/>
      <c r="FQ48" s="56"/>
      <c r="FR48" s="56"/>
      <c r="FS48" s="56"/>
      <c r="FT48" s="56"/>
      <c r="FU48" s="56"/>
      <c r="FV48" s="56"/>
      <c r="FW48" s="56"/>
      <c r="FX48" s="56"/>
      <c r="FY48" s="56"/>
      <c r="FZ48" s="56"/>
      <c r="GA48" s="56"/>
      <c r="GB48" s="56"/>
      <c r="GC48" s="56"/>
      <c r="GD48" s="56"/>
      <c r="GE48" s="56"/>
      <c r="GF48" s="56"/>
      <c r="GG48" s="56"/>
      <c r="GH48" s="56"/>
      <c r="GI48" s="56"/>
      <c r="GJ48" s="56"/>
      <c r="GK48" s="56"/>
      <c r="GL48" s="56"/>
      <c r="GM48" s="56"/>
      <c r="GN48" s="56"/>
      <c r="GO48" s="56"/>
      <c r="GP48" s="56"/>
      <c r="GQ48" s="56"/>
      <c r="GR48" s="56"/>
      <c r="GS48" s="56"/>
      <c r="GT48" s="56">
        <v>1.5</v>
      </c>
      <c r="GU48" s="56">
        <v>160.9</v>
      </c>
      <c r="GV48" s="56">
        <v>58.4</v>
      </c>
      <c r="GW48" s="56">
        <v>34.5</v>
      </c>
      <c r="GX48" s="56">
        <v>21.4</v>
      </c>
      <c r="GY48" s="56">
        <v>13.3</v>
      </c>
      <c r="GZ48" s="56">
        <v>18.7</v>
      </c>
      <c r="HA48" s="56">
        <v>32.200000000000003</v>
      </c>
      <c r="HB48" s="56">
        <v>26.9</v>
      </c>
      <c r="HC48">
        <v>20</v>
      </c>
      <c r="HD48">
        <v>8.1</v>
      </c>
      <c r="HE48">
        <v>4.9000000000000004</v>
      </c>
    </row>
    <row r="49" spans="1:213" x14ac:dyDescent="0.35">
      <c r="A49" s="56" t="s">
        <v>2244</v>
      </c>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v>576.9</v>
      </c>
      <c r="GV49" s="56">
        <v>819.5</v>
      </c>
      <c r="GW49" s="56">
        <v>246.3</v>
      </c>
      <c r="GX49" s="56">
        <v>197</v>
      </c>
      <c r="GY49" s="56">
        <v>441.2</v>
      </c>
      <c r="GZ49" s="56">
        <v>276.7</v>
      </c>
      <c r="HA49" s="56">
        <v>28.2</v>
      </c>
      <c r="HB49" s="56">
        <v>0</v>
      </c>
      <c r="HC49">
        <v>0</v>
      </c>
      <c r="HD49">
        <v>0</v>
      </c>
      <c r="HE49">
        <v>0</v>
      </c>
    </row>
    <row r="50" spans="1:213" x14ac:dyDescent="0.35">
      <c r="A50" s="56" t="s">
        <v>2245</v>
      </c>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c r="CT50" s="56"/>
      <c r="CU50" s="56"/>
      <c r="CV50" s="56"/>
      <c r="CW50" s="56"/>
      <c r="CX50" s="56"/>
      <c r="CY50" s="56"/>
      <c r="CZ50" s="56"/>
      <c r="DA50" s="56"/>
      <c r="DB50" s="56"/>
      <c r="DC50" s="56"/>
      <c r="DD50" s="56"/>
      <c r="DE50" s="56"/>
      <c r="DF50" s="56"/>
      <c r="DG50" s="56"/>
      <c r="DH50" s="56"/>
      <c r="DI50" s="56"/>
      <c r="DJ50" s="56"/>
      <c r="DK50" s="56"/>
      <c r="DL50" s="56"/>
      <c r="DM50" s="56"/>
      <c r="DN50" s="56"/>
      <c r="DO50" s="56"/>
      <c r="DP50" s="56"/>
      <c r="DQ50" s="56"/>
      <c r="DR50" s="56"/>
      <c r="DS50" s="56"/>
      <c r="DT50" s="56"/>
      <c r="DU50" s="56"/>
      <c r="DV50" s="56"/>
      <c r="DW50" s="56"/>
      <c r="DX50" s="56"/>
      <c r="DY50" s="56"/>
      <c r="DZ50" s="56"/>
      <c r="EA50" s="56"/>
      <c r="EB50" s="56"/>
      <c r="EC50" s="56"/>
      <c r="ED50" s="56"/>
      <c r="EE50" s="56"/>
      <c r="EF50" s="56"/>
      <c r="EG50" s="56"/>
      <c r="EH50" s="56"/>
      <c r="EI50" s="56"/>
      <c r="EJ50" s="56"/>
      <c r="EK50" s="56"/>
      <c r="EL50" s="56"/>
      <c r="EM50" s="56"/>
      <c r="EN50" s="56"/>
      <c r="EO50" s="56"/>
      <c r="EP50" s="56"/>
      <c r="EQ50" s="56"/>
      <c r="ER50" s="56"/>
      <c r="ES50" s="56"/>
      <c r="ET50" s="56"/>
      <c r="EU50" s="56"/>
      <c r="EV50" s="56"/>
      <c r="EW50" s="56"/>
      <c r="EX50" s="56"/>
      <c r="EY50" s="56"/>
      <c r="EZ50" s="56"/>
      <c r="FA50" s="56"/>
      <c r="FB50" s="56"/>
      <c r="FC50" s="56"/>
      <c r="FD50" s="56"/>
      <c r="FE50" s="56"/>
      <c r="FF50" s="56"/>
      <c r="FG50" s="56"/>
      <c r="FH50" s="56"/>
      <c r="FI50" s="56"/>
      <c r="FJ50" s="56"/>
      <c r="FK50" s="56"/>
      <c r="FL50" s="56"/>
      <c r="FM50" s="56"/>
      <c r="FN50" s="56"/>
      <c r="FO50" s="56"/>
      <c r="FP50" s="56"/>
      <c r="FQ50" s="56"/>
      <c r="FR50" s="56"/>
      <c r="FS50" s="56"/>
      <c r="FT50" s="56"/>
      <c r="FU50" s="56"/>
      <c r="FV50" s="56"/>
      <c r="FW50" s="56"/>
      <c r="FX50" s="56"/>
      <c r="FY50" s="56"/>
      <c r="FZ50" s="56"/>
      <c r="GA50" s="56"/>
      <c r="GB50" s="56"/>
      <c r="GC50" s="56"/>
      <c r="GD50" s="56"/>
      <c r="GE50" s="56"/>
      <c r="GF50" s="56"/>
      <c r="GG50" s="56"/>
      <c r="GH50" s="56"/>
      <c r="GI50" s="56"/>
      <c r="GJ50" s="56"/>
      <c r="GK50" s="56"/>
      <c r="GL50" s="56"/>
      <c r="GM50" s="56"/>
      <c r="GN50" s="56"/>
      <c r="GO50" s="56"/>
      <c r="GP50" s="56"/>
      <c r="GQ50" s="56"/>
      <c r="GR50" s="56"/>
      <c r="GS50" s="56"/>
      <c r="GT50" s="56"/>
      <c r="GU50" s="56">
        <v>63.8</v>
      </c>
      <c r="GV50" s="56">
        <v>15</v>
      </c>
      <c r="GW50" s="56">
        <v>0.1</v>
      </c>
      <c r="GX50" s="56">
        <v>38</v>
      </c>
      <c r="GY50" s="56">
        <v>47.3</v>
      </c>
      <c r="GZ50" s="56">
        <v>0.7</v>
      </c>
      <c r="HA50" s="56">
        <v>0</v>
      </c>
      <c r="HB50" s="56">
        <v>0.3</v>
      </c>
      <c r="HC50">
        <v>0.2</v>
      </c>
      <c r="HD50">
        <v>0.3</v>
      </c>
      <c r="HE50">
        <v>0.4</v>
      </c>
    </row>
    <row r="51" spans="1:213" x14ac:dyDescent="0.35">
      <c r="A51" s="56" t="s">
        <v>2246</v>
      </c>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c r="CT51" s="56"/>
      <c r="CU51" s="56"/>
      <c r="CV51" s="56"/>
      <c r="CW51" s="56"/>
      <c r="CX51" s="56"/>
      <c r="CY51" s="56"/>
      <c r="CZ51" s="56"/>
      <c r="DA51" s="56"/>
      <c r="DB51" s="56"/>
      <c r="DC51" s="56"/>
      <c r="DD51" s="56"/>
      <c r="DE51" s="56"/>
      <c r="DF51" s="56"/>
      <c r="DG51" s="56"/>
      <c r="DH51" s="56"/>
      <c r="DI51" s="56"/>
      <c r="DJ51" s="56"/>
      <c r="DK51" s="56"/>
      <c r="DL51" s="56"/>
      <c r="DM51" s="56"/>
      <c r="DN51" s="56"/>
      <c r="DO51" s="56"/>
      <c r="DP51" s="56"/>
      <c r="DQ51" s="56"/>
      <c r="DR51" s="56"/>
      <c r="DS51" s="56"/>
      <c r="DT51" s="56"/>
      <c r="DU51" s="56"/>
      <c r="DV51" s="56"/>
      <c r="DW51" s="56"/>
      <c r="DX51" s="56"/>
      <c r="DY51" s="56"/>
      <c r="DZ51" s="56"/>
      <c r="EA51" s="56"/>
      <c r="EB51" s="56"/>
      <c r="EC51" s="56"/>
      <c r="ED51" s="56"/>
      <c r="EE51" s="56"/>
      <c r="EF51" s="56"/>
      <c r="EG51" s="56"/>
      <c r="EH51" s="56"/>
      <c r="EI51" s="56"/>
      <c r="EJ51" s="56"/>
      <c r="EK51" s="56"/>
      <c r="EL51" s="56"/>
      <c r="EM51" s="56"/>
      <c r="EN51" s="56"/>
      <c r="EO51" s="56"/>
      <c r="EP51" s="56"/>
      <c r="EQ51" s="56"/>
      <c r="ER51" s="56"/>
      <c r="ES51" s="56"/>
      <c r="ET51" s="56"/>
      <c r="EU51" s="56"/>
      <c r="EV51" s="56"/>
      <c r="EW51" s="56"/>
      <c r="EX51" s="56"/>
      <c r="EY51" s="56"/>
      <c r="EZ51" s="56"/>
      <c r="FA51" s="56"/>
      <c r="FB51" s="56"/>
      <c r="FC51" s="56"/>
      <c r="FD51" s="56"/>
      <c r="FE51" s="56"/>
      <c r="FF51" s="56"/>
      <c r="FG51" s="56"/>
      <c r="FH51" s="56"/>
      <c r="FI51" s="56"/>
      <c r="FJ51" s="56"/>
      <c r="FK51" s="56"/>
      <c r="FL51" s="56"/>
      <c r="FM51" s="56"/>
      <c r="FN51" s="56"/>
      <c r="FO51" s="56"/>
      <c r="FP51" s="56"/>
      <c r="FQ51" s="56"/>
      <c r="FR51" s="56"/>
      <c r="FS51" s="56"/>
      <c r="FT51" s="56"/>
      <c r="FU51" s="56"/>
      <c r="FV51" s="56"/>
      <c r="FW51" s="56"/>
      <c r="FX51" s="56"/>
      <c r="FY51" s="56"/>
      <c r="FZ51" s="56"/>
      <c r="GA51" s="56"/>
      <c r="GB51" s="56"/>
      <c r="GC51" s="56"/>
      <c r="GD51" s="56"/>
      <c r="GE51" s="56"/>
      <c r="GF51" s="56"/>
      <c r="GG51" s="56"/>
      <c r="GH51" s="56"/>
      <c r="GI51" s="56"/>
      <c r="GJ51" s="56"/>
      <c r="GK51" s="56"/>
      <c r="GL51" s="56"/>
      <c r="GM51" s="56"/>
      <c r="GN51" s="56"/>
      <c r="GO51" s="56"/>
      <c r="GP51" s="56"/>
      <c r="GQ51" s="56"/>
      <c r="GR51" s="56"/>
      <c r="GS51" s="56"/>
      <c r="GT51" s="56"/>
      <c r="GU51" s="56">
        <v>73.3</v>
      </c>
      <c r="GV51" s="56">
        <v>73.3</v>
      </c>
      <c r="GW51" s="56">
        <v>73.3</v>
      </c>
      <c r="GX51" s="56">
        <v>39.799999999999997</v>
      </c>
      <c r="GY51" s="56">
        <v>43</v>
      </c>
      <c r="GZ51" s="56">
        <v>45.7</v>
      </c>
      <c r="HA51" s="56">
        <v>51.5</v>
      </c>
      <c r="HB51" s="56">
        <v>0</v>
      </c>
      <c r="HC51">
        <v>0</v>
      </c>
      <c r="HD51">
        <v>0</v>
      </c>
      <c r="HE51">
        <v>0</v>
      </c>
    </row>
    <row r="52" spans="1:213" x14ac:dyDescent="0.35">
      <c r="A52" s="56" t="s">
        <v>2247</v>
      </c>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6"/>
      <c r="BZ52" s="56"/>
      <c r="CA52" s="56"/>
      <c r="CB52" s="56"/>
      <c r="CC52" s="56"/>
      <c r="CD52" s="56"/>
      <c r="CE52" s="56"/>
      <c r="CF52" s="56"/>
      <c r="CG52" s="56"/>
      <c r="CH52" s="56"/>
      <c r="CI52" s="56"/>
      <c r="CJ52" s="56"/>
      <c r="CK52" s="56"/>
      <c r="CL52" s="56"/>
      <c r="CM52" s="56"/>
      <c r="CN52" s="56"/>
      <c r="CO52" s="56"/>
      <c r="CP52" s="56"/>
      <c r="CQ52" s="56"/>
      <c r="CR52" s="56"/>
      <c r="CS52" s="56"/>
      <c r="CT52" s="56"/>
      <c r="CU52" s="56"/>
      <c r="CV52" s="56"/>
      <c r="CW52" s="56"/>
      <c r="CX52" s="56"/>
      <c r="CY52" s="56"/>
      <c r="CZ52" s="56"/>
      <c r="DA52" s="56"/>
      <c r="DB52" s="56"/>
      <c r="DC52" s="56"/>
      <c r="DD52" s="56"/>
      <c r="DE52" s="56"/>
      <c r="DF52" s="56"/>
      <c r="DG52" s="56"/>
      <c r="DH52" s="56"/>
      <c r="DI52" s="56"/>
      <c r="DJ52" s="56"/>
      <c r="DK52" s="56"/>
      <c r="DL52" s="56"/>
      <c r="DM52" s="56"/>
      <c r="DN52" s="56"/>
      <c r="DO52" s="56"/>
      <c r="DP52" s="56"/>
      <c r="DQ52" s="56"/>
      <c r="DR52" s="56"/>
      <c r="DS52" s="56"/>
      <c r="DT52" s="56"/>
      <c r="DU52" s="56"/>
      <c r="DV52" s="56"/>
      <c r="DW52" s="56"/>
      <c r="DX52" s="56"/>
      <c r="DY52" s="56"/>
      <c r="DZ52" s="56"/>
      <c r="EA52" s="56"/>
      <c r="EB52" s="56"/>
      <c r="EC52" s="56"/>
      <c r="ED52" s="56"/>
      <c r="EE52" s="56"/>
      <c r="EF52" s="56"/>
      <c r="EG52" s="56"/>
      <c r="EH52" s="56"/>
      <c r="EI52" s="56"/>
      <c r="EJ52" s="56"/>
      <c r="EK52" s="56"/>
      <c r="EL52" s="56"/>
      <c r="EM52" s="56"/>
      <c r="EN52" s="56"/>
      <c r="EO52" s="56"/>
      <c r="EP52" s="56"/>
      <c r="EQ52" s="56"/>
      <c r="ER52" s="56"/>
      <c r="ES52" s="56"/>
      <c r="ET52" s="56"/>
      <c r="EU52" s="56"/>
      <c r="EV52" s="56"/>
      <c r="EW52" s="56"/>
      <c r="EX52" s="56"/>
      <c r="EY52" s="56"/>
      <c r="EZ52" s="56"/>
      <c r="FA52" s="56"/>
      <c r="FB52" s="56"/>
      <c r="FC52" s="56"/>
      <c r="FD52" s="56"/>
      <c r="FE52" s="56"/>
      <c r="FF52" s="56"/>
      <c r="FG52" s="56"/>
      <c r="FH52" s="56"/>
      <c r="FI52" s="56"/>
      <c r="FJ52" s="56"/>
      <c r="FK52" s="56"/>
      <c r="FL52" s="56"/>
      <c r="FM52" s="56"/>
      <c r="FN52" s="56"/>
      <c r="FO52" s="56"/>
      <c r="FP52" s="56"/>
      <c r="FQ52" s="56"/>
      <c r="FR52" s="56"/>
      <c r="FS52" s="56"/>
      <c r="FT52" s="56"/>
      <c r="FU52" s="56"/>
      <c r="FV52" s="56"/>
      <c r="FW52" s="56"/>
      <c r="FX52" s="56"/>
      <c r="FY52" s="56"/>
      <c r="FZ52" s="56"/>
      <c r="GA52" s="56"/>
      <c r="GB52" s="56"/>
      <c r="GC52" s="56"/>
      <c r="GD52" s="56"/>
      <c r="GE52" s="56"/>
      <c r="GF52" s="56"/>
      <c r="GG52" s="56"/>
      <c r="GH52" s="56"/>
      <c r="GI52" s="56"/>
      <c r="GJ52" s="56"/>
      <c r="GK52" s="56"/>
      <c r="GL52" s="56"/>
      <c r="GM52" s="56"/>
      <c r="GN52" s="56"/>
      <c r="GO52" s="56"/>
      <c r="GP52" s="56"/>
      <c r="GQ52" s="56"/>
      <c r="GR52" s="56"/>
      <c r="GS52" s="56"/>
      <c r="GT52" s="56"/>
      <c r="GU52" s="56">
        <v>22</v>
      </c>
      <c r="GV52" s="56">
        <v>25.3</v>
      </c>
      <c r="GW52" s="56">
        <v>11.8</v>
      </c>
      <c r="GX52" s="56">
        <v>11.9</v>
      </c>
      <c r="GY52" s="56">
        <v>11.3</v>
      </c>
      <c r="GZ52" s="56">
        <v>13.6</v>
      </c>
      <c r="HA52" s="56">
        <v>19</v>
      </c>
      <c r="HB52" s="56">
        <v>21.8</v>
      </c>
      <c r="HC52">
        <v>22.3</v>
      </c>
      <c r="HD52">
        <v>20.2</v>
      </c>
      <c r="HE52">
        <v>15.8</v>
      </c>
    </row>
    <row r="53" spans="1:213" x14ac:dyDescent="0.35">
      <c r="A53" s="56" t="s">
        <v>2248</v>
      </c>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c r="CT53" s="56"/>
      <c r="CU53" s="56"/>
      <c r="CV53" s="56"/>
      <c r="CW53" s="56"/>
      <c r="CX53" s="56"/>
      <c r="CY53" s="56"/>
      <c r="CZ53" s="56"/>
      <c r="DA53" s="56"/>
      <c r="DB53" s="56"/>
      <c r="DC53" s="56"/>
      <c r="DD53" s="56"/>
      <c r="DE53" s="56"/>
      <c r="DF53" s="56"/>
      <c r="DG53" s="56"/>
      <c r="DH53" s="56"/>
      <c r="DI53" s="56"/>
      <c r="DJ53" s="56"/>
      <c r="DK53" s="56"/>
      <c r="DL53" s="56"/>
      <c r="DM53" s="56"/>
      <c r="DN53" s="56"/>
      <c r="DO53" s="56"/>
      <c r="DP53" s="56"/>
      <c r="DQ53" s="56"/>
      <c r="DR53" s="56"/>
      <c r="DS53" s="56"/>
      <c r="DT53" s="56"/>
      <c r="DU53" s="56"/>
      <c r="DV53" s="56"/>
      <c r="DW53" s="56"/>
      <c r="DX53" s="56"/>
      <c r="DY53" s="56"/>
      <c r="DZ53" s="56"/>
      <c r="EA53" s="56"/>
      <c r="EB53" s="56"/>
      <c r="EC53" s="56"/>
      <c r="ED53" s="56"/>
      <c r="EE53" s="56"/>
      <c r="EF53" s="56"/>
      <c r="EG53" s="56"/>
      <c r="EH53" s="56"/>
      <c r="EI53" s="56"/>
      <c r="EJ53" s="56"/>
      <c r="EK53" s="56"/>
      <c r="EL53" s="56"/>
      <c r="EM53" s="56"/>
      <c r="EN53" s="56"/>
      <c r="EO53" s="56"/>
      <c r="EP53" s="56"/>
      <c r="EQ53" s="56"/>
      <c r="ER53" s="56"/>
      <c r="ES53" s="56"/>
      <c r="ET53" s="56"/>
      <c r="EU53" s="56"/>
      <c r="EV53" s="56"/>
      <c r="EW53" s="56"/>
      <c r="EX53" s="56"/>
      <c r="EY53" s="56"/>
      <c r="EZ53" s="56"/>
      <c r="FA53" s="56"/>
      <c r="FB53" s="56"/>
      <c r="FC53" s="56"/>
      <c r="FD53" s="56"/>
      <c r="FE53" s="56"/>
      <c r="FF53" s="56"/>
      <c r="FG53" s="56"/>
      <c r="FH53" s="56"/>
      <c r="FI53" s="56"/>
      <c r="FJ53" s="56"/>
      <c r="FK53" s="56"/>
      <c r="FL53" s="56"/>
      <c r="FM53" s="56"/>
      <c r="FN53" s="56"/>
      <c r="FO53" s="56"/>
      <c r="FP53" s="56"/>
      <c r="FQ53" s="56"/>
      <c r="FR53" s="56"/>
      <c r="FS53" s="56"/>
      <c r="FT53" s="56"/>
      <c r="FU53" s="56"/>
      <c r="FV53" s="56"/>
      <c r="FW53" s="56"/>
      <c r="FX53" s="56"/>
      <c r="FY53" s="56"/>
      <c r="FZ53" s="56"/>
      <c r="GA53" s="56"/>
      <c r="GB53" s="56"/>
      <c r="GC53" s="56"/>
      <c r="GD53" s="56"/>
      <c r="GE53" s="56"/>
      <c r="GF53" s="56"/>
      <c r="GG53" s="56"/>
      <c r="GH53" s="56"/>
      <c r="GI53" s="56"/>
      <c r="GJ53" s="56"/>
      <c r="GK53" s="56"/>
      <c r="GL53" s="56"/>
      <c r="GM53" s="56"/>
      <c r="GN53" s="56"/>
      <c r="GO53" s="56"/>
      <c r="GP53" s="56"/>
      <c r="GQ53" s="56"/>
      <c r="GR53" s="56"/>
      <c r="GS53" s="56"/>
      <c r="GT53" s="56"/>
      <c r="GU53" s="56">
        <v>16.899999999999999</v>
      </c>
      <c r="GV53" s="56">
        <v>18.399999999999999</v>
      </c>
      <c r="GW53" s="56">
        <v>46.2</v>
      </c>
      <c r="GX53" s="56">
        <v>0.9</v>
      </c>
      <c r="GY53" s="56">
        <v>14.1</v>
      </c>
      <c r="GZ53" s="56">
        <v>8.6</v>
      </c>
      <c r="HA53" s="56">
        <v>1.2</v>
      </c>
      <c r="HB53" s="56">
        <v>0.6</v>
      </c>
      <c r="HC53">
        <v>0</v>
      </c>
      <c r="HD53">
        <v>0</v>
      </c>
      <c r="HE53">
        <v>0</v>
      </c>
    </row>
    <row r="54" spans="1:213" x14ac:dyDescent="0.35">
      <c r="A54" s="56" t="s">
        <v>2249</v>
      </c>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6"/>
      <c r="CH54" s="56"/>
      <c r="CI54" s="56"/>
      <c r="CJ54" s="56"/>
      <c r="CK54" s="56"/>
      <c r="CL54" s="56"/>
      <c r="CM54" s="56"/>
      <c r="CN54" s="56"/>
      <c r="CO54" s="56"/>
      <c r="CP54" s="56"/>
      <c r="CQ54" s="56"/>
      <c r="CR54" s="56"/>
      <c r="CS54" s="56"/>
      <c r="CT54" s="56"/>
      <c r="CU54" s="56"/>
      <c r="CV54" s="56"/>
      <c r="CW54" s="56"/>
      <c r="CX54" s="56"/>
      <c r="CY54" s="56"/>
      <c r="CZ54" s="56"/>
      <c r="DA54" s="56"/>
      <c r="DB54" s="56"/>
      <c r="DC54" s="56"/>
      <c r="DD54" s="56"/>
      <c r="DE54" s="56"/>
      <c r="DF54" s="56"/>
      <c r="DG54" s="56"/>
      <c r="DH54" s="56"/>
      <c r="DI54" s="56"/>
      <c r="DJ54" s="56"/>
      <c r="DK54" s="56"/>
      <c r="DL54" s="56"/>
      <c r="DM54" s="56"/>
      <c r="DN54" s="56"/>
      <c r="DO54" s="56"/>
      <c r="DP54" s="56"/>
      <c r="DQ54" s="56"/>
      <c r="DR54" s="56"/>
      <c r="DS54" s="56"/>
      <c r="DT54" s="56"/>
      <c r="DU54" s="56"/>
      <c r="DV54" s="56"/>
      <c r="DW54" s="56"/>
      <c r="DX54" s="56"/>
      <c r="DY54" s="56"/>
      <c r="DZ54" s="56"/>
      <c r="EA54" s="56"/>
      <c r="EB54" s="56"/>
      <c r="EC54" s="56"/>
      <c r="ED54" s="56"/>
      <c r="EE54" s="56"/>
      <c r="EF54" s="56"/>
      <c r="EG54" s="56"/>
      <c r="EH54" s="56"/>
      <c r="EI54" s="56"/>
      <c r="EJ54" s="56"/>
      <c r="EK54" s="56"/>
      <c r="EL54" s="56"/>
      <c r="EM54" s="56"/>
      <c r="EN54" s="56"/>
      <c r="EO54" s="56"/>
      <c r="EP54" s="56"/>
      <c r="EQ54" s="56"/>
      <c r="ER54" s="56"/>
      <c r="ES54" s="56"/>
      <c r="ET54" s="56"/>
      <c r="EU54" s="56"/>
      <c r="EV54" s="56"/>
      <c r="EW54" s="56"/>
      <c r="EX54" s="56"/>
      <c r="EY54" s="56"/>
      <c r="EZ54" s="56"/>
      <c r="FA54" s="56"/>
      <c r="FB54" s="56"/>
      <c r="FC54" s="56"/>
      <c r="FD54" s="56"/>
      <c r="FE54" s="56"/>
      <c r="FF54" s="56"/>
      <c r="FG54" s="56"/>
      <c r="FH54" s="56"/>
      <c r="FI54" s="56"/>
      <c r="FJ54" s="56"/>
      <c r="FK54" s="56"/>
      <c r="FL54" s="56"/>
      <c r="FM54" s="56"/>
      <c r="FN54" s="56"/>
      <c r="FO54" s="56"/>
      <c r="FP54" s="56"/>
      <c r="FQ54" s="56"/>
      <c r="FR54" s="56"/>
      <c r="FS54" s="56"/>
      <c r="FT54" s="56"/>
      <c r="FU54" s="56"/>
      <c r="FV54" s="56"/>
      <c r="FW54" s="56"/>
      <c r="FX54" s="56"/>
      <c r="FY54" s="56"/>
      <c r="FZ54" s="56"/>
      <c r="GA54" s="56"/>
      <c r="GB54" s="56"/>
      <c r="GC54" s="56"/>
      <c r="GD54" s="56"/>
      <c r="GE54" s="56"/>
      <c r="GF54" s="56"/>
      <c r="GG54" s="56"/>
      <c r="GH54" s="56"/>
      <c r="GI54" s="56"/>
      <c r="GJ54" s="56"/>
      <c r="GK54" s="56"/>
      <c r="GL54" s="56"/>
      <c r="GM54" s="56"/>
      <c r="GN54" s="56"/>
      <c r="GO54" s="56"/>
      <c r="GP54" s="56"/>
      <c r="GQ54" s="56"/>
      <c r="GR54" s="56"/>
      <c r="GS54" s="56"/>
      <c r="GT54" s="56"/>
      <c r="GU54" s="56">
        <v>96.6</v>
      </c>
      <c r="GV54" s="56">
        <v>35.1</v>
      </c>
      <c r="GW54" s="56">
        <v>20.7</v>
      </c>
      <c r="GX54" s="56">
        <v>15.4</v>
      </c>
      <c r="GY54" s="56">
        <v>9.6</v>
      </c>
      <c r="GZ54" s="56">
        <v>13.5</v>
      </c>
      <c r="HA54" s="56">
        <v>23.2</v>
      </c>
      <c r="HB54" s="56">
        <v>19.3</v>
      </c>
      <c r="HC54">
        <v>14.4</v>
      </c>
      <c r="HD54">
        <v>5.9</v>
      </c>
      <c r="HE54">
        <v>3.6</v>
      </c>
    </row>
    <row r="55" spans="1:213" x14ac:dyDescent="0.35">
      <c r="A55" s="56" t="s">
        <v>2250</v>
      </c>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56"/>
      <c r="DY55" s="56"/>
      <c r="DZ55" s="56"/>
      <c r="EA55" s="56"/>
      <c r="EB55" s="56"/>
      <c r="EC55" s="56"/>
      <c r="ED55" s="56"/>
      <c r="EE55" s="56"/>
      <c r="EF55" s="56"/>
      <c r="EG55" s="56"/>
      <c r="EH55" s="56"/>
      <c r="EI55" s="56"/>
      <c r="EJ55" s="56"/>
      <c r="EK55" s="56"/>
      <c r="EL55" s="56"/>
      <c r="EM55" s="56"/>
      <c r="EN55" s="56"/>
      <c r="EO55" s="56"/>
      <c r="EP55" s="56"/>
      <c r="EQ55" s="56"/>
      <c r="ER55" s="56"/>
      <c r="ES55" s="56"/>
      <c r="ET55" s="56"/>
      <c r="EU55" s="56"/>
      <c r="EV55" s="56"/>
      <c r="EW55" s="56"/>
      <c r="EX55" s="56"/>
      <c r="EY55" s="56"/>
      <c r="EZ55" s="56"/>
      <c r="FA55" s="56"/>
      <c r="FB55" s="56"/>
      <c r="FC55" s="56"/>
      <c r="FD55" s="56"/>
      <c r="FE55" s="56"/>
      <c r="FF55" s="56"/>
      <c r="FG55" s="56"/>
      <c r="FH55" s="56"/>
      <c r="FI55" s="56"/>
      <c r="FJ55" s="56"/>
      <c r="FK55" s="56"/>
      <c r="FL55" s="56"/>
      <c r="FM55" s="56"/>
      <c r="FN55" s="56"/>
      <c r="FO55" s="56"/>
      <c r="FP55" s="56"/>
      <c r="FQ55" s="56"/>
      <c r="FR55" s="56"/>
      <c r="FS55" s="56"/>
      <c r="FT55" s="56"/>
      <c r="FU55" s="56"/>
      <c r="FV55" s="56"/>
      <c r="FW55" s="56"/>
      <c r="FX55" s="56"/>
      <c r="FY55" s="56"/>
      <c r="FZ55" s="56"/>
      <c r="GA55" s="56"/>
      <c r="GB55" s="56"/>
      <c r="GC55" s="56"/>
      <c r="GD55" s="56"/>
      <c r="GE55" s="56"/>
      <c r="GF55" s="56"/>
      <c r="GG55" s="56"/>
      <c r="GH55" s="56"/>
      <c r="GI55" s="56"/>
      <c r="GJ55" s="56"/>
      <c r="GK55" s="56"/>
      <c r="GL55" s="56"/>
      <c r="GM55" s="56"/>
      <c r="GN55" s="56"/>
      <c r="GO55" s="56"/>
      <c r="GP55" s="56"/>
      <c r="GQ55" s="56"/>
      <c r="GR55" s="56"/>
      <c r="GS55" s="56"/>
      <c r="GT55" s="56"/>
      <c r="GU55" s="56">
        <v>140</v>
      </c>
      <c r="GV55" s="56">
        <v>140</v>
      </c>
      <c r="GW55" s="56">
        <v>140</v>
      </c>
      <c r="GX55" s="56">
        <v>4.8</v>
      </c>
      <c r="GY55" s="56">
        <v>4.4000000000000004</v>
      </c>
      <c r="GZ55" s="56">
        <v>5.3</v>
      </c>
      <c r="HA55" s="56">
        <v>4.7</v>
      </c>
      <c r="HB55" s="56">
        <v>0</v>
      </c>
      <c r="HC55">
        <v>0</v>
      </c>
      <c r="HD55">
        <v>0</v>
      </c>
      <c r="HE55">
        <v>0</v>
      </c>
    </row>
    <row r="56" spans="1:213" x14ac:dyDescent="0.35">
      <c r="A56" s="56" t="s">
        <v>2251</v>
      </c>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c r="CQ56" s="56"/>
      <c r="CR56" s="56"/>
      <c r="CS56" s="56"/>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56"/>
      <c r="DR56" s="56"/>
      <c r="DS56" s="56"/>
      <c r="DT56" s="56"/>
      <c r="DU56" s="56"/>
      <c r="DV56" s="56"/>
      <c r="DW56" s="56"/>
      <c r="DX56" s="56"/>
      <c r="DY56" s="56"/>
      <c r="DZ56" s="56"/>
      <c r="EA56" s="56"/>
      <c r="EB56" s="56"/>
      <c r="EC56" s="56"/>
      <c r="ED56" s="56"/>
      <c r="EE56" s="56"/>
      <c r="EF56" s="56"/>
      <c r="EG56" s="56"/>
      <c r="EH56" s="56"/>
      <c r="EI56" s="56"/>
      <c r="EJ56" s="56"/>
      <c r="EK56" s="56"/>
      <c r="EL56" s="56"/>
      <c r="EM56" s="56"/>
      <c r="EN56" s="56"/>
      <c r="EO56" s="56"/>
      <c r="EP56" s="56"/>
      <c r="EQ56" s="56"/>
      <c r="ER56" s="56"/>
      <c r="ES56" s="56"/>
      <c r="ET56" s="56"/>
      <c r="EU56" s="56"/>
      <c r="EV56" s="56"/>
      <c r="EW56" s="56"/>
      <c r="EX56" s="56"/>
      <c r="EY56" s="56"/>
      <c r="EZ56" s="56"/>
      <c r="FA56" s="56"/>
      <c r="FB56" s="56"/>
      <c r="FC56" s="56"/>
      <c r="FD56" s="56"/>
      <c r="FE56" s="56"/>
      <c r="FF56" s="56"/>
      <c r="FG56" s="56"/>
      <c r="FH56" s="56"/>
      <c r="FI56" s="56"/>
      <c r="FJ56" s="56"/>
      <c r="FK56" s="56"/>
      <c r="FL56" s="56"/>
      <c r="FM56" s="56"/>
      <c r="FN56" s="56"/>
      <c r="FO56" s="56"/>
      <c r="FP56" s="56"/>
      <c r="FQ56" s="56"/>
      <c r="FR56" s="56"/>
      <c r="FS56" s="56"/>
      <c r="FT56" s="56"/>
      <c r="FU56" s="56"/>
      <c r="FV56" s="56"/>
      <c r="FW56" s="56"/>
      <c r="FX56" s="56"/>
      <c r="FY56" s="56"/>
      <c r="FZ56" s="56"/>
      <c r="GA56" s="56"/>
      <c r="GB56" s="56"/>
      <c r="GC56" s="56"/>
      <c r="GD56" s="56"/>
      <c r="GE56" s="56"/>
      <c r="GF56" s="56"/>
      <c r="GG56" s="56"/>
      <c r="GH56" s="56"/>
      <c r="GI56" s="56"/>
      <c r="GJ56" s="56"/>
      <c r="GK56" s="56"/>
      <c r="GL56" s="56"/>
      <c r="GM56" s="56"/>
      <c r="GN56" s="56"/>
      <c r="GO56" s="56"/>
      <c r="GP56" s="56"/>
      <c r="GQ56" s="56"/>
      <c r="GR56" s="56"/>
      <c r="GS56" s="56"/>
      <c r="GT56" s="56"/>
      <c r="GU56" s="56">
        <v>597.9</v>
      </c>
      <c r="GV56" s="56">
        <v>0</v>
      </c>
      <c r="GW56" s="56">
        <v>0</v>
      </c>
      <c r="GX56" s="56">
        <v>0</v>
      </c>
      <c r="GY56" s="56">
        <v>785.9</v>
      </c>
      <c r="GZ56" s="56">
        <v>187.9</v>
      </c>
      <c r="HA56" s="56">
        <v>9.1999999999999993</v>
      </c>
      <c r="HB56" s="56">
        <v>0.6</v>
      </c>
      <c r="HC56">
        <v>0</v>
      </c>
      <c r="HD56">
        <v>0</v>
      </c>
      <c r="HE56">
        <v>0</v>
      </c>
    </row>
    <row r="57" spans="1:213" x14ac:dyDescent="0.35">
      <c r="A57" s="56" t="s">
        <v>2252</v>
      </c>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c r="CQ57" s="56"/>
      <c r="CR57" s="56"/>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c r="DR57" s="56"/>
      <c r="DS57" s="56"/>
      <c r="DT57" s="56"/>
      <c r="DU57" s="56"/>
      <c r="DV57" s="56"/>
      <c r="DW57" s="56"/>
      <c r="DX57" s="56"/>
      <c r="DY57" s="56"/>
      <c r="DZ57" s="56"/>
      <c r="EA57" s="56"/>
      <c r="EB57" s="56"/>
      <c r="EC57" s="56"/>
      <c r="ED57" s="56"/>
      <c r="EE57" s="56"/>
      <c r="EF57" s="56"/>
      <c r="EG57" s="56"/>
      <c r="EH57" s="56"/>
      <c r="EI57" s="56"/>
      <c r="EJ57" s="56"/>
      <c r="EK57" s="56"/>
      <c r="EL57" s="56"/>
      <c r="EM57" s="56"/>
      <c r="EN57" s="56"/>
      <c r="EO57" s="56"/>
      <c r="EP57" s="56"/>
      <c r="EQ57" s="56"/>
      <c r="ER57" s="56"/>
      <c r="ES57" s="56"/>
      <c r="ET57" s="56"/>
      <c r="EU57" s="56"/>
      <c r="EV57" s="56"/>
      <c r="EW57" s="56"/>
      <c r="EX57" s="56"/>
      <c r="EY57" s="56"/>
      <c r="EZ57" s="56"/>
      <c r="FA57" s="56"/>
      <c r="FB57" s="56"/>
      <c r="FC57" s="56"/>
      <c r="FD57" s="56"/>
      <c r="FE57" s="56"/>
      <c r="FF57" s="56"/>
      <c r="FG57" s="56"/>
      <c r="FH57" s="56"/>
      <c r="FI57" s="56"/>
      <c r="FJ57" s="56"/>
      <c r="FK57" s="56"/>
      <c r="FL57" s="56"/>
      <c r="FM57" s="56"/>
      <c r="FN57" s="56"/>
      <c r="FO57" s="56"/>
      <c r="FP57" s="56"/>
      <c r="FQ57" s="56"/>
      <c r="FR57" s="56"/>
      <c r="FS57" s="56"/>
      <c r="FT57" s="56"/>
      <c r="FU57" s="56"/>
      <c r="FV57" s="56"/>
      <c r="FW57" s="56"/>
      <c r="FX57" s="56"/>
      <c r="FY57" s="56"/>
      <c r="FZ57" s="56"/>
      <c r="GA57" s="56"/>
      <c r="GB57" s="56"/>
      <c r="GC57" s="56"/>
      <c r="GD57" s="56"/>
      <c r="GE57" s="56"/>
      <c r="GF57" s="56"/>
      <c r="GG57" s="56"/>
      <c r="GH57" s="56"/>
      <c r="GI57" s="56"/>
      <c r="GJ57" s="56"/>
      <c r="GK57" s="56"/>
      <c r="GL57" s="56"/>
      <c r="GM57" s="56"/>
      <c r="GN57" s="56"/>
      <c r="GO57" s="56"/>
      <c r="GP57" s="56"/>
      <c r="GQ57" s="56"/>
      <c r="GR57" s="56"/>
      <c r="GS57" s="56"/>
      <c r="GT57" s="56"/>
      <c r="GU57" s="56">
        <v>28.4</v>
      </c>
      <c r="GV57" s="56">
        <v>15.8</v>
      </c>
      <c r="GW57" s="56">
        <v>15.2</v>
      </c>
      <c r="GX57" s="56">
        <v>28.9</v>
      </c>
      <c r="GY57" s="56">
        <v>67.599999999999994</v>
      </c>
      <c r="GZ57" s="56">
        <v>80.7</v>
      </c>
      <c r="HA57" s="56">
        <v>87.2</v>
      </c>
      <c r="HB57" s="56">
        <v>72.400000000000006</v>
      </c>
      <c r="HC57">
        <v>85.9</v>
      </c>
      <c r="HD57">
        <v>68.3</v>
      </c>
      <c r="HE57">
        <v>64</v>
      </c>
    </row>
    <row r="58" spans="1:213" x14ac:dyDescent="0.35">
      <c r="A58" s="56" t="s">
        <v>2253</v>
      </c>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56"/>
      <c r="CT58" s="56"/>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56"/>
      <c r="DY58" s="56"/>
      <c r="DZ58" s="56"/>
      <c r="EA58" s="56"/>
      <c r="EB58" s="56"/>
      <c r="EC58" s="56"/>
      <c r="ED58" s="56"/>
      <c r="EE58" s="56"/>
      <c r="EF58" s="56"/>
      <c r="EG58" s="56"/>
      <c r="EH58" s="56"/>
      <c r="EI58" s="56"/>
      <c r="EJ58" s="56"/>
      <c r="EK58" s="56"/>
      <c r="EL58" s="56"/>
      <c r="EM58" s="56"/>
      <c r="EN58" s="56"/>
      <c r="EO58" s="56"/>
      <c r="EP58" s="56"/>
      <c r="EQ58" s="56"/>
      <c r="ER58" s="56"/>
      <c r="ES58" s="56"/>
      <c r="ET58" s="56"/>
      <c r="EU58" s="56"/>
      <c r="EV58" s="56"/>
      <c r="EW58" s="56"/>
      <c r="EX58" s="56"/>
      <c r="EY58" s="56"/>
      <c r="EZ58" s="56"/>
      <c r="FA58" s="56"/>
      <c r="FB58" s="56"/>
      <c r="FC58" s="56"/>
      <c r="FD58" s="56"/>
      <c r="FE58" s="56"/>
      <c r="FF58" s="56"/>
      <c r="FG58" s="56"/>
      <c r="FH58" s="56"/>
      <c r="FI58" s="56"/>
      <c r="FJ58" s="56"/>
      <c r="FK58" s="56"/>
      <c r="FL58" s="56"/>
      <c r="FM58" s="56"/>
      <c r="FN58" s="56"/>
      <c r="FO58" s="56"/>
      <c r="FP58" s="56"/>
      <c r="FQ58" s="56"/>
      <c r="FR58" s="56"/>
      <c r="FS58" s="56"/>
      <c r="FT58" s="56"/>
      <c r="FU58" s="56"/>
      <c r="FV58" s="56"/>
      <c r="FW58" s="56"/>
      <c r="FX58" s="56"/>
      <c r="FY58" s="56"/>
      <c r="FZ58" s="56"/>
      <c r="GA58" s="56"/>
      <c r="GB58" s="56"/>
      <c r="GC58" s="56"/>
      <c r="GD58" s="56"/>
      <c r="GE58" s="56"/>
      <c r="GF58" s="56"/>
      <c r="GG58" s="56"/>
      <c r="GH58" s="56"/>
      <c r="GI58" s="56"/>
      <c r="GJ58" s="56"/>
      <c r="GK58" s="56"/>
      <c r="GL58" s="56"/>
      <c r="GM58" s="56"/>
      <c r="GN58" s="56"/>
      <c r="GO58" s="56"/>
      <c r="GP58" s="56"/>
      <c r="GQ58" s="56"/>
      <c r="GR58" s="56"/>
      <c r="GS58" s="56"/>
      <c r="GT58" s="56"/>
      <c r="GU58" s="56">
        <v>64.400000000000006</v>
      </c>
      <c r="GV58" s="56">
        <v>23.4</v>
      </c>
      <c r="GW58" s="56">
        <v>13.8</v>
      </c>
      <c r="GX58" s="56">
        <v>12</v>
      </c>
      <c r="GY58" s="56">
        <v>7.5</v>
      </c>
      <c r="GZ58" s="56">
        <v>10.5</v>
      </c>
      <c r="HA58" s="56">
        <v>18</v>
      </c>
      <c r="HB58" s="56">
        <v>15</v>
      </c>
      <c r="HC58">
        <v>11.2</v>
      </c>
      <c r="HD58">
        <v>7.5</v>
      </c>
      <c r="HE58">
        <v>6.2</v>
      </c>
    </row>
    <row r="59" spans="1:213" x14ac:dyDescent="0.35">
      <c r="A59" s="56" t="s">
        <v>2254</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c r="CQ59" s="56"/>
      <c r="CR59" s="56"/>
      <c r="CS59" s="56"/>
      <c r="CT59" s="56"/>
      <c r="CU59" s="56"/>
      <c r="CV59" s="56"/>
      <c r="CW59" s="56"/>
      <c r="CX59" s="56"/>
      <c r="CY59" s="56"/>
      <c r="CZ59" s="56"/>
      <c r="DA59" s="56"/>
      <c r="DB59" s="56"/>
      <c r="DC59" s="56"/>
      <c r="DD59" s="56"/>
      <c r="DE59" s="56"/>
      <c r="DF59" s="56"/>
      <c r="DG59" s="56"/>
      <c r="DH59" s="56"/>
      <c r="DI59" s="56"/>
      <c r="DJ59" s="56"/>
      <c r="DK59" s="56"/>
      <c r="DL59" s="56"/>
      <c r="DM59" s="56"/>
      <c r="DN59" s="56"/>
      <c r="DO59" s="56"/>
      <c r="DP59" s="56"/>
      <c r="DQ59" s="56"/>
      <c r="DR59" s="56"/>
      <c r="DS59" s="56"/>
      <c r="DT59" s="56"/>
      <c r="DU59" s="56"/>
      <c r="DV59" s="56"/>
      <c r="DW59" s="56"/>
      <c r="DX59" s="56"/>
      <c r="DY59" s="56"/>
      <c r="DZ59" s="56"/>
      <c r="EA59" s="56"/>
      <c r="EB59" s="56"/>
      <c r="EC59" s="56"/>
      <c r="ED59" s="56"/>
      <c r="EE59" s="56"/>
      <c r="EF59" s="56"/>
      <c r="EG59" s="56"/>
      <c r="EH59" s="56"/>
      <c r="EI59" s="56"/>
      <c r="EJ59" s="56"/>
      <c r="EK59" s="56"/>
      <c r="EL59" s="56"/>
      <c r="EM59" s="56"/>
      <c r="EN59" s="56"/>
      <c r="EO59" s="56"/>
      <c r="EP59" s="56"/>
      <c r="EQ59" s="56"/>
      <c r="ER59" s="56"/>
      <c r="ES59" s="56"/>
      <c r="ET59" s="56"/>
      <c r="EU59" s="56"/>
      <c r="EV59" s="56"/>
      <c r="EW59" s="56"/>
      <c r="EX59" s="56"/>
      <c r="EY59" s="56"/>
      <c r="EZ59" s="56"/>
      <c r="FA59" s="56"/>
      <c r="FB59" s="56"/>
      <c r="FC59" s="56"/>
      <c r="FD59" s="56"/>
      <c r="FE59" s="56"/>
      <c r="FF59" s="56"/>
      <c r="FG59" s="56"/>
      <c r="FH59" s="56"/>
      <c r="FI59" s="56"/>
      <c r="FJ59" s="56"/>
      <c r="FK59" s="56"/>
      <c r="FL59" s="56"/>
      <c r="FM59" s="56"/>
      <c r="FN59" s="56"/>
      <c r="FO59" s="56"/>
      <c r="FP59" s="56"/>
      <c r="FQ59" s="56"/>
      <c r="FR59" s="56"/>
      <c r="FS59" s="56"/>
      <c r="FT59" s="56"/>
      <c r="FU59" s="56"/>
      <c r="FV59" s="56"/>
      <c r="FW59" s="56"/>
      <c r="FX59" s="56"/>
      <c r="FY59" s="56"/>
      <c r="FZ59" s="56"/>
      <c r="GA59" s="56"/>
      <c r="GB59" s="56"/>
      <c r="GC59" s="56"/>
      <c r="GD59" s="56"/>
      <c r="GE59" s="56"/>
      <c r="GF59" s="56"/>
      <c r="GG59" s="56"/>
      <c r="GH59" s="56"/>
      <c r="GI59" s="56"/>
      <c r="GJ59" s="56"/>
      <c r="GK59" s="56"/>
      <c r="GL59" s="56"/>
      <c r="GM59" s="56"/>
      <c r="GN59" s="56"/>
      <c r="GO59" s="56"/>
      <c r="GP59" s="56"/>
      <c r="GQ59" s="56"/>
      <c r="GR59" s="56"/>
      <c r="GS59" s="56"/>
      <c r="GT59" s="56"/>
      <c r="GU59" s="56">
        <v>6.3</v>
      </c>
      <c r="GV59" s="56">
        <v>26.7</v>
      </c>
      <c r="GW59" s="56">
        <v>82.1</v>
      </c>
      <c r="GX59" s="56">
        <v>94.7</v>
      </c>
      <c r="GY59" s="56">
        <v>92.1</v>
      </c>
      <c r="GZ59" s="56">
        <v>51.6</v>
      </c>
      <c r="HA59" s="56">
        <v>2.8</v>
      </c>
      <c r="HB59" s="56">
        <v>0.8</v>
      </c>
      <c r="HC59">
        <v>0.5</v>
      </c>
      <c r="HD59">
        <v>0.3</v>
      </c>
      <c r="HE59">
        <v>0.2</v>
      </c>
    </row>
    <row r="60" spans="1:213" x14ac:dyDescent="0.35">
      <c r="A60" s="56" t="s">
        <v>2255</v>
      </c>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c r="BW60" s="56"/>
      <c r="BX60" s="56"/>
      <c r="BY60" s="56"/>
      <c r="BZ60" s="56"/>
      <c r="CA60" s="56"/>
      <c r="CB60" s="56"/>
      <c r="CC60" s="56"/>
      <c r="CD60" s="56"/>
      <c r="CE60" s="56"/>
      <c r="CF60" s="56"/>
      <c r="CG60" s="56"/>
      <c r="CH60" s="56"/>
      <c r="CI60" s="56"/>
      <c r="CJ60" s="56"/>
      <c r="CK60" s="56"/>
      <c r="CL60" s="56"/>
      <c r="CM60" s="56"/>
      <c r="CN60" s="56"/>
      <c r="CO60" s="56"/>
      <c r="CP60" s="56"/>
      <c r="CQ60" s="56"/>
      <c r="CR60" s="56"/>
      <c r="CS60" s="56"/>
      <c r="CT60" s="56"/>
      <c r="CU60" s="56"/>
      <c r="CV60" s="56"/>
      <c r="CW60" s="56"/>
      <c r="CX60" s="56"/>
      <c r="CY60" s="56"/>
      <c r="CZ60" s="56"/>
      <c r="DA60" s="56"/>
      <c r="DB60" s="56"/>
      <c r="DC60" s="56"/>
      <c r="DD60" s="56"/>
      <c r="DE60" s="56"/>
      <c r="DF60" s="56"/>
      <c r="DG60" s="56"/>
      <c r="DH60" s="56"/>
      <c r="DI60" s="56"/>
      <c r="DJ60" s="56"/>
      <c r="DK60" s="56"/>
      <c r="DL60" s="56"/>
      <c r="DM60" s="56"/>
      <c r="DN60" s="56"/>
      <c r="DO60" s="56"/>
      <c r="DP60" s="56"/>
      <c r="DQ60" s="56"/>
      <c r="DR60" s="56"/>
      <c r="DS60" s="56"/>
      <c r="DT60" s="56"/>
      <c r="DU60" s="56"/>
      <c r="DV60" s="56"/>
      <c r="DW60" s="56"/>
      <c r="DX60" s="56"/>
      <c r="DY60" s="56"/>
      <c r="DZ60" s="56"/>
      <c r="EA60" s="56"/>
      <c r="EB60" s="56"/>
      <c r="EC60" s="56"/>
      <c r="ED60" s="56"/>
      <c r="EE60" s="56"/>
      <c r="EF60" s="56"/>
      <c r="EG60" s="56"/>
      <c r="EH60" s="56"/>
      <c r="EI60" s="56"/>
      <c r="EJ60" s="56"/>
      <c r="EK60" s="56"/>
      <c r="EL60" s="56"/>
      <c r="EM60" s="56"/>
      <c r="EN60" s="56"/>
      <c r="EO60" s="56"/>
      <c r="EP60" s="56"/>
      <c r="EQ60" s="56"/>
      <c r="ER60" s="56"/>
      <c r="ES60" s="56"/>
      <c r="ET60" s="56"/>
      <c r="EU60" s="56"/>
      <c r="EV60" s="56"/>
      <c r="EW60" s="56"/>
      <c r="EX60" s="56"/>
      <c r="EY60" s="56"/>
      <c r="EZ60" s="56"/>
      <c r="FA60" s="56"/>
      <c r="FB60" s="56"/>
      <c r="FC60" s="56"/>
      <c r="FD60" s="56"/>
      <c r="FE60" s="56"/>
      <c r="FF60" s="56"/>
      <c r="FG60" s="56"/>
      <c r="FH60" s="56"/>
      <c r="FI60" s="56"/>
      <c r="FJ60" s="56"/>
      <c r="FK60" s="56"/>
      <c r="FL60" s="56"/>
      <c r="FM60" s="56"/>
      <c r="FN60" s="56"/>
      <c r="FO60" s="56"/>
      <c r="FP60" s="56"/>
      <c r="FQ60" s="56"/>
      <c r="FR60" s="56"/>
      <c r="FS60" s="56"/>
      <c r="FT60" s="56"/>
      <c r="FU60" s="56"/>
      <c r="FV60" s="56"/>
      <c r="FW60" s="56"/>
      <c r="FX60" s="56"/>
      <c r="FY60" s="56"/>
      <c r="FZ60" s="56"/>
      <c r="GA60" s="56"/>
      <c r="GB60" s="56"/>
      <c r="GC60" s="56"/>
      <c r="GD60" s="56"/>
      <c r="GE60" s="56"/>
      <c r="GF60" s="56"/>
      <c r="GG60" s="56"/>
      <c r="GH60" s="56"/>
      <c r="GI60" s="56"/>
      <c r="GJ60" s="56"/>
      <c r="GK60" s="56"/>
      <c r="GL60" s="56"/>
      <c r="GM60" s="56"/>
      <c r="GN60" s="56"/>
      <c r="GO60" s="56"/>
      <c r="GP60" s="56"/>
      <c r="GQ60" s="56"/>
      <c r="GR60" s="56"/>
      <c r="GS60" s="56"/>
      <c r="GT60" s="56"/>
      <c r="GU60" s="56">
        <v>74.400000000000006</v>
      </c>
      <c r="GV60" s="56">
        <v>138.30000000000001</v>
      </c>
      <c r="GW60" s="56">
        <v>106.8</v>
      </c>
      <c r="GX60" s="56">
        <v>89.2</v>
      </c>
      <c r="GY60" s="56">
        <v>72.3</v>
      </c>
      <c r="GZ60" s="56">
        <v>43.5</v>
      </c>
      <c r="HA60" s="56">
        <v>2.1</v>
      </c>
      <c r="HB60" s="56">
        <v>0.8</v>
      </c>
      <c r="HC60">
        <v>0.4</v>
      </c>
      <c r="HD60">
        <v>0.2</v>
      </c>
      <c r="HE60">
        <v>0.1</v>
      </c>
    </row>
    <row r="61" spans="1:213" x14ac:dyDescent="0.35">
      <c r="A61" s="56" t="s">
        <v>2256</v>
      </c>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v>698.9</v>
      </c>
      <c r="GV61" s="56">
        <v>413.9</v>
      </c>
      <c r="GW61" s="56">
        <v>14.7</v>
      </c>
      <c r="GX61" s="56">
        <v>288.2</v>
      </c>
      <c r="GY61" s="56">
        <v>233.3</v>
      </c>
      <c r="GZ61" s="56">
        <v>110.5</v>
      </c>
      <c r="HA61" s="56">
        <v>0</v>
      </c>
      <c r="HB61" s="56">
        <v>0</v>
      </c>
      <c r="HC61">
        <v>0</v>
      </c>
      <c r="HD61">
        <v>0</v>
      </c>
      <c r="HE61">
        <v>0</v>
      </c>
    </row>
    <row r="62" spans="1:213" x14ac:dyDescent="0.35">
      <c r="A62" s="56" t="s">
        <v>2257</v>
      </c>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c r="CB62" s="56"/>
      <c r="CC62" s="56"/>
      <c r="CD62" s="56"/>
      <c r="CE62" s="56"/>
      <c r="CF62" s="56"/>
      <c r="CG62" s="56"/>
      <c r="CH62" s="56"/>
      <c r="CI62" s="56"/>
      <c r="CJ62" s="56"/>
      <c r="CK62" s="56"/>
      <c r="CL62" s="56"/>
      <c r="CM62" s="56"/>
      <c r="CN62" s="56"/>
      <c r="CO62" s="56"/>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c r="EP62" s="56"/>
      <c r="EQ62" s="56"/>
      <c r="ER62" s="56"/>
      <c r="ES62" s="56"/>
      <c r="ET62" s="56"/>
      <c r="EU62" s="56"/>
      <c r="EV62" s="56"/>
      <c r="EW62" s="56"/>
      <c r="EX62" s="56"/>
      <c r="EY62" s="56"/>
      <c r="EZ62" s="56"/>
      <c r="FA62" s="56"/>
      <c r="FB62" s="56"/>
      <c r="FC62" s="56"/>
      <c r="FD62" s="56"/>
      <c r="FE62" s="56"/>
      <c r="FF62" s="56"/>
      <c r="FG62" s="56"/>
      <c r="FH62" s="56"/>
      <c r="FI62" s="56"/>
      <c r="FJ62" s="56"/>
      <c r="FK62" s="56"/>
      <c r="FL62" s="56"/>
      <c r="FM62" s="56"/>
      <c r="FN62" s="56"/>
      <c r="FO62" s="56"/>
      <c r="FP62" s="56"/>
      <c r="FQ62" s="56"/>
      <c r="FR62" s="56"/>
      <c r="FS62" s="56"/>
      <c r="FT62" s="56"/>
      <c r="FU62" s="56"/>
      <c r="FV62" s="56"/>
      <c r="FW62" s="56"/>
      <c r="FX62" s="56"/>
      <c r="FY62" s="56"/>
      <c r="FZ62" s="56"/>
      <c r="GA62" s="56"/>
      <c r="GB62" s="56"/>
      <c r="GC62" s="56"/>
      <c r="GD62" s="56"/>
      <c r="GE62" s="56"/>
      <c r="GF62" s="56"/>
      <c r="GG62" s="56"/>
      <c r="GH62" s="56"/>
      <c r="GI62" s="56"/>
      <c r="GJ62" s="56"/>
      <c r="GK62" s="56"/>
      <c r="GL62" s="56"/>
      <c r="GM62" s="56"/>
      <c r="GN62" s="56"/>
      <c r="GO62" s="56"/>
      <c r="GP62" s="56"/>
      <c r="GQ62" s="56"/>
      <c r="GR62" s="56"/>
      <c r="GS62" s="56"/>
      <c r="GT62" s="56"/>
      <c r="GU62" s="56">
        <v>779.6</v>
      </c>
      <c r="GV62" s="56">
        <v>582.4</v>
      </c>
      <c r="GW62" s="56">
        <v>216.6</v>
      </c>
      <c r="GX62" s="56">
        <v>497.6</v>
      </c>
      <c r="GY62" s="56">
        <v>401.5</v>
      </c>
      <c r="GZ62" s="56">
        <v>207.5</v>
      </c>
      <c r="HA62" s="56">
        <v>5.5</v>
      </c>
      <c r="HB62" s="56">
        <v>1.8</v>
      </c>
      <c r="HC62">
        <v>1</v>
      </c>
      <c r="HD62">
        <v>0.5</v>
      </c>
      <c r="HE62">
        <v>0.3</v>
      </c>
    </row>
    <row r="63" spans="1:213" x14ac:dyDescent="0.35">
      <c r="A63" s="56" t="s">
        <v>2258</v>
      </c>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c r="CB63" s="56"/>
      <c r="CC63" s="56"/>
      <c r="CD63" s="56"/>
      <c r="CE63" s="56"/>
      <c r="CF63" s="56"/>
      <c r="CG63" s="56"/>
      <c r="CH63" s="56"/>
      <c r="CI63" s="56"/>
      <c r="CJ63" s="56"/>
      <c r="CK63" s="56"/>
      <c r="CL63" s="56"/>
      <c r="CM63" s="56"/>
      <c r="CN63" s="56"/>
      <c r="CO63" s="56"/>
      <c r="CP63" s="56"/>
      <c r="CQ63" s="56"/>
      <c r="CR63" s="56"/>
      <c r="CS63" s="56"/>
      <c r="CT63" s="56"/>
      <c r="CU63" s="56"/>
      <c r="CV63" s="56"/>
      <c r="CW63" s="56"/>
      <c r="CX63" s="56"/>
      <c r="CY63" s="56"/>
      <c r="CZ63" s="56"/>
      <c r="DA63" s="56"/>
      <c r="DB63" s="56"/>
      <c r="DC63" s="56"/>
      <c r="DD63" s="56"/>
      <c r="DE63" s="56"/>
      <c r="DF63" s="56"/>
      <c r="DG63" s="56"/>
      <c r="DH63" s="56"/>
      <c r="DI63" s="56"/>
      <c r="DJ63" s="56"/>
      <c r="DK63" s="56"/>
      <c r="DL63" s="56"/>
      <c r="DM63" s="56"/>
      <c r="DN63" s="56"/>
      <c r="DO63" s="56"/>
      <c r="DP63" s="56"/>
      <c r="DQ63" s="56"/>
      <c r="DR63" s="56"/>
      <c r="DS63" s="56"/>
      <c r="DT63" s="56"/>
      <c r="DU63" s="56"/>
      <c r="DV63" s="56"/>
      <c r="DW63" s="56"/>
      <c r="DX63" s="56"/>
      <c r="DY63" s="56"/>
      <c r="DZ63" s="56"/>
      <c r="EA63" s="56"/>
      <c r="EB63" s="56"/>
      <c r="EC63" s="56"/>
      <c r="ED63" s="56"/>
      <c r="EE63" s="56"/>
      <c r="EF63" s="56"/>
      <c r="EG63" s="56"/>
      <c r="EH63" s="56"/>
      <c r="EI63" s="56"/>
      <c r="EJ63" s="56"/>
      <c r="EK63" s="56"/>
      <c r="EL63" s="56"/>
      <c r="EM63" s="56"/>
      <c r="EN63" s="56"/>
      <c r="EO63" s="56"/>
      <c r="EP63" s="56"/>
      <c r="EQ63" s="56"/>
      <c r="ER63" s="56"/>
      <c r="ES63" s="56"/>
      <c r="ET63" s="56"/>
      <c r="EU63" s="56"/>
      <c r="EV63" s="56"/>
      <c r="EW63" s="56"/>
      <c r="EX63" s="56"/>
      <c r="EY63" s="56"/>
      <c r="EZ63" s="56"/>
      <c r="FA63" s="56"/>
      <c r="FB63" s="56"/>
      <c r="FC63" s="56"/>
      <c r="FD63" s="56"/>
      <c r="FE63" s="56"/>
      <c r="FF63" s="56"/>
      <c r="FG63" s="56"/>
      <c r="FH63" s="56"/>
      <c r="FI63" s="56"/>
      <c r="FJ63" s="56"/>
      <c r="FK63" s="56"/>
      <c r="FL63" s="56"/>
      <c r="FM63" s="56"/>
      <c r="FN63" s="56"/>
      <c r="FO63" s="56"/>
      <c r="FP63" s="56"/>
      <c r="FQ63" s="56"/>
      <c r="FR63" s="56"/>
      <c r="FS63" s="56"/>
      <c r="FT63" s="56"/>
      <c r="FU63" s="56"/>
      <c r="FV63" s="56"/>
      <c r="FW63" s="56"/>
      <c r="FX63" s="56"/>
      <c r="FY63" s="56"/>
      <c r="FZ63" s="56"/>
      <c r="GA63" s="56"/>
      <c r="GB63" s="56"/>
      <c r="GC63" s="56"/>
      <c r="GD63" s="56"/>
      <c r="GE63" s="56"/>
      <c r="GF63" s="56"/>
      <c r="GG63" s="56"/>
      <c r="GH63" s="56"/>
      <c r="GI63" s="56"/>
      <c r="GJ63" s="56"/>
      <c r="GK63" s="56"/>
      <c r="GL63" s="56"/>
      <c r="GM63" s="56"/>
      <c r="GN63" s="56"/>
      <c r="GO63" s="56"/>
      <c r="GP63" s="56"/>
      <c r="GQ63" s="56"/>
      <c r="GR63" s="56"/>
      <c r="GS63" s="56"/>
      <c r="GT63" s="56"/>
      <c r="GU63" s="56">
        <v>0.1</v>
      </c>
      <c r="GV63" s="56">
        <v>3.7</v>
      </c>
      <c r="GW63" s="56">
        <v>12.9</v>
      </c>
      <c r="GX63" s="56">
        <v>25.5</v>
      </c>
      <c r="GY63" s="56">
        <v>3.8</v>
      </c>
      <c r="GZ63" s="56">
        <v>1.8</v>
      </c>
      <c r="HA63" s="56">
        <v>0.6</v>
      </c>
      <c r="HB63" s="56">
        <v>0.2</v>
      </c>
      <c r="HC63">
        <v>0.1</v>
      </c>
      <c r="HD63">
        <v>0</v>
      </c>
      <c r="HE63">
        <v>0</v>
      </c>
    </row>
    <row r="64" spans="1:213" x14ac:dyDescent="0.35">
      <c r="A64" s="56" t="s">
        <v>2259</v>
      </c>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56"/>
      <c r="BP64" s="56"/>
      <c r="BQ64" s="56"/>
      <c r="BR64" s="56"/>
      <c r="BS64" s="56"/>
      <c r="BT64" s="56"/>
      <c r="BU64" s="56"/>
      <c r="BV64" s="56"/>
      <c r="BW64" s="56"/>
      <c r="BX64" s="56"/>
      <c r="BY64" s="56"/>
      <c r="BZ64" s="56"/>
      <c r="CA64" s="56"/>
      <c r="CB64" s="56"/>
      <c r="CC64" s="56"/>
      <c r="CD64" s="56"/>
      <c r="CE64" s="56"/>
      <c r="CF64" s="56"/>
      <c r="CG64" s="56"/>
      <c r="CH64" s="56"/>
      <c r="CI64" s="56"/>
      <c r="CJ64" s="56"/>
      <c r="CK64" s="56"/>
      <c r="CL64" s="56"/>
      <c r="CM64" s="56"/>
      <c r="CN64" s="56"/>
      <c r="CO64" s="56"/>
      <c r="CP64" s="56"/>
      <c r="CQ64" s="56"/>
      <c r="CR64" s="56"/>
      <c r="CS64" s="56"/>
      <c r="CT64" s="56"/>
      <c r="CU64" s="56"/>
      <c r="CV64" s="56"/>
      <c r="CW64" s="56"/>
      <c r="CX64" s="56"/>
      <c r="CY64" s="56"/>
      <c r="CZ64" s="56"/>
      <c r="DA64" s="56"/>
      <c r="DB64" s="56"/>
      <c r="DC64" s="56"/>
      <c r="DD64" s="56"/>
      <c r="DE64" s="56"/>
      <c r="DF64" s="56"/>
      <c r="DG64" s="56"/>
      <c r="DH64" s="56"/>
      <c r="DI64" s="56"/>
      <c r="DJ64" s="56"/>
      <c r="DK64" s="56"/>
      <c r="DL64" s="56"/>
      <c r="DM64" s="56"/>
      <c r="DN64" s="56"/>
      <c r="DO64" s="56"/>
      <c r="DP64" s="56"/>
      <c r="DQ64" s="56"/>
      <c r="DR64" s="56"/>
      <c r="DS64" s="56"/>
      <c r="DT64" s="56"/>
      <c r="DU64" s="56"/>
      <c r="DV64" s="56"/>
      <c r="DW64" s="56"/>
      <c r="DX64" s="56"/>
      <c r="DY64" s="56"/>
      <c r="DZ64" s="56"/>
      <c r="EA64" s="56"/>
      <c r="EB64" s="56"/>
      <c r="EC64" s="56"/>
      <c r="ED64" s="56"/>
      <c r="EE64" s="56"/>
      <c r="EF64" s="56"/>
      <c r="EG64" s="56"/>
      <c r="EH64" s="56"/>
      <c r="EI64" s="56"/>
      <c r="EJ64" s="56"/>
      <c r="EK64" s="56"/>
      <c r="EL64" s="56"/>
      <c r="EM64" s="56"/>
      <c r="EN64" s="56"/>
      <c r="EO64" s="56"/>
      <c r="EP64" s="56"/>
      <c r="EQ64" s="56"/>
      <c r="ER64" s="56"/>
      <c r="ES64" s="56"/>
      <c r="ET64" s="56"/>
      <c r="EU64" s="56"/>
      <c r="EV64" s="56"/>
      <c r="EW64" s="56"/>
      <c r="EX64" s="56"/>
      <c r="EY64" s="56"/>
      <c r="EZ64" s="56"/>
      <c r="FA64" s="56"/>
      <c r="FB64" s="56"/>
      <c r="FC64" s="56"/>
      <c r="FD64" s="56"/>
      <c r="FE64" s="56"/>
      <c r="FF64" s="56"/>
      <c r="FG64" s="56"/>
      <c r="FH64" s="56"/>
      <c r="FI64" s="56"/>
      <c r="FJ64" s="56"/>
      <c r="FK64" s="56"/>
      <c r="FL64" s="56"/>
      <c r="FM64" s="56"/>
      <c r="FN64" s="56"/>
      <c r="FO64" s="56"/>
      <c r="FP64" s="56"/>
      <c r="FQ64" s="56"/>
      <c r="FR64" s="56"/>
      <c r="FS64" s="56"/>
      <c r="FT64" s="56"/>
      <c r="FU64" s="56"/>
      <c r="FV64" s="56"/>
      <c r="FW64" s="56"/>
      <c r="FX64" s="56"/>
      <c r="FY64" s="56"/>
      <c r="FZ64" s="56"/>
      <c r="GA64" s="56"/>
      <c r="GB64" s="56"/>
      <c r="GC64" s="56"/>
      <c r="GD64" s="56"/>
      <c r="GE64" s="56"/>
      <c r="GF64" s="56"/>
      <c r="GG64" s="56"/>
      <c r="GH64" s="56"/>
      <c r="GI64" s="56"/>
      <c r="GJ64" s="56"/>
      <c r="GK64" s="56"/>
      <c r="GL64" s="56"/>
      <c r="GM64" s="56"/>
      <c r="GN64" s="56"/>
      <c r="GO64" s="56"/>
      <c r="GP64" s="56"/>
      <c r="GQ64" s="56"/>
      <c r="GR64" s="56"/>
      <c r="GS64" s="56"/>
      <c r="GT64" s="56"/>
      <c r="GU64" s="56"/>
      <c r="GV64" s="56">
        <v>106.2</v>
      </c>
      <c r="GW64" s="56">
        <v>35.9</v>
      </c>
      <c r="GX64" s="56">
        <v>1.6</v>
      </c>
      <c r="GY64" s="56">
        <v>0.6</v>
      </c>
      <c r="GZ64" s="56">
        <v>0.1</v>
      </c>
      <c r="HA64" s="56">
        <v>0</v>
      </c>
      <c r="HB64" s="56">
        <v>0</v>
      </c>
      <c r="HC64">
        <v>0</v>
      </c>
      <c r="HD64">
        <v>0</v>
      </c>
      <c r="HE64">
        <v>0</v>
      </c>
    </row>
    <row r="65" spans="1:218" x14ac:dyDescent="0.35">
      <c r="A65" s="56" t="s">
        <v>2260</v>
      </c>
      <c r="B65" s="56">
        <v>5.7</v>
      </c>
      <c r="C65" s="56">
        <v>5.4</v>
      </c>
      <c r="D65" s="56">
        <v>4.9000000000000004</v>
      </c>
      <c r="E65" s="56">
        <v>5.0999999999999996</v>
      </c>
      <c r="F65" s="56">
        <v>5.6</v>
      </c>
      <c r="G65" s="56">
        <v>6.4</v>
      </c>
      <c r="H65" s="56">
        <v>5.9</v>
      </c>
      <c r="I65" s="56">
        <v>5.8</v>
      </c>
      <c r="J65" s="56">
        <v>5.9</v>
      </c>
      <c r="K65" s="56">
        <v>5.5</v>
      </c>
      <c r="L65" s="56">
        <v>7</v>
      </c>
      <c r="M65" s="56">
        <v>5.9</v>
      </c>
      <c r="N65" s="56">
        <v>5.9</v>
      </c>
      <c r="O65" s="56">
        <v>6.4</v>
      </c>
      <c r="P65" s="56">
        <v>5.5</v>
      </c>
      <c r="Q65" s="56">
        <v>6.1</v>
      </c>
      <c r="R65" s="56">
        <v>8</v>
      </c>
      <c r="S65" s="56">
        <v>8.8000000000000007</v>
      </c>
      <c r="T65" s="56">
        <v>6.7</v>
      </c>
      <c r="U65" s="56">
        <v>8.1</v>
      </c>
      <c r="V65" s="56">
        <v>9</v>
      </c>
      <c r="W65" s="56">
        <v>8.1</v>
      </c>
      <c r="X65" s="56">
        <v>11.1</v>
      </c>
      <c r="Y65" s="56">
        <v>10.7</v>
      </c>
      <c r="Z65" s="56">
        <v>10.3</v>
      </c>
      <c r="AA65" s="56">
        <v>10</v>
      </c>
      <c r="AB65" s="56">
        <v>10.8</v>
      </c>
      <c r="AC65" s="56">
        <v>11.3</v>
      </c>
      <c r="AD65" s="56">
        <v>10.9</v>
      </c>
      <c r="AE65" s="56">
        <v>10.9</v>
      </c>
      <c r="AF65" s="56">
        <v>12.1</v>
      </c>
      <c r="AG65" s="56">
        <v>10.9</v>
      </c>
      <c r="AH65" s="56">
        <v>11.2</v>
      </c>
      <c r="AI65" s="56">
        <v>11.8</v>
      </c>
      <c r="AJ65" s="56">
        <v>12.2</v>
      </c>
      <c r="AK65" s="56">
        <v>12.8</v>
      </c>
      <c r="AL65" s="56">
        <v>13.9</v>
      </c>
      <c r="AM65" s="56">
        <v>13.4</v>
      </c>
      <c r="AN65" s="56">
        <v>14.7</v>
      </c>
      <c r="AO65" s="56">
        <v>16.100000000000001</v>
      </c>
      <c r="AP65" s="56">
        <v>16.7</v>
      </c>
      <c r="AQ65" s="56">
        <v>16.899999999999999</v>
      </c>
      <c r="AR65" s="56">
        <v>16.3</v>
      </c>
      <c r="AS65" s="56">
        <v>17.100000000000001</v>
      </c>
      <c r="AT65" s="56">
        <v>16.399999999999999</v>
      </c>
      <c r="AU65" s="56">
        <v>16</v>
      </c>
      <c r="AV65" s="56">
        <v>15.1</v>
      </c>
      <c r="AW65" s="56">
        <v>15.4</v>
      </c>
      <c r="AX65" s="56">
        <v>14.2</v>
      </c>
      <c r="AY65" s="56">
        <v>14.9</v>
      </c>
      <c r="AZ65" s="56">
        <v>14.8</v>
      </c>
      <c r="BA65" s="56">
        <v>14.7</v>
      </c>
      <c r="BB65" s="56">
        <v>16.100000000000001</v>
      </c>
      <c r="BC65" s="56">
        <v>14.3</v>
      </c>
      <c r="BD65" s="56">
        <v>16</v>
      </c>
      <c r="BE65" s="56">
        <v>15.9</v>
      </c>
      <c r="BF65" s="56">
        <v>16.7</v>
      </c>
      <c r="BG65" s="56">
        <v>17.3</v>
      </c>
      <c r="BH65" s="56">
        <v>18.2</v>
      </c>
      <c r="BI65" s="56">
        <v>18.899999999999999</v>
      </c>
      <c r="BJ65" s="56">
        <v>17.2</v>
      </c>
      <c r="BK65" s="56">
        <v>19.600000000000001</v>
      </c>
      <c r="BL65" s="56">
        <v>20.2</v>
      </c>
      <c r="BM65" s="56">
        <v>21.3</v>
      </c>
      <c r="BN65" s="56">
        <v>19.8</v>
      </c>
      <c r="BO65" s="56">
        <v>20.7</v>
      </c>
      <c r="BP65" s="56">
        <v>21.4</v>
      </c>
      <c r="BQ65" s="56">
        <v>18.399999999999999</v>
      </c>
      <c r="BR65" s="56">
        <v>18.899999999999999</v>
      </c>
      <c r="BS65" s="56">
        <v>19.7</v>
      </c>
      <c r="BT65" s="56">
        <v>19</v>
      </c>
      <c r="BU65" s="56">
        <v>18.8</v>
      </c>
      <c r="BV65" s="56">
        <v>19.100000000000001</v>
      </c>
      <c r="BW65" s="56">
        <v>20</v>
      </c>
      <c r="BX65" s="56">
        <v>20.5</v>
      </c>
      <c r="BY65" s="56">
        <v>19.399999999999999</v>
      </c>
      <c r="BZ65" s="56">
        <v>20.3</v>
      </c>
      <c r="CA65" s="56">
        <v>20.100000000000001</v>
      </c>
      <c r="CB65" s="56">
        <v>19</v>
      </c>
      <c r="CC65" s="56">
        <v>21.5</v>
      </c>
      <c r="CD65" s="56">
        <v>22.3</v>
      </c>
      <c r="CE65" s="56">
        <v>20.3</v>
      </c>
      <c r="CF65" s="56">
        <v>20.7</v>
      </c>
      <c r="CG65" s="56">
        <v>49.5</v>
      </c>
      <c r="CH65" s="56">
        <v>26</v>
      </c>
      <c r="CI65" s="56">
        <v>22.2</v>
      </c>
      <c r="CJ65" s="56">
        <v>37.1</v>
      </c>
      <c r="CK65" s="56">
        <v>20.8</v>
      </c>
      <c r="CL65" s="56">
        <v>21.6</v>
      </c>
      <c r="CM65" s="56">
        <v>23.2</v>
      </c>
      <c r="CN65" s="56">
        <v>22.5</v>
      </c>
      <c r="CO65" s="56">
        <v>23.2</v>
      </c>
      <c r="CP65" s="56">
        <v>24.4</v>
      </c>
      <c r="CQ65" s="56">
        <v>22.6</v>
      </c>
      <c r="CR65" s="56">
        <v>25.3</v>
      </c>
      <c r="CS65" s="56">
        <v>24.9</v>
      </c>
      <c r="CT65" s="56">
        <v>23.8</v>
      </c>
      <c r="CU65" s="56">
        <v>27.5</v>
      </c>
      <c r="CV65" s="56">
        <v>26.2</v>
      </c>
      <c r="CW65" s="56">
        <v>26.7</v>
      </c>
      <c r="CX65" s="56">
        <v>27.9</v>
      </c>
      <c r="CY65" s="56">
        <v>28.2</v>
      </c>
      <c r="CZ65" s="56">
        <v>28.4</v>
      </c>
      <c r="DA65" s="56">
        <v>27</v>
      </c>
      <c r="DB65" s="56">
        <v>29.3</v>
      </c>
      <c r="DC65" s="56">
        <v>28.1</v>
      </c>
      <c r="DD65" s="56">
        <v>27.3</v>
      </c>
      <c r="DE65" s="56">
        <v>28.9</v>
      </c>
      <c r="DF65" s="56">
        <v>28.6</v>
      </c>
      <c r="DG65" s="56">
        <v>29.5</v>
      </c>
      <c r="DH65" s="56">
        <v>29.7</v>
      </c>
      <c r="DI65" s="56">
        <v>29</v>
      </c>
      <c r="DJ65" s="56">
        <v>27.3</v>
      </c>
      <c r="DK65" s="56">
        <v>27.5</v>
      </c>
      <c r="DL65" s="56">
        <v>29.4</v>
      </c>
      <c r="DM65" s="56">
        <v>31.5</v>
      </c>
      <c r="DN65" s="56">
        <v>29.2</v>
      </c>
      <c r="DO65" s="56">
        <v>33.9</v>
      </c>
      <c r="DP65" s="56">
        <v>35.9</v>
      </c>
      <c r="DQ65" s="56">
        <v>56.3</v>
      </c>
      <c r="DR65" s="56">
        <v>38</v>
      </c>
      <c r="DS65" s="56">
        <v>37.9</v>
      </c>
      <c r="DT65" s="56">
        <v>39.4</v>
      </c>
      <c r="DU65" s="56">
        <v>49.6</v>
      </c>
      <c r="DV65" s="56">
        <v>40.9</v>
      </c>
      <c r="DW65" s="56">
        <v>43.8</v>
      </c>
      <c r="DX65" s="56">
        <v>44.3</v>
      </c>
      <c r="DY65" s="56">
        <v>45.3</v>
      </c>
      <c r="DZ65" s="56">
        <v>59.6</v>
      </c>
      <c r="EA65" s="56">
        <v>47.2</v>
      </c>
      <c r="EB65" s="56">
        <v>43.2</v>
      </c>
      <c r="EC65" s="56">
        <v>63.5</v>
      </c>
      <c r="ED65" s="56">
        <v>65.7</v>
      </c>
      <c r="EE65" s="56">
        <v>75.5</v>
      </c>
      <c r="EF65" s="56">
        <v>71.5</v>
      </c>
      <c r="EG65" s="56">
        <v>66.400000000000006</v>
      </c>
      <c r="EH65" s="56">
        <v>75.3</v>
      </c>
      <c r="EI65" s="56">
        <v>65.2</v>
      </c>
      <c r="EJ65" s="56">
        <v>74.7</v>
      </c>
      <c r="EK65" s="56">
        <v>70.2</v>
      </c>
      <c r="EL65" s="56">
        <v>90.6</v>
      </c>
      <c r="EM65" s="56">
        <v>75</v>
      </c>
      <c r="EN65" s="56">
        <v>141.5</v>
      </c>
      <c r="EO65" s="56">
        <v>82.9</v>
      </c>
      <c r="EP65" s="56">
        <v>80.5</v>
      </c>
      <c r="EQ65" s="56">
        <v>77.5</v>
      </c>
      <c r="ER65" s="56">
        <v>74.8</v>
      </c>
      <c r="ES65" s="56">
        <v>73.900000000000006</v>
      </c>
      <c r="ET65" s="56">
        <v>90.3</v>
      </c>
      <c r="EU65" s="56">
        <v>86.5</v>
      </c>
      <c r="EV65" s="56">
        <v>86.3</v>
      </c>
      <c r="EW65" s="56">
        <v>80.400000000000006</v>
      </c>
      <c r="EX65" s="56">
        <v>87</v>
      </c>
      <c r="EY65" s="56">
        <v>81.400000000000006</v>
      </c>
      <c r="EZ65" s="56">
        <v>91.2</v>
      </c>
      <c r="FA65" s="56">
        <v>348.6</v>
      </c>
      <c r="FB65" s="56">
        <v>301.2</v>
      </c>
      <c r="FC65" s="56">
        <v>226</v>
      </c>
      <c r="FD65" s="56">
        <v>144.9</v>
      </c>
      <c r="FE65" s="56">
        <v>178.4</v>
      </c>
      <c r="FF65" s="56">
        <v>164.3</v>
      </c>
      <c r="FG65" s="56">
        <v>195.8</v>
      </c>
      <c r="FH65" s="56">
        <v>122.5</v>
      </c>
      <c r="FI65" s="56">
        <v>110</v>
      </c>
      <c r="FJ65" s="56">
        <v>110.2</v>
      </c>
      <c r="FK65" s="56">
        <v>142.19999999999999</v>
      </c>
      <c r="FL65" s="56">
        <v>122.8</v>
      </c>
      <c r="FM65" s="56">
        <v>149.69999999999999</v>
      </c>
      <c r="FN65" s="56">
        <v>110.8</v>
      </c>
      <c r="FO65" s="56">
        <v>93</v>
      </c>
      <c r="FP65" s="56">
        <v>90.7</v>
      </c>
      <c r="FQ65" s="56">
        <v>125.3</v>
      </c>
      <c r="FR65" s="56">
        <v>91.2</v>
      </c>
      <c r="FS65" s="56">
        <v>84.4</v>
      </c>
      <c r="FT65" s="56">
        <v>85.3</v>
      </c>
      <c r="FU65" s="56">
        <v>79.7</v>
      </c>
      <c r="FV65" s="56">
        <v>86.8</v>
      </c>
      <c r="FW65" s="56">
        <v>84.1</v>
      </c>
      <c r="FX65" s="56">
        <v>83</v>
      </c>
      <c r="FY65" s="56">
        <v>80.8</v>
      </c>
      <c r="FZ65" s="56">
        <v>83.2</v>
      </c>
      <c r="GA65" s="56">
        <v>77.099999999999994</v>
      </c>
      <c r="GB65" s="56">
        <v>83.9</v>
      </c>
      <c r="GC65" s="56">
        <v>76.400000000000006</v>
      </c>
      <c r="GD65" s="56">
        <v>80.900000000000006</v>
      </c>
      <c r="GE65" s="56">
        <v>77.2</v>
      </c>
      <c r="GF65" s="56">
        <v>79.599999999999994</v>
      </c>
      <c r="GG65" s="56">
        <v>84.5</v>
      </c>
      <c r="GH65" s="56">
        <v>84.3</v>
      </c>
      <c r="GI65" s="56">
        <v>85.5</v>
      </c>
      <c r="GJ65" s="56">
        <v>116.5</v>
      </c>
      <c r="GK65" s="56">
        <v>81</v>
      </c>
      <c r="GL65" s="56">
        <v>78.900000000000006</v>
      </c>
      <c r="GM65" s="56">
        <v>86.1</v>
      </c>
      <c r="GN65" s="56">
        <v>85.3</v>
      </c>
      <c r="GO65" s="56">
        <v>82.9</v>
      </c>
      <c r="GP65" s="56">
        <v>85.7</v>
      </c>
      <c r="GQ65" s="56">
        <v>78.7</v>
      </c>
      <c r="GR65" s="56">
        <v>82.7</v>
      </c>
      <c r="GS65" s="56">
        <v>133.6</v>
      </c>
      <c r="GT65" s="56">
        <v>95.1</v>
      </c>
      <c r="GU65" s="56">
        <v>92.9</v>
      </c>
      <c r="GV65" s="56">
        <v>93.1</v>
      </c>
      <c r="GW65" s="56">
        <v>88.8</v>
      </c>
      <c r="GX65" s="56">
        <v>318.60000000000002</v>
      </c>
      <c r="GY65" s="56">
        <v>87.2</v>
      </c>
      <c r="GZ65" s="56">
        <v>99.2</v>
      </c>
      <c r="HA65" s="56">
        <v>89.1</v>
      </c>
      <c r="HB65" s="56">
        <v>92.2</v>
      </c>
      <c r="HC65">
        <v>450.3</v>
      </c>
      <c r="HD65">
        <v>212.5</v>
      </c>
      <c r="HE65">
        <v>111.6</v>
      </c>
      <c r="HF65">
        <v>115.5</v>
      </c>
      <c r="HG65">
        <v>133.30000000000001</v>
      </c>
      <c r="HH65">
        <v>561.29999999999995</v>
      </c>
      <c r="HI65">
        <v>165.1</v>
      </c>
      <c r="HJ65">
        <v>159.6</v>
      </c>
    </row>
    <row r="66" spans="1:218" x14ac:dyDescent="0.35">
      <c r="A66" s="56" t="s">
        <v>2261</v>
      </c>
      <c r="B66" s="56">
        <v>0.58399999999999996</v>
      </c>
      <c r="C66" s="56">
        <v>0.98</v>
      </c>
      <c r="D66" s="56">
        <v>1.256</v>
      </c>
      <c r="E66" s="56">
        <v>1.5920000000000001</v>
      </c>
      <c r="F66" s="56">
        <v>1.62</v>
      </c>
      <c r="G66" s="56">
        <v>1.6</v>
      </c>
      <c r="H66" s="56">
        <v>1.7</v>
      </c>
      <c r="I66" s="56">
        <v>1.8720000000000001</v>
      </c>
      <c r="J66" s="56">
        <v>1.8320000000000001</v>
      </c>
      <c r="K66" s="56">
        <v>1.8240000000000001</v>
      </c>
      <c r="L66" s="56">
        <v>2.1080000000000001</v>
      </c>
      <c r="M66" s="56">
        <v>2.1560000000000001</v>
      </c>
      <c r="N66" s="56">
        <v>2.1560000000000001</v>
      </c>
      <c r="O66" s="56">
        <v>2.1440000000000001</v>
      </c>
      <c r="P66" s="56">
        <v>2.2480000000000002</v>
      </c>
      <c r="Q66" s="56">
        <v>2.2879999999999998</v>
      </c>
      <c r="R66" s="56">
        <v>3.0640000000000001</v>
      </c>
      <c r="S66" s="56">
        <v>3.16</v>
      </c>
      <c r="T66" s="56">
        <v>3.62</v>
      </c>
      <c r="U66" s="56">
        <v>3.8879999999999999</v>
      </c>
      <c r="V66" s="56">
        <v>4.3639999999999999</v>
      </c>
      <c r="W66" s="56">
        <v>4.5119999999999996</v>
      </c>
      <c r="X66" s="56">
        <v>4.8319999999999999</v>
      </c>
      <c r="Y66" s="56">
        <v>4.68</v>
      </c>
      <c r="Z66" s="56">
        <v>4.7679999999999998</v>
      </c>
      <c r="AA66" s="56">
        <v>4.6760000000000002</v>
      </c>
      <c r="AB66" s="56">
        <v>4.4160000000000004</v>
      </c>
      <c r="AC66" s="56">
        <v>4.532</v>
      </c>
      <c r="AD66" s="56">
        <v>4.4960000000000004</v>
      </c>
      <c r="AE66" s="56">
        <v>4.3159999999999998</v>
      </c>
      <c r="AF66" s="56">
        <v>4.38</v>
      </c>
      <c r="AG66" s="56">
        <v>4.3840000000000003</v>
      </c>
      <c r="AH66" s="56">
        <v>4.5839999999999996</v>
      </c>
      <c r="AI66" s="56">
        <v>4.4880000000000004</v>
      </c>
      <c r="AJ66" s="56">
        <v>4.6719999999999997</v>
      </c>
      <c r="AK66" s="56">
        <v>4.5960000000000001</v>
      </c>
      <c r="AL66" s="56">
        <v>5.4240000000000004</v>
      </c>
      <c r="AM66" s="56">
        <v>5.78</v>
      </c>
      <c r="AN66" s="56">
        <v>6.88</v>
      </c>
      <c r="AO66" s="56">
        <v>7.2439999999999998</v>
      </c>
      <c r="AP66" s="56">
        <v>7.7640000000000002</v>
      </c>
      <c r="AQ66" s="56">
        <v>8.14</v>
      </c>
      <c r="AR66" s="56">
        <v>8.44</v>
      </c>
      <c r="AS66" s="56">
        <v>8.5120000000000005</v>
      </c>
      <c r="AT66" s="56">
        <v>10.144</v>
      </c>
      <c r="AU66" s="56">
        <v>10.272</v>
      </c>
      <c r="AV66" s="56">
        <v>10.16</v>
      </c>
      <c r="AW66" s="56">
        <v>9.6839999999999993</v>
      </c>
      <c r="AX66" s="56">
        <v>9.2959999999999994</v>
      </c>
      <c r="AY66" s="56">
        <v>9.4320000000000004</v>
      </c>
      <c r="AZ66" s="56">
        <v>9.6760000000000002</v>
      </c>
      <c r="BA66" s="56">
        <v>11.18</v>
      </c>
      <c r="BB66" s="56">
        <v>11.288</v>
      </c>
      <c r="BC66" s="56">
        <v>11.124000000000001</v>
      </c>
      <c r="BD66" s="56">
        <v>10.964</v>
      </c>
      <c r="BE66" s="56">
        <v>10.888</v>
      </c>
      <c r="BF66" s="56">
        <v>10.8</v>
      </c>
      <c r="BG66" s="56">
        <v>10.624000000000001</v>
      </c>
      <c r="BH66" s="56">
        <v>10.432</v>
      </c>
      <c r="BI66" s="56">
        <v>10.82</v>
      </c>
      <c r="BJ66" s="56">
        <v>10.784000000000001</v>
      </c>
      <c r="BK66" s="56">
        <v>10.72</v>
      </c>
      <c r="BL66" s="56">
        <v>10.612</v>
      </c>
      <c r="BM66" s="56">
        <v>10.644</v>
      </c>
      <c r="BN66" s="56">
        <v>10.488</v>
      </c>
      <c r="BO66" s="56">
        <v>10.564</v>
      </c>
      <c r="BP66" s="56">
        <v>10.576000000000001</v>
      </c>
      <c r="BQ66" s="56">
        <v>10.584</v>
      </c>
      <c r="BR66" s="56">
        <v>10.54</v>
      </c>
      <c r="BS66" s="56">
        <v>10.488</v>
      </c>
      <c r="BT66" s="56">
        <v>10.311999999999999</v>
      </c>
      <c r="BU66" s="56">
        <v>11.087999999999999</v>
      </c>
      <c r="BV66" s="56">
        <v>11.176</v>
      </c>
      <c r="BW66" s="56">
        <v>11.132</v>
      </c>
      <c r="BX66" s="56">
        <v>11.052</v>
      </c>
      <c r="BY66" s="56">
        <v>11.492000000000001</v>
      </c>
      <c r="BZ66" s="56">
        <v>11.656000000000001</v>
      </c>
      <c r="CA66" s="56">
        <v>11.712</v>
      </c>
      <c r="CB66" s="56">
        <v>11.784000000000001</v>
      </c>
      <c r="CC66" s="56">
        <v>14.148</v>
      </c>
      <c r="CD66" s="56">
        <v>13.984</v>
      </c>
      <c r="CE66" s="56">
        <v>14.215999999999999</v>
      </c>
      <c r="CF66" s="56">
        <v>14.404</v>
      </c>
      <c r="CG66" s="56">
        <v>16.36</v>
      </c>
      <c r="CH66" s="56">
        <v>16.995999999999999</v>
      </c>
      <c r="CI66" s="56">
        <v>17.635999999999999</v>
      </c>
      <c r="CJ66" s="56">
        <v>18.091999999999999</v>
      </c>
      <c r="CK66" s="56">
        <v>20.332000000000001</v>
      </c>
      <c r="CL66" s="56">
        <v>20.596</v>
      </c>
      <c r="CM66" s="56">
        <v>20.931999999999999</v>
      </c>
      <c r="CN66" s="56">
        <v>21.792000000000002</v>
      </c>
      <c r="CO66" s="56">
        <v>21.86</v>
      </c>
      <c r="CP66" s="56">
        <v>21.82</v>
      </c>
      <c r="CQ66" s="56">
        <v>22.14</v>
      </c>
      <c r="CR66" s="56">
        <v>22.204000000000001</v>
      </c>
      <c r="CS66" s="56">
        <v>22.68</v>
      </c>
      <c r="CT66" s="56">
        <v>23.06</v>
      </c>
      <c r="CU66" s="56">
        <v>22.58</v>
      </c>
      <c r="CV66" s="56">
        <v>22.504000000000001</v>
      </c>
      <c r="CW66" s="56">
        <v>23.224</v>
      </c>
      <c r="CX66" s="56">
        <v>22.716000000000001</v>
      </c>
      <c r="CY66" s="56">
        <v>22.384</v>
      </c>
      <c r="CZ66" s="56">
        <v>22.052</v>
      </c>
      <c r="DA66" s="56">
        <v>22.635999999999999</v>
      </c>
      <c r="DB66" s="56">
        <v>22.564</v>
      </c>
      <c r="DC66" s="56">
        <v>22.236000000000001</v>
      </c>
      <c r="DD66" s="56">
        <v>21.852</v>
      </c>
      <c r="DE66" s="56">
        <v>21.16</v>
      </c>
      <c r="DF66" s="56">
        <v>20.04</v>
      </c>
      <c r="DG66" s="56">
        <v>19.076000000000001</v>
      </c>
      <c r="DH66" s="56">
        <v>18.143999999999998</v>
      </c>
      <c r="DI66" s="56">
        <v>17.667999999999999</v>
      </c>
      <c r="DJ66" s="56">
        <v>17.123999999999999</v>
      </c>
      <c r="DK66" s="56">
        <v>16.579999999999998</v>
      </c>
      <c r="DL66" s="56">
        <v>15.976000000000001</v>
      </c>
      <c r="DM66" s="56">
        <v>16.18</v>
      </c>
      <c r="DN66" s="56">
        <v>15.788</v>
      </c>
      <c r="DO66" s="56">
        <v>15.464</v>
      </c>
      <c r="DP66" s="56">
        <v>15.284000000000001</v>
      </c>
      <c r="DQ66" s="56">
        <v>15.356</v>
      </c>
      <c r="DR66" s="56">
        <v>13.616</v>
      </c>
      <c r="DS66" s="56">
        <v>14.896000000000001</v>
      </c>
      <c r="DT66" s="56">
        <v>14.84</v>
      </c>
      <c r="DU66" s="56">
        <v>14.907999999999999</v>
      </c>
      <c r="DV66" s="56">
        <v>15.1</v>
      </c>
      <c r="DW66" s="56">
        <v>15.536</v>
      </c>
      <c r="DX66" s="56">
        <v>15.996</v>
      </c>
      <c r="DY66" s="56">
        <v>17.236000000000001</v>
      </c>
      <c r="DZ66" s="56">
        <v>17.898</v>
      </c>
      <c r="EA66" s="56">
        <v>18.222000000000001</v>
      </c>
      <c r="EB66" s="56">
        <v>18.484999999999999</v>
      </c>
      <c r="EC66" s="56">
        <v>19.841999999999999</v>
      </c>
      <c r="ED66" s="56">
        <v>20.652000000000001</v>
      </c>
      <c r="EE66" s="56">
        <v>21.759</v>
      </c>
      <c r="EF66" s="56">
        <v>22.788</v>
      </c>
      <c r="EG66" s="56">
        <v>23.298999999999999</v>
      </c>
      <c r="EH66" s="56">
        <v>24.085999999999999</v>
      </c>
      <c r="EI66" s="56">
        <v>24.969000000000001</v>
      </c>
      <c r="EJ66" s="56">
        <v>25.888000000000002</v>
      </c>
      <c r="EK66" s="56">
        <v>28.838999999999999</v>
      </c>
      <c r="EL66" s="56">
        <v>27.844000000000001</v>
      </c>
      <c r="EM66" s="56">
        <v>28.236999999999998</v>
      </c>
      <c r="EN66" s="56">
        <v>29.613</v>
      </c>
      <c r="EO66" s="56">
        <v>32.274000000000001</v>
      </c>
      <c r="EP66" s="56">
        <v>29.234999999999999</v>
      </c>
      <c r="EQ66" s="56">
        <v>29.263999999999999</v>
      </c>
      <c r="ER66" s="56">
        <v>29.344000000000001</v>
      </c>
      <c r="ES66" s="56">
        <v>29.716999999999999</v>
      </c>
      <c r="ET66" s="56">
        <v>30</v>
      </c>
      <c r="EU66" s="56">
        <v>30.391999999999999</v>
      </c>
      <c r="EV66" s="56">
        <v>30.74</v>
      </c>
      <c r="EW66" s="56">
        <v>32.552999999999997</v>
      </c>
      <c r="EX66" s="56">
        <v>33.466000000000001</v>
      </c>
      <c r="EY66" s="56">
        <v>34.606999999999999</v>
      </c>
      <c r="EZ66" s="56">
        <v>37.1</v>
      </c>
      <c r="FA66" s="56">
        <v>42.963999999999999</v>
      </c>
      <c r="FB66" s="56">
        <v>44.63</v>
      </c>
      <c r="FC66" s="56">
        <v>55.540999999999997</v>
      </c>
      <c r="FD66" s="56">
        <v>58.195</v>
      </c>
      <c r="FE66" s="56">
        <v>60.683</v>
      </c>
      <c r="FF66" s="56">
        <v>63.749000000000002</v>
      </c>
      <c r="FG66" s="56">
        <v>65.742999999999995</v>
      </c>
      <c r="FH66" s="56">
        <v>67.739999999999995</v>
      </c>
      <c r="FI66" s="56">
        <v>68.828000000000003</v>
      </c>
      <c r="FJ66" s="56">
        <v>71.063000000000002</v>
      </c>
      <c r="FK66" s="56">
        <v>72.828999999999994</v>
      </c>
      <c r="FL66" s="56">
        <v>73.527000000000001</v>
      </c>
      <c r="FM66" s="56">
        <v>73.492000000000004</v>
      </c>
      <c r="FN66" s="56">
        <v>74.054000000000002</v>
      </c>
      <c r="FO66" s="56">
        <v>74.347999999999999</v>
      </c>
      <c r="FP66" s="56">
        <v>75.343000000000004</v>
      </c>
      <c r="FQ66" s="56">
        <v>75.66</v>
      </c>
      <c r="FR66" s="56">
        <v>75.959999999999994</v>
      </c>
      <c r="FS66" s="56">
        <v>76.039000000000001</v>
      </c>
      <c r="FT66" s="56">
        <v>75.213999999999999</v>
      </c>
      <c r="FU66" s="56">
        <v>71.414000000000001</v>
      </c>
      <c r="FV66" s="56">
        <v>69.317999999999998</v>
      </c>
      <c r="FW66" s="56">
        <v>69.353999999999999</v>
      </c>
      <c r="FX66" s="56">
        <v>68.644999999999996</v>
      </c>
      <c r="FY66" s="56">
        <v>70.316999999999993</v>
      </c>
      <c r="FZ66" s="56">
        <v>69.766999999999996</v>
      </c>
      <c r="GA66" s="56">
        <v>69.164000000000001</v>
      </c>
      <c r="GB66" s="56">
        <v>68.382000000000005</v>
      </c>
      <c r="GC66" s="56">
        <v>67.638000000000005</v>
      </c>
      <c r="GD66" s="56">
        <v>67.293999999999997</v>
      </c>
      <c r="GE66" s="56">
        <v>65.412999999999997</v>
      </c>
      <c r="GF66" s="56">
        <v>64.802999999999997</v>
      </c>
      <c r="GG66" s="56">
        <v>64.498999999999995</v>
      </c>
      <c r="GH66" s="56">
        <v>63.667000000000002</v>
      </c>
      <c r="GI66" s="56">
        <v>62.198</v>
      </c>
      <c r="GJ66" s="56">
        <v>63.704999999999998</v>
      </c>
      <c r="GK66" s="56">
        <v>67.448999999999998</v>
      </c>
      <c r="GL66" s="56">
        <v>59.752000000000002</v>
      </c>
      <c r="GM66" s="56">
        <v>58.478999999999999</v>
      </c>
      <c r="GN66" s="56">
        <v>57.514000000000003</v>
      </c>
      <c r="GO66" s="56">
        <v>57.017000000000003</v>
      </c>
      <c r="GP66" s="56">
        <v>55.847999999999999</v>
      </c>
      <c r="GQ66" s="56">
        <v>54.531999999999996</v>
      </c>
      <c r="GR66" s="56">
        <v>54.451999999999998</v>
      </c>
      <c r="GS66" s="56">
        <v>54.012999999999998</v>
      </c>
      <c r="GT66" s="56">
        <v>61.353000000000002</v>
      </c>
      <c r="GU66" s="56">
        <v>106.1</v>
      </c>
      <c r="GV66" s="56">
        <v>110.04900000000001</v>
      </c>
      <c r="GW66" s="56">
        <v>117.309</v>
      </c>
      <c r="GX66" s="56">
        <v>142.78899999999999</v>
      </c>
      <c r="GY66" s="56">
        <v>157.602</v>
      </c>
      <c r="GZ66" s="56">
        <v>149.11600000000001</v>
      </c>
      <c r="HA66" s="56">
        <v>146.631</v>
      </c>
      <c r="HB66" s="56">
        <v>134.809</v>
      </c>
      <c r="HC66">
        <v>123.735</v>
      </c>
      <c r="HD66">
        <v>116.06100000000001</v>
      </c>
      <c r="HE66">
        <v>136.14500000000001</v>
      </c>
      <c r="HF66">
        <v>130.17699999999999</v>
      </c>
      <c r="HG66">
        <v>103.13</v>
      </c>
      <c r="HH66">
        <v>103.06100000000001</v>
      </c>
      <c r="HI66">
        <v>92.111999999999995</v>
      </c>
      <c r="HJ66">
        <v>92.986999999999995</v>
      </c>
    </row>
    <row r="67" spans="1:218" x14ac:dyDescent="0.35">
      <c r="A67" s="56" t="s">
        <v>2262</v>
      </c>
      <c r="B67" s="56">
        <v>38.1</v>
      </c>
      <c r="C67" s="56">
        <v>38.633333333333297</v>
      </c>
      <c r="D67" s="56">
        <v>39.033333333333303</v>
      </c>
      <c r="E67" s="56">
        <v>39.6</v>
      </c>
      <c r="F67" s="56">
        <v>39.933333333333302</v>
      </c>
      <c r="G67" s="56">
        <v>40.299999999999997</v>
      </c>
      <c r="H67" s="56">
        <v>40.700000000000003</v>
      </c>
      <c r="I67" s="56">
        <v>41</v>
      </c>
      <c r="J67" s="56">
        <v>41.3333333333333</v>
      </c>
      <c r="K67" s="56">
        <v>41.6</v>
      </c>
      <c r="L67" s="56">
        <v>41.933333333333302</v>
      </c>
      <c r="M67" s="56">
        <v>42.366666666666703</v>
      </c>
      <c r="N67" s="56">
        <v>43.033333333333303</v>
      </c>
      <c r="O67" s="56">
        <v>43.933333333333302</v>
      </c>
      <c r="P67" s="56">
        <v>44.8</v>
      </c>
      <c r="Q67" s="56">
        <v>45.933333333333302</v>
      </c>
      <c r="R67" s="56">
        <v>47.3</v>
      </c>
      <c r="S67" s="56">
        <v>48.566666666666698</v>
      </c>
      <c r="T67" s="56">
        <v>49.933333333333302</v>
      </c>
      <c r="U67" s="56">
        <v>51.466666666666697</v>
      </c>
      <c r="V67" s="56">
        <v>52.566666666666698</v>
      </c>
      <c r="W67" s="56">
        <v>53.2</v>
      </c>
      <c r="X67" s="56">
        <v>54.266666666666701</v>
      </c>
      <c r="Y67" s="56">
        <v>55.266666666666701</v>
      </c>
      <c r="Z67" s="56">
        <v>55.9</v>
      </c>
      <c r="AA67" s="56">
        <v>56.4</v>
      </c>
      <c r="AB67" s="56">
        <v>57.3</v>
      </c>
      <c r="AC67" s="56">
        <v>58.133333333333297</v>
      </c>
      <c r="AD67" s="56">
        <v>59.2</v>
      </c>
      <c r="AE67" s="56">
        <v>60.233333333333299</v>
      </c>
      <c r="AF67" s="56">
        <v>61.066666666666698</v>
      </c>
      <c r="AG67" s="56">
        <v>61.966666666666697</v>
      </c>
      <c r="AH67" s="56">
        <v>63.033333333333303</v>
      </c>
      <c r="AI67" s="56">
        <v>64.466666666666697</v>
      </c>
      <c r="AJ67" s="56">
        <v>65.966666666666697</v>
      </c>
      <c r="AK67" s="56">
        <v>67.5</v>
      </c>
      <c r="AL67" s="56">
        <v>69.2</v>
      </c>
      <c r="AM67" s="56">
        <v>71.400000000000006</v>
      </c>
      <c r="AN67" s="56">
        <v>73.7</v>
      </c>
      <c r="AO67" s="56">
        <v>76.033333333333303</v>
      </c>
      <c r="AP67" s="56">
        <v>79.033333333333303</v>
      </c>
      <c r="AQ67" s="56">
        <v>81.7</v>
      </c>
      <c r="AR67" s="56">
        <v>83.233333333333306</v>
      </c>
      <c r="AS67" s="56">
        <v>85.566666666666706</v>
      </c>
      <c r="AT67" s="56">
        <v>87.933333333333294</v>
      </c>
      <c r="AU67" s="56">
        <v>89.766666666666694</v>
      </c>
      <c r="AV67" s="56">
        <v>92.266666666666694</v>
      </c>
      <c r="AW67" s="56">
        <v>93.766666666666694</v>
      </c>
      <c r="AX67" s="56">
        <v>94.6</v>
      </c>
      <c r="AY67" s="56">
        <v>95.966666666666697</v>
      </c>
      <c r="AZ67" s="56">
        <v>97.633333333333297</v>
      </c>
      <c r="BA67" s="56">
        <v>97.933333333333294</v>
      </c>
      <c r="BB67" s="56">
        <v>98</v>
      </c>
      <c r="BC67" s="56">
        <v>99.133333333333297</v>
      </c>
      <c r="BD67" s="56">
        <v>100.1</v>
      </c>
      <c r="BE67" s="56">
        <v>101.1</v>
      </c>
      <c r="BF67" s="56">
        <v>102.533333333333</v>
      </c>
      <c r="BG67" s="56">
        <v>103.5</v>
      </c>
      <c r="BH67" s="56">
        <v>104.4</v>
      </c>
      <c r="BI67" s="56">
        <v>105.3</v>
      </c>
      <c r="BJ67" s="56">
        <v>106.26666666666701</v>
      </c>
      <c r="BK67" s="56">
        <v>107.23333333333299</v>
      </c>
      <c r="BL67" s="56">
        <v>107.9</v>
      </c>
      <c r="BM67" s="56">
        <v>109</v>
      </c>
      <c r="BN67" s="56">
        <v>109.566666666667</v>
      </c>
      <c r="BO67" s="56">
        <v>109.033333333333</v>
      </c>
      <c r="BP67" s="56">
        <v>109.7</v>
      </c>
      <c r="BQ67" s="56">
        <v>110.466666666667</v>
      </c>
      <c r="BR67" s="56">
        <v>111.8</v>
      </c>
      <c r="BS67" s="56">
        <v>113.066666666667</v>
      </c>
      <c r="BT67" s="56">
        <v>114.26666666666701</v>
      </c>
      <c r="BU67" s="56">
        <v>115.333333333333</v>
      </c>
      <c r="BV67" s="56">
        <v>116.23333333333299</v>
      </c>
      <c r="BW67" s="56">
        <v>117.566666666667</v>
      </c>
      <c r="BX67" s="56">
        <v>119</v>
      </c>
      <c r="BY67" s="56">
        <v>120.3</v>
      </c>
      <c r="BZ67" s="56">
        <v>121.666666666667</v>
      </c>
      <c r="CA67" s="56">
        <v>123.633333333333</v>
      </c>
      <c r="CB67" s="56">
        <v>124.6</v>
      </c>
      <c r="CC67" s="56">
        <v>125.866666666667</v>
      </c>
      <c r="CD67" s="56">
        <v>128.03333333333299</v>
      </c>
      <c r="CE67" s="56">
        <v>129.30000000000001</v>
      </c>
      <c r="CF67" s="56">
        <v>131.53333333333299</v>
      </c>
      <c r="CG67" s="56">
        <v>133.76666666666699</v>
      </c>
      <c r="CH67" s="56">
        <v>134.76666666666699</v>
      </c>
      <c r="CI67" s="56">
        <v>135.566666666667</v>
      </c>
      <c r="CJ67" s="56">
        <v>136.6</v>
      </c>
      <c r="CK67" s="56">
        <v>137.73333333333301</v>
      </c>
      <c r="CL67" s="56">
        <v>138.666666666667</v>
      </c>
      <c r="CM67" s="56">
        <v>139.73333333333301</v>
      </c>
      <c r="CN67" s="56">
        <v>140.80000000000001</v>
      </c>
      <c r="CO67" s="56">
        <v>142.03333333333299</v>
      </c>
      <c r="CP67" s="56">
        <v>143.066666666667</v>
      </c>
      <c r="CQ67" s="56">
        <v>144.1</v>
      </c>
      <c r="CR67" s="56">
        <v>144.76666666666699</v>
      </c>
      <c r="CS67" s="56">
        <v>145.96666666666701</v>
      </c>
      <c r="CT67" s="56">
        <v>146.69999999999999</v>
      </c>
      <c r="CU67" s="56">
        <v>147.53333333333299</v>
      </c>
      <c r="CV67" s="56">
        <v>148.9</v>
      </c>
      <c r="CW67" s="56">
        <v>149.76666666666699</v>
      </c>
      <c r="CX67" s="56">
        <v>150.86666666666699</v>
      </c>
      <c r="CY67" s="56">
        <v>152.1</v>
      </c>
      <c r="CZ67" s="56">
        <v>152.86666666666699</v>
      </c>
      <c r="DA67" s="56">
        <v>153.69999999999999</v>
      </c>
      <c r="DB67" s="56">
        <v>155.066666666667</v>
      </c>
      <c r="DC67" s="56">
        <v>156.4</v>
      </c>
      <c r="DD67" s="56">
        <v>157.30000000000001</v>
      </c>
      <c r="DE67" s="56">
        <v>158.666666666667</v>
      </c>
      <c r="DF67" s="56">
        <v>159.63333333333301</v>
      </c>
      <c r="DG67" s="56">
        <v>160</v>
      </c>
      <c r="DH67" s="56">
        <v>160.80000000000001</v>
      </c>
      <c r="DI67" s="56">
        <v>161.666666666667</v>
      </c>
      <c r="DJ67" s="56">
        <v>162</v>
      </c>
      <c r="DK67" s="56">
        <v>162.53333333333299</v>
      </c>
      <c r="DL67" s="56">
        <v>163.36666666666699</v>
      </c>
      <c r="DM67" s="56">
        <v>164.13333333333301</v>
      </c>
      <c r="DN67" s="56">
        <v>164.73333333333301</v>
      </c>
      <c r="DO67" s="56">
        <v>165.96666666666701</v>
      </c>
      <c r="DP67" s="56">
        <v>167.2</v>
      </c>
      <c r="DQ67" s="56">
        <v>168.433333333333</v>
      </c>
      <c r="DR67" s="56">
        <v>170.1</v>
      </c>
      <c r="DS67" s="56">
        <v>171.433333333333</v>
      </c>
      <c r="DT67" s="56">
        <v>173</v>
      </c>
      <c r="DU67" s="56">
        <v>174.23333333333301</v>
      </c>
      <c r="DV67" s="56">
        <v>175.9</v>
      </c>
      <c r="DW67" s="56">
        <v>177.13333333333301</v>
      </c>
      <c r="DX67" s="56">
        <v>177.63333333333301</v>
      </c>
      <c r="DY67" s="56">
        <v>177.5</v>
      </c>
      <c r="DZ67" s="56">
        <v>178.066666666667</v>
      </c>
      <c r="EA67" s="56">
        <v>179.46666666666701</v>
      </c>
      <c r="EB67" s="56">
        <v>180.433333333333</v>
      </c>
      <c r="EC67" s="56">
        <v>181.5</v>
      </c>
      <c r="ED67" s="56">
        <v>183.36666666666699</v>
      </c>
      <c r="EE67" s="56">
        <v>183.066666666667</v>
      </c>
      <c r="EF67" s="56">
        <v>184.433333333333</v>
      </c>
      <c r="EG67" s="56">
        <v>185.13333333333301</v>
      </c>
      <c r="EH67" s="56">
        <v>186.7</v>
      </c>
      <c r="EI67" s="56">
        <v>188.166666666667</v>
      </c>
      <c r="EJ67" s="56">
        <v>189.36666666666699</v>
      </c>
      <c r="EK67" s="56">
        <v>191.4</v>
      </c>
      <c r="EL67" s="56">
        <v>192.36666666666699</v>
      </c>
      <c r="EM67" s="56">
        <v>193.666666666667</v>
      </c>
      <c r="EN67" s="56">
        <v>196.6</v>
      </c>
      <c r="EO67" s="56">
        <v>198.433333333333</v>
      </c>
      <c r="EP67" s="56">
        <v>199.46666666666701</v>
      </c>
      <c r="EQ67" s="56">
        <v>201.26666666666699</v>
      </c>
      <c r="ER67" s="56">
        <v>203.166666666667</v>
      </c>
      <c r="ES67" s="56">
        <v>202.333333333333</v>
      </c>
      <c r="ET67" s="56">
        <v>204.31700000000001</v>
      </c>
      <c r="EU67" s="56">
        <v>206.631</v>
      </c>
      <c r="EV67" s="56">
        <v>207.93899999999999</v>
      </c>
      <c r="EW67" s="56">
        <v>210.48966666666701</v>
      </c>
      <c r="EX67" s="56">
        <v>212.76966666666701</v>
      </c>
      <c r="EY67" s="56">
        <v>215.53766666666701</v>
      </c>
      <c r="EZ67" s="56">
        <v>218.86099999999999</v>
      </c>
      <c r="FA67" s="56">
        <v>213.84866666666699</v>
      </c>
      <c r="FB67" s="56">
        <v>212.37766666666701</v>
      </c>
      <c r="FC67" s="56">
        <v>213.50700000000001</v>
      </c>
      <c r="FD67" s="56">
        <v>215.34399999999999</v>
      </c>
      <c r="FE67" s="56">
        <v>217.03</v>
      </c>
      <c r="FF67" s="56">
        <v>217.374</v>
      </c>
      <c r="FG67" s="56">
        <v>217.297333333333</v>
      </c>
      <c r="FH67" s="56">
        <v>217.934333333333</v>
      </c>
      <c r="FI67" s="56">
        <v>219.69900000000001</v>
      </c>
      <c r="FJ67" s="56">
        <v>222.04366666666701</v>
      </c>
      <c r="FK67" s="56">
        <v>224.56833333333299</v>
      </c>
      <c r="FL67" s="56">
        <v>226.03266666666701</v>
      </c>
      <c r="FM67" s="56">
        <v>227.047333333333</v>
      </c>
      <c r="FN67" s="56">
        <v>228.32599999999999</v>
      </c>
      <c r="FO67" s="56">
        <v>228.80799999999999</v>
      </c>
      <c r="FP67" s="56">
        <v>229.84100000000001</v>
      </c>
      <c r="FQ67" s="56">
        <v>231.369333333333</v>
      </c>
      <c r="FR67" s="56">
        <v>232.29933333333301</v>
      </c>
      <c r="FS67" s="56">
        <v>232.04499999999999</v>
      </c>
      <c r="FT67" s="56">
        <v>233.3</v>
      </c>
      <c r="FU67" s="56">
        <v>234.16266666666701</v>
      </c>
      <c r="FV67" s="56">
        <v>235.62100000000001</v>
      </c>
      <c r="FW67" s="56">
        <v>236.87233333333299</v>
      </c>
      <c r="FX67" s="56">
        <v>237.47833333333301</v>
      </c>
      <c r="FY67" s="56">
        <v>236.88833333333301</v>
      </c>
      <c r="FZ67" s="56">
        <v>235.35499999999999</v>
      </c>
      <c r="GA67" s="56">
        <v>236.96</v>
      </c>
      <c r="GB67" s="56">
        <v>237.85499999999999</v>
      </c>
      <c r="GC67" s="56">
        <v>237.83699999999999</v>
      </c>
      <c r="GD67" s="56">
        <v>237.689333333333</v>
      </c>
      <c r="GE67" s="56">
        <v>239.59033333333301</v>
      </c>
      <c r="GF67" s="56">
        <v>240.607333333333</v>
      </c>
      <c r="GG67" s="56">
        <v>242.13466666666699</v>
      </c>
      <c r="GH67" s="56">
        <v>243.838666666667</v>
      </c>
      <c r="GI67" s="56">
        <v>244.12</v>
      </c>
      <c r="GJ67" s="56">
        <v>245.28700000000001</v>
      </c>
      <c r="GK67" s="56">
        <v>247.238333333333</v>
      </c>
      <c r="GL67" s="56">
        <v>249.321666666667</v>
      </c>
      <c r="GM67" s="56">
        <v>250.679</v>
      </c>
      <c r="GN67" s="56">
        <v>251.68633333333301</v>
      </c>
      <c r="GO67" s="56">
        <v>252.71100000000001</v>
      </c>
      <c r="GP67" s="56">
        <v>253.38566666666699</v>
      </c>
      <c r="GQ67" s="56">
        <v>255.24733333333299</v>
      </c>
      <c r="GR67" s="56">
        <v>256.089333333333</v>
      </c>
      <c r="GS67" s="56">
        <v>257.88799999999998</v>
      </c>
      <c r="GT67" s="56">
        <v>258.767333333333</v>
      </c>
      <c r="GU67" s="56">
        <v>256.32600000000002</v>
      </c>
      <c r="GV67" s="56">
        <v>259.24166666666702</v>
      </c>
      <c r="GW67" s="56">
        <v>261.04966666666701</v>
      </c>
      <c r="GX67" s="56">
        <v>263.67033333333302</v>
      </c>
      <c r="GY67" s="56">
        <v>268.62266666666699</v>
      </c>
      <c r="GZ67" s="56">
        <v>272.89</v>
      </c>
      <c r="HA67" s="56">
        <v>278.68033333333301</v>
      </c>
      <c r="HB67" s="56">
        <v>284.82600000000002</v>
      </c>
      <c r="HC67">
        <v>291.70633333333302</v>
      </c>
      <c r="HD67">
        <v>295.50900000000001</v>
      </c>
      <c r="HE67">
        <v>298.44099999999997</v>
      </c>
      <c r="HF67">
        <v>301.20299999999997</v>
      </c>
      <c r="HG67">
        <v>303.46666666666698</v>
      </c>
      <c r="HH67">
        <v>306.034333333333</v>
      </c>
      <c r="HI67">
        <v>308.09899999999999</v>
      </c>
      <c r="HJ67">
        <v>310.98966666666701</v>
      </c>
    </row>
    <row r="68" spans="1:218" x14ac:dyDescent="0.35">
      <c r="A68" s="56" t="s">
        <v>2263</v>
      </c>
      <c r="B68" s="56">
        <v>38.299999999999997</v>
      </c>
      <c r="C68" s="56">
        <v>38.8333333333333</v>
      </c>
      <c r="D68" s="56">
        <v>39.233333333333299</v>
      </c>
      <c r="E68" s="56">
        <v>39.799999999999997</v>
      </c>
      <c r="F68" s="56">
        <v>40.1666666666667</v>
      </c>
      <c r="G68" s="56">
        <v>40.533333333333303</v>
      </c>
      <c r="H68" s="56">
        <v>40.966666666666697</v>
      </c>
      <c r="I68" s="56">
        <v>41.233333333333299</v>
      </c>
      <c r="J68" s="56">
        <v>41.6</v>
      </c>
      <c r="K68" s="56">
        <v>41.8</v>
      </c>
      <c r="L68" s="56">
        <v>42.2</v>
      </c>
      <c r="M68" s="56">
        <v>42.633333333333297</v>
      </c>
      <c r="N68" s="56">
        <v>43.266666666666701</v>
      </c>
      <c r="O68" s="56">
        <v>44.1666666666667</v>
      </c>
      <c r="P68" s="56">
        <v>45.066666666666698</v>
      </c>
      <c r="Q68" s="56">
        <v>46.1666666666667</v>
      </c>
      <c r="R68" s="56">
        <v>47.566666666666698</v>
      </c>
      <c r="S68" s="56">
        <v>48.766666666666701</v>
      </c>
      <c r="T68" s="56">
        <v>50.233333333333299</v>
      </c>
      <c r="U68" s="56">
        <v>51.766666666666701</v>
      </c>
      <c r="V68" s="56">
        <v>52.866666666666703</v>
      </c>
      <c r="W68" s="56">
        <v>53.5</v>
      </c>
      <c r="X68" s="56">
        <v>54.566666666666698</v>
      </c>
      <c r="Y68" s="56">
        <v>55.566666666666698</v>
      </c>
      <c r="Z68" s="56">
        <v>56.233333333333299</v>
      </c>
      <c r="AA68" s="56">
        <v>56.733333333333299</v>
      </c>
      <c r="AB68" s="56">
        <v>57.6</v>
      </c>
      <c r="AC68" s="56">
        <v>58.433333333333302</v>
      </c>
      <c r="AD68" s="56">
        <v>59.533333333333303</v>
      </c>
      <c r="AE68" s="56">
        <v>60.6</v>
      </c>
      <c r="AF68" s="56">
        <v>61.433333333333302</v>
      </c>
      <c r="AG68" s="56">
        <v>62.266666666666701</v>
      </c>
      <c r="AH68" s="56">
        <v>63.366666666666703</v>
      </c>
      <c r="AI68" s="56">
        <v>64.766666666666694</v>
      </c>
      <c r="AJ68" s="56">
        <v>66.233333333333306</v>
      </c>
      <c r="AK68" s="56">
        <v>67.8333333333333</v>
      </c>
      <c r="AL68" s="56">
        <v>69.566666666666706</v>
      </c>
      <c r="AM68" s="56">
        <v>71.900000000000006</v>
      </c>
      <c r="AN68" s="56">
        <v>74.233333333333306</v>
      </c>
      <c r="AO68" s="56">
        <v>76.5</v>
      </c>
      <c r="AP68" s="56">
        <v>79.5</v>
      </c>
      <c r="AQ68" s="56">
        <v>82.2</v>
      </c>
      <c r="AR68" s="56">
        <v>83.733333333333306</v>
      </c>
      <c r="AS68" s="56">
        <v>86.1666666666667</v>
      </c>
      <c r="AT68" s="56">
        <v>88.466666666666697</v>
      </c>
      <c r="AU68" s="56">
        <v>90.233333333333306</v>
      </c>
      <c r="AV68" s="56">
        <v>92.733333333333306</v>
      </c>
      <c r="AW68" s="56">
        <v>94.1666666666667</v>
      </c>
      <c r="AX68" s="56">
        <v>94.966666666666697</v>
      </c>
      <c r="AY68" s="56">
        <v>96.233333333333306</v>
      </c>
      <c r="AZ68" s="56">
        <v>98</v>
      </c>
      <c r="BA68" s="56">
        <v>98.3333333333333</v>
      </c>
      <c r="BB68" s="56">
        <v>98.3</v>
      </c>
      <c r="BC68" s="56">
        <v>99.433333333333294</v>
      </c>
      <c r="BD68" s="56">
        <v>100.4</v>
      </c>
      <c r="BE68" s="56">
        <v>101.166666666667</v>
      </c>
      <c r="BF68" s="56">
        <v>101.933333333333</v>
      </c>
      <c r="BG68" s="56">
        <v>102.466666666667</v>
      </c>
      <c r="BH68" s="56">
        <v>103.933333333333</v>
      </c>
      <c r="BI68" s="56">
        <v>104.8</v>
      </c>
      <c r="BJ68" s="56">
        <v>105.666666666667</v>
      </c>
      <c r="BK68" s="56">
        <v>106.633333333333</v>
      </c>
      <c r="BL68" s="56">
        <v>107.133333333333</v>
      </c>
      <c r="BM68" s="56">
        <v>108.2</v>
      </c>
      <c r="BN68" s="56">
        <v>108.666666666667</v>
      </c>
      <c r="BO68" s="56">
        <v>107.933333333333</v>
      </c>
      <c r="BP68" s="56">
        <v>108.5</v>
      </c>
      <c r="BQ68" s="56">
        <v>109.2</v>
      </c>
      <c r="BR68" s="56">
        <v>110.666666666667</v>
      </c>
      <c r="BS68" s="56">
        <v>111.966666666667</v>
      </c>
      <c r="BT68" s="56">
        <v>113.166666666667</v>
      </c>
      <c r="BU68" s="56">
        <v>114.166666666667</v>
      </c>
      <c r="BV68" s="56">
        <v>114.933333333333</v>
      </c>
      <c r="BW68" s="56">
        <v>116.2</v>
      </c>
      <c r="BX68" s="56">
        <v>117.73333333333299</v>
      </c>
      <c r="BY68" s="56">
        <v>118.933333333333</v>
      </c>
      <c r="BZ68" s="56">
        <v>120.366666666667</v>
      </c>
      <c r="CA68" s="56">
        <v>122.4</v>
      </c>
      <c r="CB68" s="56">
        <v>123.26666666666701</v>
      </c>
      <c r="CC68" s="56">
        <v>124.4</v>
      </c>
      <c r="CD68" s="56">
        <v>126.566666666667</v>
      </c>
      <c r="CE68" s="56">
        <v>127.666666666667</v>
      </c>
      <c r="CF68" s="56">
        <v>129.86666666666699</v>
      </c>
      <c r="CG68" s="56">
        <v>132.1</v>
      </c>
      <c r="CH68" s="56">
        <v>132.933333333333</v>
      </c>
      <c r="CI68" s="56">
        <v>133.73333333333301</v>
      </c>
      <c r="CJ68" s="56">
        <v>134.63333333333301</v>
      </c>
      <c r="CK68" s="56">
        <v>135.73333333333301</v>
      </c>
      <c r="CL68" s="56">
        <v>136.53333333333299</v>
      </c>
      <c r="CM68" s="56">
        <v>137.566666666667</v>
      </c>
      <c r="CN68" s="56">
        <v>138.69999999999999</v>
      </c>
      <c r="CO68" s="56">
        <v>139.80000000000001</v>
      </c>
      <c r="CP68" s="56">
        <v>140.76666666666699</v>
      </c>
      <c r="CQ68" s="56">
        <v>141.73333333333301</v>
      </c>
      <c r="CR68" s="56">
        <v>142.333333333333</v>
      </c>
      <c r="CS68" s="56">
        <v>143.433333333333</v>
      </c>
      <c r="CT68" s="56">
        <v>144.03333333333299</v>
      </c>
      <c r="CU68" s="56">
        <v>144.86666666666699</v>
      </c>
      <c r="CV68" s="56">
        <v>146.4</v>
      </c>
      <c r="CW68" s="56">
        <v>147.26666666666699</v>
      </c>
      <c r="CX68" s="56">
        <v>148.333333333333</v>
      </c>
      <c r="CY68" s="56">
        <v>149.5</v>
      </c>
      <c r="CZ68" s="56">
        <v>150.166666666667</v>
      </c>
      <c r="DA68" s="56">
        <v>151</v>
      </c>
      <c r="DB68" s="56">
        <v>152.4</v>
      </c>
      <c r="DC68" s="56">
        <v>153.73333333333301</v>
      </c>
      <c r="DD68" s="56">
        <v>154.566666666667</v>
      </c>
      <c r="DE68" s="56">
        <v>155.86666666666699</v>
      </c>
      <c r="DF68" s="56">
        <v>156.80000000000001</v>
      </c>
      <c r="DG68" s="56">
        <v>157.1</v>
      </c>
      <c r="DH68" s="56">
        <v>157.80000000000001</v>
      </c>
      <c r="DI68" s="56">
        <v>158.53333333333299</v>
      </c>
      <c r="DJ68" s="56">
        <v>158.73333333333301</v>
      </c>
      <c r="DK68" s="56">
        <v>159.19999999999999</v>
      </c>
      <c r="DL68" s="56">
        <v>159.96666666666701</v>
      </c>
      <c r="DM68" s="56">
        <v>160.76666666666699</v>
      </c>
      <c r="DN68" s="56">
        <v>161.36666666666699</v>
      </c>
      <c r="DO68" s="56">
        <v>162.53333333333299</v>
      </c>
      <c r="DP68" s="56">
        <v>163.9</v>
      </c>
      <c r="DQ68" s="56">
        <v>165.2</v>
      </c>
      <c r="DR68" s="56">
        <v>166.833333333333</v>
      </c>
      <c r="DS68" s="56">
        <v>168.166666666667</v>
      </c>
      <c r="DT68" s="56">
        <v>169.7</v>
      </c>
      <c r="DU68" s="56">
        <v>170.833333333333</v>
      </c>
      <c r="DV68" s="56">
        <v>172.433333333333</v>
      </c>
      <c r="DW68" s="56">
        <v>173.73333333333301</v>
      </c>
      <c r="DX68" s="56">
        <v>174.1</v>
      </c>
      <c r="DY68" s="56">
        <v>173.666666666667</v>
      </c>
      <c r="DZ68" s="56">
        <v>174.03333333333299</v>
      </c>
      <c r="EA68" s="56">
        <v>175.53333333333299</v>
      </c>
      <c r="EB68" s="56">
        <v>176.5</v>
      </c>
      <c r="EC68" s="56">
        <v>177.46666666666701</v>
      </c>
      <c r="ED68" s="56">
        <v>179.46666666666701</v>
      </c>
      <c r="EE68" s="56">
        <v>178.933333333333</v>
      </c>
      <c r="EF68" s="56">
        <v>180.2</v>
      </c>
      <c r="EG68" s="56">
        <v>180.73333333333301</v>
      </c>
      <c r="EH68" s="56">
        <v>182.333333333333</v>
      </c>
      <c r="EI68" s="56">
        <v>183.666666666667</v>
      </c>
      <c r="EJ68" s="56">
        <v>184.86666666666699</v>
      </c>
      <c r="EK68" s="56">
        <v>187.066666666667</v>
      </c>
      <c r="EL68" s="56">
        <v>187.933333333333</v>
      </c>
      <c r="EM68" s="56">
        <v>189.23333333333301</v>
      </c>
      <c r="EN68" s="56">
        <v>192.566666666667</v>
      </c>
      <c r="EO68" s="56">
        <v>194.2</v>
      </c>
      <c r="EP68" s="56">
        <v>195.13333333333301</v>
      </c>
      <c r="EQ68" s="56">
        <v>196.933333333333</v>
      </c>
      <c r="ER68" s="56">
        <v>198.8</v>
      </c>
      <c r="ES68" s="56">
        <v>197.566666666667</v>
      </c>
      <c r="ET68" s="56">
        <v>199.553</v>
      </c>
      <c r="EU68" s="56">
        <v>202.077</v>
      </c>
      <c r="EV68" s="56">
        <v>203.37</v>
      </c>
      <c r="EW68" s="56">
        <v>206.08566666666701</v>
      </c>
      <c r="EX68" s="56">
        <v>208.51599999999999</v>
      </c>
      <c r="EY68" s="56">
        <v>211.50266666666701</v>
      </c>
      <c r="EZ68" s="56">
        <v>215.13</v>
      </c>
      <c r="FA68" s="56">
        <v>208.838666666667</v>
      </c>
      <c r="FB68" s="56">
        <v>206.94333333333299</v>
      </c>
      <c r="FC68" s="56">
        <v>208.39033333333299</v>
      </c>
      <c r="FD68" s="56">
        <v>210.69499999999999</v>
      </c>
      <c r="FE68" s="56">
        <v>212.63266666666701</v>
      </c>
      <c r="FF68" s="56">
        <v>213.23699999999999</v>
      </c>
      <c r="FG68" s="56">
        <v>213.15066666666701</v>
      </c>
      <c r="FH68" s="56">
        <v>213.82</v>
      </c>
      <c r="FI68" s="56">
        <v>215.76400000000001</v>
      </c>
      <c r="FJ68" s="56">
        <v>218.41566666666699</v>
      </c>
      <c r="FK68" s="56">
        <v>221.28766666666701</v>
      </c>
      <c r="FL68" s="56">
        <v>222.738</v>
      </c>
      <c r="FM68" s="56">
        <v>223.774666666667</v>
      </c>
      <c r="FN68" s="56">
        <v>225.08733333333299</v>
      </c>
      <c r="FO68" s="56">
        <v>225.45933333333301</v>
      </c>
      <c r="FP68" s="56">
        <v>226.357</v>
      </c>
      <c r="FQ68" s="56">
        <v>227.97166666666701</v>
      </c>
      <c r="FR68" s="56">
        <v>228.83666666666701</v>
      </c>
      <c r="FS68" s="56">
        <v>228.40966666666699</v>
      </c>
      <c r="FT68" s="56">
        <v>229.589</v>
      </c>
      <c r="FU68" s="56">
        <v>230.43366666666699</v>
      </c>
      <c r="FV68" s="56">
        <v>231.95</v>
      </c>
      <c r="FW68" s="56">
        <v>233.101333333333</v>
      </c>
      <c r="FX68" s="56">
        <v>233.494333333333</v>
      </c>
      <c r="FY68" s="56">
        <v>232.43100000000001</v>
      </c>
      <c r="FZ68" s="56">
        <v>230.23666666666699</v>
      </c>
      <c r="GA68" s="56">
        <v>231.957666666667</v>
      </c>
      <c r="GB68" s="56">
        <v>232.69333333333299</v>
      </c>
      <c r="GC68" s="56">
        <v>232.280333333333</v>
      </c>
      <c r="GD68" s="56">
        <v>231.78100000000001</v>
      </c>
      <c r="GE68" s="56">
        <v>233.774</v>
      </c>
      <c r="GF68" s="56">
        <v>234.59666666666701</v>
      </c>
      <c r="GG68" s="56">
        <v>236.14066666666699</v>
      </c>
      <c r="GH68" s="56">
        <v>237.85900000000001</v>
      </c>
      <c r="GI68" s="56">
        <v>237.92533333333299</v>
      </c>
      <c r="GJ68" s="56">
        <v>239.136666666667</v>
      </c>
      <c r="GK68" s="56">
        <v>241.27633333333301</v>
      </c>
      <c r="GL68" s="56">
        <v>243.41566666666699</v>
      </c>
      <c r="GM68" s="56">
        <v>244.71766666666699</v>
      </c>
      <c r="GN68" s="56">
        <v>245.76533333333299</v>
      </c>
      <c r="GO68" s="56">
        <v>246.649666666667</v>
      </c>
      <c r="GP68" s="56">
        <v>246.95666666666699</v>
      </c>
      <c r="GQ68" s="56">
        <v>248.90166666666701</v>
      </c>
      <c r="GR68" s="56">
        <v>249.57300000000001</v>
      </c>
      <c r="GS68" s="56">
        <v>251.42666666666699</v>
      </c>
      <c r="GT68" s="56">
        <v>252.16200000000001</v>
      </c>
      <c r="GU68" s="56">
        <v>249.46633333333301</v>
      </c>
      <c r="GV68" s="56">
        <v>252.79599999999999</v>
      </c>
      <c r="GW68" s="56">
        <v>254.727</v>
      </c>
      <c r="GX68" s="56">
        <v>257.64833333333303</v>
      </c>
      <c r="GY68" s="56">
        <v>263.00766666666698</v>
      </c>
      <c r="GZ68" s="56">
        <v>267.54566666666699</v>
      </c>
      <c r="HA68" s="56">
        <v>273.81566666666703</v>
      </c>
      <c r="HB68" s="56">
        <v>280.38133333333298</v>
      </c>
      <c r="HC68">
        <v>287.39100000000002</v>
      </c>
      <c r="HD68">
        <v>290.78399999999999</v>
      </c>
      <c r="HE68">
        <v>293.19366666666701</v>
      </c>
      <c r="HF68">
        <v>295.60266666666701</v>
      </c>
      <c r="HG68">
        <v>297.69900000000001</v>
      </c>
      <c r="HH68">
        <v>300.327333333333</v>
      </c>
      <c r="HI68">
        <v>302.32366666666701</v>
      </c>
      <c r="HJ68">
        <v>305.07433333333302</v>
      </c>
    </row>
    <row r="69" spans="1:218" x14ac:dyDescent="0.35">
      <c r="A69" s="56" t="s">
        <v>2264</v>
      </c>
      <c r="B69" s="56">
        <v>5304.1</v>
      </c>
      <c r="C69" s="56">
        <v>5347.1</v>
      </c>
      <c r="D69" s="56">
        <v>5389.2</v>
      </c>
      <c r="E69" s="56">
        <v>5431.2</v>
      </c>
      <c r="F69" s="56">
        <v>5474.9</v>
      </c>
      <c r="G69" s="56">
        <v>5521.3</v>
      </c>
      <c r="H69" s="56">
        <v>5569.3</v>
      </c>
      <c r="I69" s="56">
        <v>5617.4</v>
      </c>
      <c r="J69" s="56">
        <v>5664.4</v>
      </c>
      <c r="K69" s="56">
        <v>5709.2</v>
      </c>
      <c r="L69" s="56">
        <v>5752.7</v>
      </c>
      <c r="M69" s="56">
        <v>5796.1</v>
      </c>
      <c r="N69" s="56">
        <v>5841</v>
      </c>
      <c r="O69" s="56">
        <v>5889.4</v>
      </c>
      <c r="P69" s="56">
        <v>5939.4</v>
      </c>
      <c r="Q69" s="56">
        <v>5991</v>
      </c>
      <c r="R69" s="56">
        <v>6043.4</v>
      </c>
      <c r="S69" s="56">
        <v>6096</v>
      </c>
      <c r="T69" s="56">
        <v>6147.7</v>
      </c>
      <c r="U69" s="56">
        <v>6198.8</v>
      </c>
      <c r="V69" s="56">
        <v>6248.9</v>
      </c>
      <c r="W69" s="56">
        <v>6298.4</v>
      </c>
      <c r="X69" s="56">
        <v>6347.7</v>
      </c>
      <c r="Y69" s="56">
        <v>6396.9</v>
      </c>
      <c r="Z69" s="56">
        <v>6445.6</v>
      </c>
      <c r="AA69" s="56">
        <v>6494.4</v>
      </c>
      <c r="AB69" s="56">
        <v>6544.4</v>
      </c>
      <c r="AC69" s="56">
        <v>6594.9</v>
      </c>
      <c r="AD69" s="56">
        <v>6647.5</v>
      </c>
      <c r="AE69" s="56">
        <v>6701.7</v>
      </c>
      <c r="AF69" s="56">
        <v>6757.1</v>
      </c>
      <c r="AG69" s="56">
        <v>6814.2</v>
      </c>
      <c r="AH69" s="56">
        <v>6872.6</v>
      </c>
      <c r="AI69" s="56">
        <v>6931.9</v>
      </c>
      <c r="AJ69" s="56">
        <v>6992.7</v>
      </c>
      <c r="AK69" s="56">
        <v>7054.8</v>
      </c>
      <c r="AL69" s="56">
        <v>7119.1</v>
      </c>
      <c r="AM69" s="56">
        <v>7181.6</v>
      </c>
      <c r="AN69" s="56">
        <v>7241.2</v>
      </c>
      <c r="AO69" s="56">
        <v>7296.8</v>
      </c>
      <c r="AP69" s="56">
        <v>7347.1</v>
      </c>
      <c r="AQ69" s="56">
        <v>7391.5</v>
      </c>
      <c r="AR69" s="56">
        <v>7429.9</v>
      </c>
      <c r="AS69" s="56">
        <v>7470</v>
      </c>
      <c r="AT69" s="56">
        <v>7512.1</v>
      </c>
      <c r="AU69" s="56">
        <v>7560.5</v>
      </c>
      <c r="AV69" s="56">
        <v>7611.9</v>
      </c>
      <c r="AW69" s="56">
        <v>7666.1</v>
      </c>
      <c r="AX69" s="56">
        <v>7722.5</v>
      </c>
      <c r="AY69" s="56">
        <v>7780.4</v>
      </c>
      <c r="AZ69" s="56">
        <v>7839.5</v>
      </c>
      <c r="BA69" s="56">
        <v>7899.9</v>
      </c>
      <c r="BB69" s="56">
        <v>7960.3</v>
      </c>
      <c r="BC69" s="56">
        <v>8022.3</v>
      </c>
      <c r="BD69" s="56">
        <v>8086.2</v>
      </c>
      <c r="BE69" s="56">
        <v>8152.9</v>
      </c>
      <c r="BF69" s="56">
        <v>8222.4</v>
      </c>
      <c r="BG69" s="56">
        <v>8294.7000000000007</v>
      </c>
      <c r="BH69" s="56">
        <v>8368.7999999999993</v>
      </c>
      <c r="BI69" s="56">
        <v>8444.5</v>
      </c>
      <c r="BJ69" s="56">
        <v>8520.7999999999993</v>
      </c>
      <c r="BK69" s="56">
        <v>8597.5</v>
      </c>
      <c r="BL69" s="56">
        <v>8674.2999999999993</v>
      </c>
      <c r="BM69" s="56">
        <v>8750.7000000000007</v>
      </c>
      <c r="BN69" s="56">
        <v>8826.5</v>
      </c>
      <c r="BO69" s="56">
        <v>8901.7000000000007</v>
      </c>
      <c r="BP69" s="56">
        <v>8976.7000000000007</v>
      </c>
      <c r="BQ69" s="56">
        <v>9051.4</v>
      </c>
      <c r="BR69" s="56">
        <v>9125.7000000000007</v>
      </c>
      <c r="BS69" s="56">
        <v>9199.5</v>
      </c>
      <c r="BT69" s="56">
        <v>9272.9</v>
      </c>
      <c r="BU69" s="56">
        <v>9346.7000000000007</v>
      </c>
      <c r="BV69" s="56">
        <v>9420.1</v>
      </c>
      <c r="BW69" s="56">
        <v>9494</v>
      </c>
      <c r="BX69" s="56">
        <v>9568.1</v>
      </c>
      <c r="BY69" s="56">
        <v>9642.6</v>
      </c>
      <c r="BZ69" s="56">
        <v>9717.1</v>
      </c>
      <c r="CA69" s="56">
        <v>9791.5</v>
      </c>
      <c r="CB69" s="56">
        <v>9856.7000000000007</v>
      </c>
      <c r="CC69" s="56">
        <v>9932.2999999999993</v>
      </c>
      <c r="CD69" s="56">
        <v>10006.6</v>
      </c>
      <c r="CE69" s="56">
        <v>10079.200000000001</v>
      </c>
      <c r="CF69" s="56">
        <v>10149.4</v>
      </c>
      <c r="CG69" s="56">
        <v>10217.200000000001</v>
      </c>
      <c r="CH69" s="56">
        <v>10283</v>
      </c>
      <c r="CI69" s="56">
        <v>10346.9</v>
      </c>
      <c r="CJ69" s="56">
        <v>10409.4</v>
      </c>
      <c r="CK69" s="56">
        <v>10471.6</v>
      </c>
      <c r="CL69" s="56">
        <v>10533.8</v>
      </c>
      <c r="CM69" s="56">
        <v>10596.6</v>
      </c>
      <c r="CN69" s="56">
        <v>10660.8</v>
      </c>
      <c r="CO69" s="56">
        <v>10725.8</v>
      </c>
      <c r="CP69" s="56">
        <v>10791.8</v>
      </c>
      <c r="CQ69" s="56">
        <v>10859.7</v>
      </c>
      <c r="CR69" s="56">
        <v>10928.5</v>
      </c>
      <c r="CS69" s="56">
        <v>10998.3</v>
      </c>
      <c r="CT69" s="56">
        <v>11068.9</v>
      </c>
      <c r="CU69" s="56">
        <v>11140.3</v>
      </c>
      <c r="CV69" s="56">
        <v>11213.2</v>
      </c>
      <c r="CW69" s="56">
        <v>11287.2</v>
      </c>
      <c r="CX69" s="56">
        <v>11361.8</v>
      </c>
      <c r="CY69" s="56">
        <v>11437.8</v>
      </c>
      <c r="CZ69" s="56">
        <v>11514.7</v>
      </c>
      <c r="DA69" s="56">
        <v>11593.6</v>
      </c>
      <c r="DB69" s="56">
        <v>11674.2</v>
      </c>
      <c r="DC69" s="56">
        <v>11760.1</v>
      </c>
      <c r="DD69" s="56">
        <v>11852.5</v>
      </c>
      <c r="DE69" s="56">
        <v>11951.1</v>
      </c>
      <c r="DF69" s="56">
        <v>12055.8</v>
      </c>
      <c r="DG69" s="56">
        <v>12166</v>
      </c>
      <c r="DH69" s="56">
        <v>12282.1</v>
      </c>
      <c r="DI69" s="56">
        <v>12403.1</v>
      </c>
      <c r="DJ69" s="56">
        <v>12528.5</v>
      </c>
      <c r="DK69" s="56">
        <v>12659</v>
      </c>
      <c r="DL69" s="56">
        <v>12792.9</v>
      </c>
      <c r="DM69" s="56">
        <v>12930.5</v>
      </c>
      <c r="DN69" s="56">
        <v>13071.5</v>
      </c>
      <c r="DO69" s="56">
        <v>13215.2</v>
      </c>
      <c r="DP69" s="56">
        <v>13361</v>
      </c>
      <c r="DQ69" s="56">
        <v>13509</v>
      </c>
      <c r="DR69" s="56">
        <v>13657.9</v>
      </c>
      <c r="DS69" s="56">
        <v>13802.6</v>
      </c>
      <c r="DT69" s="56">
        <v>13940.7</v>
      </c>
      <c r="DU69" s="56">
        <v>14071.4</v>
      </c>
      <c r="DV69" s="56">
        <v>14195</v>
      </c>
      <c r="DW69" s="56">
        <v>14311.5</v>
      </c>
      <c r="DX69" s="56">
        <v>14421.3</v>
      </c>
      <c r="DY69" s="56">
        <v>14525.2</v>
      </c>
      <c r="DZ69" s="56">
        <v>14624</v>
      </c>
      <c r="EA69" s="56">
        <v>14719.4</v>
      </c>
      <c r="EB69" s="56">
        <v>14813.1</v>
      </c>
      <c r="EC69" s="56">
        <v>14905.5</v>
      </c>
      <c r="ED69" s="56">
        <v>14997.8</v>
      </c>
      <c r="EE69" s="56">
        <v>15090.8</v>
      </c>
      <c r="EF69" s="56">
        <v>15183.9</v>
      </c>
      <c r="EG69" s="56">
        <v>15278.4</v>
      </c>
      <c r="EH69" s="56">
        <v>15374.8</v>
      </c>
      <c r="EI69" s="56">
        <v>15473</v>
      </c>
      <c r="EJ69" s="56">
        <v>15573.5</v>
      </c>
      <c r="EK69" s="56">
        <v>15675.6</v>
      </c>
      <c r="EL69" s="56">
        <v>15775.8</v>
      </c>
      <c r="EM69" s="56">
        <v>15873.2</v>
      </c>
      <c r="EN69" s="56">
        <v>15968.8</v>
      </c>
      <c r="EO69" s="56">
        <v>16062</v>
      </c>
      <c r="EP69" s="56">
        <v>16152.6</v>
      </c>
      <c r="EQ69" s="56">
        <v>16240.8</v>
      </c>
      <c r="ER69" s="56">
        <v>16324.8</v>
      </c>
      <c r="ES69" s="56">
        <v>16404.400000000001</v>
      </c>
      <c r="ET69" s="56">
        <v>16484.900000000001</v>
      </c>
      <c r="EU69" s="56">
        <v>16566.599999999999</v>
      </c>
      <c r="EV69" s="56">
        <v>16649.599999999999</v>
      </c>
      <c r="EW69" s="56">
        <v>16732.8</v>
      </c>
      <c r="EX69" s="56">
        <v>16815.599999999999</v>
      </c>
      <c r="EY69" s="56">
        <v>16895.900000000001</v>
      </c>
      <c r="EZ69" s="56">
        <v>16973.2</v>
      </c>
      <c r="FA69" s="56">
        <v>17046.599999999999</v>
      </c>
      <c r="FB69" s="56">
        <v>17114.5</v>
      </c>
      <c r="FC69" s="56">
        <v>17178.400000000001</v>
      </c>
      <c r="FD69" s="56">
        <v>17238.900000000001</v>
      </c>
      <c r="FE69" s="56">
        <v>17298</v>
      </c>
      <c r="FF69" s="56">
        <v>17357.900000000001</v>
      </c>
      <c r="FG69" s="56">
        <v>17419.599999999999</v>
      </c>
      <c r="FH69" s="56">
        <v>17484.5</v>
      </c>
      <c r="FI69" s="56">
        <v>17551.900000000001</v>
      </c>
      <c r="FJ69" s="56">
        <v>17621.8</v>
      </c>
      <c r="FK69" s="56">
        <v>17694.3</v>
      </c>
      <c r="FL69" s="56">
        <v>17769.099999999999</v>
      </c>
      <c r="FM69" s="56">
        <v>17845.400000000001</v>
      </c>
      <c r="FN69" s="56">
        <v>17923.099999999999</v>
      </c>
      <c r="FO69" s="56">
        <v>18002.400000000001</v>
      </c>
      <c r="FP69" s="56">
        <v>18082.599999999999</v>
      </c>
      <c r="FQ69" s="56">
        <v>18163.8</v>
      </c>
      <c r="FR69" s="56">
        <v>18246.400000000001</v>
      </c>
      <c r="FS69" s="56">
        <v>18329.400000000001</v>
      </c>
      <c r="FT69" s="56">
        <v>18412.7</v>
      </c>
      <c r="FU69" s="56">
        <v>18496.900000000001</v>
      </c>
      <c r="FV69" s="56">
        <v>18582</v>
      </c>
      <c r="FW69" s="56">
        <v>18667.8</v>
      </c>
      <c r="FX69" s="56">
        <v>18755.2</v>
      </c>
      <c r="FY69" s="56">
        <v>18843.3</v>
      </c>
      <c r="FZ69" s="56">
        <v>18932</v>
      </c>
      <c r="GA69" s="56">
        <v>19021.099999999999</v>
      </c>
      <c r="GB69" s="56">
        <v>19110.099999999999</v>
      </c>
      <c r="GC69" s="56">
        <v>19198.7</v>
      </c>
      <c r="GD69" s="56">
        <v>19286.900000000001</v>
      </c>
      <c r="GE69" s="56">
        <v>19375.2</v>
      </c>
      <c r="GF69" s="56">
        <v>19463.2</v>
      </c>
      <c r="GG69" s="56">
        <v>19551.3</v>
      </c>
      <c r="GH69" s="56">
        <v>19640.099999999999</v>
      </c>
      <c r="GI69" s="56">
        <v>19730.3</v>
      </c>
      <c r="GJ69" s="56">
        <v>19823.599999999999</v>
      </c>
      <c r="GK69" s="56">
        <v>19919.8</v>
      </c>
      <c r="GL69" s="56">
        <v>20019.2</v>
      </c>
      <c r="GM69" s="56">
        <v>20121.7</v>
      </c>
      <c r="GN69" s="56">
        <v>20226.099999999999</v>
      </c>
      <c r="GO69" s="56">
        <v>20331.5</v>
      </c>
      <c r="GP69" s="56">
        <v>20437.900000000001</v>
      </c>
      <c r="GQ69" s="56">
        <v>20545.400000000001</v>
      </c>
      <c r="GR69" s="56">
        <v>20653.099999999999</v>
      </c>
      <c r="GS69" s="56">
        <v>20758.099999999999</v>
      </c>
      <c r="GT69" s="56">
        <v>20861.8</v>
      </c>
      <c r="GU69" s="56">
        <v>20965.099999999999</v>
      </c>
      <c r="GV69" s="56">
        <v>21065.7</v>
      </c>
      <c r="GW69" s="56">
        <v>21167.1</v>
      </c>
      <c r="GX69" s="56">
        <v>21261.599999999999</v>
      </c>
      <c r="GY69" s="56">
        <v>21356</v>
      </c>
      <c r="GZ69" s="56">
        <v>21454.6</v>
      </c>
      <c r="HA69" s="56">
        <v>21558.2</v>
      </c>
      <c r="HB69" s="56">
        <v>21667.7</v>
      </c>
      <c r="HC69">
        <v>21780.1</v>
      </c>
      <c r="HD69">
        <v>21892.799999999999</v>
      </c>
      <c r="HE69">
        <v>22004.7</v>
      </c>
      <c r="HF69">
        <v>22116.400000000001</v>
      </c>
      <c r="HG69">
        <v>22227.599999999999</v>
      </c>
      <c r="HH69">
        <v>22338.799999999999</v>
      </c>
      <c r="HI69">
        <v>22452.1</v>
      </c>
      <c r="HJ69">
        <v>22566.6</v>
      </c>
    </row>
    <row r="70" spans="1:218" x14ac:dyDescent="0.35">
      <c r="A70" s="56" t="s">
        <v>2265</v>
      </c>
      <c r="B70" s="56">
        <v>1051.9000000000001</v>
      </c>
      <c r="C70" s="56">
        <v>1075.2</v>
      </c>
      <c r="D70" s="56">
        <v>1092.5999999999999</v>
      </c>
      <c r="E70" s="56">
        <v>1115.5999999999999</v>
      </c>
      <c r="F70" s="56">
        <v>1141.7</v>
      </c>
      <c r="G70" s="56">
        <v>1166.5</v>
      </c>
      <c r="H70" s="56">
        <v>1188.5999999999999</v>
      </c>
      <c r="I70" s="56">
        <v>1208.9000000000001</v>
      </c>
      <c r="J70" s="56">
        <v>1237.5</v>
      </c>
      <c r="K70" s="56">
        <v>1255.0999999999999</v>
      </c>
      <c r="L70" s="56">
        <v>1276.8</v>
      </c>
      <c r="M70" s="56">
        <v>1302.8</v>
      </c>
      <c r="N70" s="56">
        <v>1328.1</v>
      </c>
      <c r="O70" s="56">
        <v>1359.6</v>
      </c>
      <c r="P70" s="56">
        <v>1397.8</v>
      </c>
      <c r="Q70" s="56">
        <v>1438.1</v>
      </c>
      <c r="R70" s="56">
        <v>1478</v>
      </c>
      <c r="S70" s="56">
        <v>1526.1</v>
      </c>
      <c r="T70" s="56">
        <v>1584.1</v>
      </c>
      <c r="U70" s="56">
        <v>1644.3</v>
      </c>
      <c r="V70" s="56">
        <v>1695.3</v>
      </c>
      <c r="W70" s="56">
        <v>1734.2</v>
      </c>
      <c r="X70" s="56">
        <v>1778.6</v>
      </c>
      <c r="Y70" s="56">
        <v>1822.3</v>
      </c>
      <c r="Z70" s="56">
        <v>1855.6</v>
      </c>
      <c r="AA70" s="56">
        <v>1888.5</v>
      </c>
      <c r="AB70" s="56">
        <v>1927.7</v>
      </c>
      <c r="AC70" s="56">
        <v>1977.4</v>
      </c>
      <c r="AD70" s="56">
        <v>2025.1</v>
      </c>
      <c r="AE70" s="56">
        <v>2070.5</v>
      </c>
      <c r="AF70" s="56">
        <v>2113.1</v>
      </c>
      <c r="AG70" s="56">
        <v>2176.9</v>
      </c>
      <c r="AH70" s="56">
        <v>2227.5</v>
      </c>
      <c r="AI70" s="56">
        <v>2289.6999999999998</v>
      </c>
      <c r="AJ70" s="56">
        <v>2349</v>
      </c>
      <c r="AK70" s="56">
        <v>2418.3000000000002</v>
      </c>
      <c r="AL70" s="56">
        <v>2484.8000000000002</v>
      </c>
      <c r="AM70" s="56">
        <v>2568</v>
      </c>
      <c r="AN70" s="56">
        <v>2646</v>
      </c>
      <c r="AO70" s="56">
        <v>2715.8</v>
      </c>
      <c r="AP70" s="56">
        <v>2791.9</v>
      </c>
      <c r="AQ70" s="56">
        <v>2875.7</v>
      </c>
      <c r="AR70" s="56">
        <v>2955.2</v>
      </c>
      <c r="AS70" s="56">
        <v>3048.6</v>
      </c>
      <c r="AT70" s="56">
        <v>3146.4</v>
      </c>
      <c r="AU70" s="56">
        <v>3229.5</v>
      </c>
      <c r="AV70" s="56">
        <v>3312.6</v>
      </c>
      <c r="AW70" s="56">
        <v>3393.8</v>
      </c>
      <c r="AX70" s="56">
        <v>3465.9</v>
      </c>
      <c r="AY70" s="56">
        <v>3537.3</v>
      </c>
      <c r="AZ70" s="56">
        <v>3614.6</v>
      </c>
      <c r="BA70" s="56">
        <v>3680.3</v>
      </c>
      <c r="BB70" s="56">
        <v>3736.3</v>
      </c>
      <c r="BC70" s="56">
        <v>3793.4</v>
      </c>
      <c r="BD70" s="56">
        <v>3864.4</v>
      </c>
      <c r="BE70" s="56">
        <v>3925.7</v>
      </c>
      <c r="BF70" s="56">
        <v>3999.3</v>
      </c>
      <c r="BG70" s="56">
        <v>4068.9</v>
      </c>
      <c r="BH70" s="56">
        <v>4141.8999999999996</v>
      </c>
      <c r="BI70" s="56">
        <v>4210.6000000000004</v>
      </c>
      <c r="BJ70" s="56">
        <v>4290.6000000000004</v>
      </c>
      <c r="BK70" s="56">
        <v>4357.1000000000004</v>
      </c>
      <c r="BL70" s="56">
        <v>4422.5</v>
      </c>
      <c r="BM70" s="56">
        <v>4486.3999999999996</v>
      </c>
      <c r="BN70" s="56">
        <v>4547.8</v>
      </c>
      <c r="BO70" s="56">
        <v>4603.8</v>
      </c>
      <c r="BP70" s="56">
        <v>4661.8</v>
      </c>
      <c r="BQ70" s="56">
        <v>4726.1000000000004</v>
      </c>
      <c r="BR70" s="56">
        <v>4795.3999999999996</v>
      </c>
      <c r="BS70" s="56">
        <v>4867.7</v>
      </c>
      <c r="BT70" s="56">
        <v>4943.7</v>
      </c>
      <c r="BU70" s="56">
        <v>5022.7</v>
      </c>
      <c r="BV70" s="56">
        <v>5101.8999999999996</v>
      </c>
      <c r="BW70" s="56">
        <v>5191.8999999999996</v>
      </c>
      <c r="BX70" s="56">
        <v>5294.9</v>
      </c>
      <c r="BY70" s="56">
        <v>5382.3</v>
      </c>
      <c r="BZ70" s="56">
        <v>5480.5</v>
      </c>
      <c r="CA70" s="56">
        <v>5581.3</v>
      </c>
      <c r="CB70" s="56">
        <v>5659.5</v>
      </c>
      <c r="CC70" s="56">
        <v>5743.4</v>
      </c>
      <c r="CD70" s="56">
        <v>5848.8</v>
      </c>
      <c r="CE70" s="56">
        <v>5957.2</v>
      </c>
      <c r="CF70" s="56">
        <v>6050.2</v>
      </c>
      <c r="CG70" s="56">
        <v>6135.9</v>
      </c>
      <c r="CH70" s="56">
        <v>6236</v>
      </c>
      <c r="CI70" s="56">
        <v>6320.8</v>
      </c>
      <c r="CJ70" s="56">
        <v>6408.6</v>
      </c>
      <c r="CK70" s="56">
        <v>6485.2</v>
      </c>
      <c r="CL70" s="56">
        <v>6547.9</v>
      </c>
      <c r="CM70" s="56">
        <v>6626.6</v>
      </c>
      <c r="CN70" s="56">
        <v>6699.2</v>
      </c>
      <c r="CO70" s="56">
        <v>6786.6</v>
      </c>
      <c r="CP70" s="56">
        <v>6866.6</v>
      </c>
      <c r="CQ70" s="56">
        <v>6950.9</v>
      </c>
      <c r="CR70" s="56">
        <v>7036.6</v>
      </c>
      <c r="CS70" s="56">
        <v>7120.1</v>
      </c>
      <c r="CT70" s="56">
        <v>7200.2</v>
      </c>
      <c r="CU70" s="56">
        <v>7281.5</v>
      </c>
      <c r="CV70" s="56">
        <v>7371.2</v>
      </c>
      <c r="CW70" s="56">
        <v>7460.1</v>
      </c>
      <c r="CX70" s="56">
        <v>7550.1</v>
      </c>
      <c r="CY70" s="56">
        <v>7637.2</v>
      </c>
      <c r="CZ70" s="56">
        <v>7726.3</v>
      </c>
      <c r="DA70" s="56">
        <v>7816.8</v>
      </c>
      <c r="DB70" s="56">
        <v>7909</v>
      </c>
      <c r="DC70" s="56">
        <v>8000.2</v>
      </c>
      <c r="DD70" s="56">
        <v>8089.3</v>
      </c>
      <c r="DE70" s="56">
        <v>8200.2999999999993</v>
      </c>
      <c r="DF70" s="56">
        <v>8321.5</v>
      </c>
      <c r="DG70" s="56">
        <v>8414.2000000000007</v>
      </c>
      <c r="DH70" s="56">
        <v>8531.6</v>
      </c>
      <c r="DI70" s="56">
        <v>8644.2999999999993</v>
      </c>
      <c r="DJ70" s="56">
        <v>8744.2000000000007</v>
      </c>
      <c r="DK70" s="56">
        <v>8856.2000000000007</v>
      </c>
      <c r="DL70" s="56">
        <v>8987.7000000000007</v>
      </c>
      <c r="DM70" s="56">
        <v>9109.9</v>
      </c>
      <c r="DN70" s="56">
        <v>9239.2000000000007</v>
      </c>
      <c r="DO70" s="56">
        <v>9376.1</v>
      </c>
      <c r="DP70" s="56">
        <v>9513</v>
      </c>
      <c r="DQ70" s="56">
        <v>9671.7999999999993</v>
      </c>
      <c r="DR70" s="56">
        <v>9843.5</v>
      </c>
      <c r="DS70" s="56">
        <v>10009.6</v>
      </c>
      <c r="DT70" s="56">
        <v>10168.9</v>
      </c>
      <c r="DU70" s="56">
        <v>10319.5</v>
      </c>
      <c r="DV70" s="56">
        <v>10479</v>
      </c>
      <c r="DW70" s="56">
        <v>10628.6</v>
      </c>
      <c r="DX70" s="56">
        <v>10752.2</v>
      </c>
      <c r="DY70" s="56">
        <v>10863.7</v>
      </c>
      <c r="DZ70" s="56">
        <v>10972</v>
      </c>
      <c r="EA70" s="56">
        <v>11082.2</v>
      </c>
      <c r="EB70" s="56">
        <v>11206</v>
      </c>
      <c r="EC70" s="56">
        <v>11341.4</v>
      </c>
      <c r="ED70" s="56">
        <v>11467.5</v>
      </c>
      <c r="EE70" s="56">
        <v>11579.2</v>
      </c>
      <c r="EF70" s="56">
        <v>11717.2</v>
      </c>
      <c r="EG70" s="56">
        <v>11861.9</v>
      </c>
      <c r="EH70" s="56">
        <v>12022</v>
      </c>
      <c r="EI70" s="56">
        <v>12196.4</v>
      </c>
      <c r="EJ70" s="56">
        <v>12353.6</v>
      </c>
      <c r="EK70" s="56">
        <v>12530.9</v>
      </c>
      <c r="EL70" s="56">
        <v>12711.8</v>
      </c>
      <c r="EM70" s="56">
        <v>12882.4</v>
      </c>
      <c r="EN70" s="56">
        <v>13078.1</v>
      </c>
      <c r="EO70" s="56">
        <v>13262.5</v>
      </c>
      <c r="EP70" s="56">
        <v>13431.9</v>
      </c>
      <c r="EQ70" s="56">
        <v>13623</v>
      </c>
      <c r="ER70" s="56">
        <v>13789.2</v>
      </c>
      <c r="ES70" s="56">
        <v>13906.1</v>
      </c>
      <c r="ET70" s="56">
        <v>14107.2</v>
      </c>
      <c r="EU70" s="56">
        <v>14275.7</v>
      </c>
      <c r="EV70" s="56">
        <v>14425.4</v>
      </c>
      <c r="EW70" s="56">
        <v>14556.5</v>
      </c>
      <c r="EX70" s="56">
        <v>14682.6</v>
      </c>
      <c r="EY70" s="56">
        <v>14824.1</v>
      </c>
      <c r="EZ70" s="56">
        <v>15004.1</v>
      </c>
      <c r="FA70" s="56">
        <v>15105.5</v>
      </c>
      <c r="FB70" s="56">
        <v>15153.6</v>
      </c>
      <c r="FC70" s="56">
        <v>15185</v>
      </c>
      <c r="FD70" s="56">
        <v>15256.6</v>
      </c>
      <c r="FE70" s="56">
        <v>15357.2</v>
      </c>
      <c r="FF70" s="56">
        <v>15454.8</v>
      </c>
      <c r="FG70" s="56">
        <v>15585.4</v>
      </c>
      <c r="FH70" s="56">
        <v>15691</v>
      </c>
      <c r="FI70" s="56">
        <v>15842.9</v>
      </c>
      <c r="FJ70" s="56">
        <v>15987.6</v>
      </c>
      <c r="FK70" s="56">
        <v>16159.5</v>
      </c>
      <c r="FL70" s="56">
        <v>16325.6</v>
      </c>
      <c r="FM70" s="56">
        <v>16415.2</v>
      </c>
      <c r="FN70" s="56">
        <v>16583.3</v>
      </c>
      <c r="FO70" s="56">
        <v>16725.400000000001</v>
      </c>
      <c r="FP70" s="56">
        <v>16892.099999999999</v>
      </c>
      <c r="FQ70" s="56">
        <v>17053.099999999999</v>
      </c>
      <c r="FR70" s="56">
        <v>17198.7</v>
      </c>
      <c r="FS70" s="56">
        <v>17314.099999999999</v>
      </c>
      <c r="FT70" s="56">
        <v>17478</v>
      </c>
      <c r="FU70" s="56">
        <v>17650.8</v>
      </c>
      <c r="FV70" s="56">
        <v>17799.3</v>
      </c>
      <c r="FW70" s="56">
        <v>17982.7</v>
      </c>
      <c r="FX70" s="56">
        <v>18141.099999999999</v>
      </c>
      <c r="FY70" s="56">
        <v>18244.5</v>
      </c>
      <c r="FZ70" s="56">
        <v>18320.3</v>
      </c>
      <c r="GA70" s="56">
        <v>18512.3</v>
      </c>
      <c r="GB70" s="56">
        <v>18648.2</v>
      </c>
      <c r="GC70" s="56">
        <v>18734.099999999999</v>
      </c>
      <c r="GD70" s="56">
        <v>18804</v>
      </c>
      <c r="GE70" s="56">
        <v>19018.400000000001</v>
      </c>
      <c r="GF70" s="56">
        <v>19153.7</v>
      </c>
      <c r="GG70" s="56">
        <v>19333.599999999999</v>
      </c>
      <c r="GH70" s="56">
        <v>19520.400000000001</v>
      </c>
      <c r="GI70" s="56">
        <v>19661.2</v>
      </c>
      <c r="GJ70" s="56">
        <v>19855.7</v>
      </c>
      <c r="GK70" s="56">
        <v>20074.8</v>
      </c>
      <c r="GL70" s="56">
        <v>20303.3</v>
      </c>
      <c r="GM70" s="56">
        <v>20551.5</v>
      </c>
      <c r="GN70" s="56">
        <v>20747.3</v>
      </c>
      <c r="GO70" s="56">
        <v>20945.3</v>
      </c>
      <c r="GP70" s="56">
        <v>21127.599999999999</v>
      </c>
      <c r="GQ70" s="56">
        <v>21344.2</v>
      </c>
      <c r="GR70" s="56">
        <v>21522.799999999999</v>
      </c>
      <c r="GS70" s="56">
        <v>21700.6</v>
      </c>
      <c r="GT70" s="56">
        <v>21912.6</v>
      </c>
      <c r="GU70" s="56">
        <v>21932.5</v>
      </c>
      <c r="GV70" s="56">
        <v>22232.2</v>
      </c>
      <c r="GW70" s="56">
        <v>22495.3</v>
      </c>
      <c r="GX70" s="56">
        <v>22892.1</v>
      </c>
      <c r="GY70" s="56">
        <v>23343.200000000001</v>
      </c>
      <c r="GZ70" s="56">
        <v>23797.4</v>
      </c>
      <c r="HA70" s="56">
        <v>24328.1</v>
      </c>
      <c r="HB70" s="56">
        <v>24947.1</v>
      </c>
      <c r="HC70">
        <v>25629</v>
      </c>
      <c r="HD70">
        <v>26044.2</v>
      </c>
      <c r="HE70">
        <v>26426</v>
      </c>
      <c r="HF70">
        <v>26818.6</v>
      </c>
      <c r="HG70">
        <v>27065.7</v>
      </c>
      <c r="HH70">
        <v>27423.599999999999</v>
      </c>
      <c r="HI70">
        <v>27676.9</v>
      </c>
      <c r="HJ70">
        <v>28033.200000000001</v>
      </c>
    </row>
    <row r="71" spans="1:218" x14ac:dyDescent="0.35">
      <c r="A71" s="56" t="s">
        <v>2266</v>
      </c>
      <c r="B71" s="56">
        <v>1</v>
      </c>
      <c r="C71" s="56">
        <v>1</v>
      </c>
      <c r="D71" s="56">
        <v>1</v>
      </c>
      <c r="E71" s="56">
        <v>1</v>
      </c>
      <c r="F71" s="56">
        <v>-1</v>
      </c>
      <c r="G71" s="56">
        <v>-1</v>
      </c>
      <c r="H71" s="56">
        <v>-1</v>
      </c>
      <c r="I71" s="56">
        <v>-1</v>
      </c>
      <c r="J71" s="56">
        <v>-1</v>
      </c>
      <c r="K71" s="56">
        <v>-1</v>
      </c>
      <c r="L71" s="56">
        <v>-1</v>
      </c>
      <c r="M71" s="56">
        <v>-1</v>
      </c>
      <c r="N71" s="56">
        <v>-1</v>
      </c>
      <c r="O71" s="56">
        <v>-1</v>
      </c>
      <c r="P71" s="56">
        <v>-1</v>
      </c>
      <c r="Q71" s="56">
        <v>1</v>
      </c>
      <c r="R71" s="56">
        <v>1</v>
      </c>
      <c r="S71" s="56">
        <v>1</v>
      </c>
      <c r="T71" s="56">
        <v>1</v>
      </c>
      <c r="U71" s="56">
        <v>1</v>
      </c>
      <c r="V71" s="56">
        <v>1</v>
      </c>
      <c r="W71" s="56">
        <v>-1</v>
      </c>
      <c r="X71" s="56">
        <v>-1</v>
      </c>
      <c r="Y71" s="56">
        <v>-1</v>
      </c>
      <c r="Z71" s="56">
        <v>-1</v>
      </c>
      <c r="AA71" s="56">
        <v>-1</v>
      </c>
      <c r="AB71" s="56">
        <v>-1</v>
      </c>
      <c r="AC71" s="56">
        <v>-1</v>
      </c>
      <c r="AD71" s="56">
        <v>-1</v>
      </c>
      <c r="AE71" s="56">
        <v>-1</v>
      </c>
      <c r="AF71" s="56">
        <v>-1</v>
      </c>
      <c r="AG71" s="56">
        <v>-1</v>
      </c>
      <c r="AH71" s="56">
        <v>-1</v>
      </c>
      <c r="AI71" s="56">
        <v>-1</v>
      </c>
      <c r="AJ71" s="56">
        <v>-1</v>
      </c>
      <c r="AK71" s="56">
        <v>-1</v>
      </c>
      <c r="AL71" s="56">
        <v>-1</v>
      </c>
      <c r="AM71" s="56">
        <v>-1</v>
      </c>
      <c r="AN71" s="56">
        <v>-1</v>
      </c>
      <c r="AO71" s="56">
        <v>-1</v>
      </c>
      <c r="AP71" s="56">
        <v>1</v>
      </c>
      <c r="AQ71" s="56">
        <v>1</v>
      </c>
      <c r="AR71" s="56">
        <v>1</v>
      </c>
      <c r="AS71" s="56">
        <v>-1</v>
      </c>
      <c r="AT71" s="56">
        <v>-1</v>
      </c>
      <c r="AU71" s="56">
        <v>-1</v>
      </c>
      <c r="AV71" s="56">
        <v>1</v>
      </c>
      <c r="AW71" s="56">
        <v>1</v>
      </c>
      <c r="AX71" s="56">
        <v>1</v>
      </c>
      <c r="AY71" s="56">
        <v>1</v>
      </c>
      <c r="AZ71" s="56">
        <v>1</v>
      </c>
      <c r="BA71" s="56">
        <v>1</v>
      </c>
      <c r="BB71" s="56">
        <v>-1</v>
      </c>
      <c r="BC71" s="56">
        <v>-1</v>
      </c>
      <c r="BD71" s="56">
        <v>-1</v>
      </c>
      <c r="BE71" s="56">
        <v>-1</v>
      </c>
      <c r="BF71" s="56">
        <v>-1</v>
      </c>
      <c r="BG71" s="56">
        <v>-1</v>
      </c>
      <c r="BH71" s="56">
        <v>-1</v>
      </c>
      <c r="BI71" s="56">
        <v>-1</v>
      </c>
      <c r="BJ71" s="56">
        <v>-1</v>
      </c>
      <c r="BK71" s="56">
        <v>-1</v>
      </c>
      <c r="BL71" s="56">
        <v>-1</v>
      </c>
      <c r="BM71" s="56">
        <v>-1</v>
      </c>
      <c r="BN71" s="56">
        <v>-1</v>
      </c>
      <c r="BO71" s="56">
        <v>-1</v>
      </c>
      <c r="BP71" s="56">
        <v>-1</v>
      </c>
      <c r="BQ71" s="56">
        <v>-1</v>
      </c>
      <c r="BR71" s="56">
        <v>-1</v>
      </c>
      <c r="BS71" s="56">
        <v>-1</v>
      </c>
      <c r="BT71" s="56">
        <v>-1</v>
      </c>
      <c r="BU71" s="56">
        <v>-1</v>
      </c>
      <c r="BV71" s="56">
        <v>-1</v>
      </c>
      <c r="BW71" s="56">
        <v>-1</v>
      </c>
      <c r="BX71" s="56">
        <v>-1</v>
      </c>
      <c r="BY71" s="56">
        <v>-1</v>
      </c>
      <c r="BZ71" s="56">
        <v>-1</v>
      </c>
      <c r="CA71" s="56">
        <v>-1</v>
      </c>
      <c r="CB71" s="56">
        <v>-1</v>
      </c>
      <c r="CC71" s="56">
        <v>-1</v>
      </c>
      <c r="CD71" s="56">
        <v>-1</v>
      </c>
      <c r="CE71" s="56">
        <v>-1</v>
      </c>
      <c r="CF71" s="56">
        <v>1</v>
      </c>
      <c r="CG71" s="56">
        <v>1</v>
      </c>
      <c r="CH71" s="56">
        <v>1</v>
      </c>
      <c r="CI71" s="56">
        <v>-1</v>
      </c>
      <c r="CJ71" s="56">
        <v>-1</v>
      </c>
      <c r="CK71" s="56">
        <v>-1</v>
      </c>
      <c r="CL71" s="56">
        <v>-1</v>
      </c>
      <c r="CM71" s="56">
        <v>-1</v>
      </c>
      <c r="CN71" s="56">
        <v>-1</v>
      </c>
      <c r="CO71" s="56">
        <v>-1</v>
      </c>
      <c r="CP71" s="56">
        <v>-1</v>
      </c>
      <c r="CQ71" s="56">
        <v>-1</v>
      </c>
      <c r="CR71" s="56">
        <v>-1</v>
      </c>
      <c r="CS71" s="56">
        <v>-1</v>
      </c>
      <c r="CT71" s="56">
        <v>-1</v>
      </c>
      <c r="CU71" s="56">
        <v>-1</v>
      </c>
      <c r="CV71" s="56">
        <v>-1</v>
      </c>
      <c r="CW71" s="56">
        <v>-1</v>
      </c>
      <c r="CX71" s="56">
        <v>-1</v>
      </c>
      <c r="CY71" s="56">
        <v>-1</v>
      </c>
      <c r="CZ71" s="56">
        <v>-1</v>
      </c>
      <c r="DA71" s="56">
        <v>-1</v>
      </c>
      <c r="DB71" s="56">
        <v>-1</v>
      </c>
      <c r="DC71" s="56">
        <v>-1</v>
      </c>
      <c r="DD71" s="56">
        <v>-1</v>
      </c>
      <c r="DE71" s="56">
        <v>-1</v>
      </c>
      <c r="DF71" s="56">
        <v>-1</v>
      </c>
      <c r="DG71" s="56">
        <v>-1</v>
      </c>
      <c r="DH71" s="56">
        <v>-1</v>
      </c>
      <c r="DI71" s="56">
        <v>-1</v>
      </c>
      <c r="DJ71" s="56">
        <v>-1</v>
      </c>
      <c r="DK71" s="56">
        <v>-1</v>
      </c>
      <c r="DL71" s="56">
        <v>-1</v>
      </c>
      <c r="DM71" s="56">
        <v>-1</v>
      </c>
      <c r="DN71" s="56">
        <v>-1</v>
      </c>
      <c r="DO71" s="56">
        <v>-1</v>
      </c>
      <c r="DP71" s="56">
        <v>-1</v>
      </c>
      <c r="DQ71" s="56">
        <v>-1</v>
      </c>
      <c r="DR71" s="56">
        <v>-1</v>
      </c>
      <c r="DS71" s="56">
        <v>-1</v>
      </c>
      <c r="DT71" s="56">
        <v>-1</v>
      </c>
      <c r="DU71" s="56">
        <v>-1</v>
      </c>
      <c r="DV71" s="56">
        <v>1</v>
      </c>
      <c r="DW71" s="56">
        <v>1</v>
      </c>
      <c r="DX71" s="56">
        <v>1</v>
      </c>
      <c r="DY71" s="56">
        <v>1</v>
      </c>
      <c r="DZ71" s="56">
        <v>-1</v>
      </c>
      <c r="EA71" s="56">
        <v>-1</v>
      </c>
      <c r="EB71" s="56">
        <v>-1</v>
      </c>
      <c r="EC71" s="56">
        <v>-1</v>
      </c>
      <c r="ED71" s="56">
        <v>-1</v>
      </c>
      <c r="EE71" s="56">
        <v>-1</v>
      </c>
      <c r="EF71" s="56">
        <v>-1</v>
      </c>
      <c r="EG71" s="56">
        <v>-1</v>
      </c>
      <c r="EH71" s="56">
        <v>-1</v>
      </c>
      <c r="EI71" s="56">
        <v>-1</v>
      </c>
      <c r="EJ71" s="56">
        <v>-1</v>
      </c>
      <c r="EK71" s="56">
        <v>-1</v>
      </c>
      <c r="EL71" s="56">
        <v>-1</v>
      </c>
      <c r="EM71" s="56">
        <v>-1</v>
      </c>
      <c r="EN71" s="56">
        <v>-1</v>
      </c>
      <c r="EO71" s="56">
        <v>-1</v>
      </c>
      <c r="EP71" s="56">
        <v>-1</v>
      </c>
      <c r="EQ71" s="56">
        <v>-1</v>
      </c>
      <c r="ER71" s="56">
        <v>-1</v>
      </c>
      <c r="ES71" s="56">
        <v>-1</v>
      </c>
      <c r="ET71" s="56">
        <v>-1</v>
      </c>
      <c r="EU71" s="56">
        <v>-1</v>
      </c>
      <c r="EV71" s="56">
        <v>-1</v>
      </c>
      <c r="EW71" s="56">
        <v>1</v>
      </c>
      <c r="EX71" s="56">
        <v>1</v>
      </c>
      <c r="EY71" s="56">
        <v>1</v>
      </c>
      <c r="EZ71" s="56">
        <v>1</v>
      </c>
      <c r="FA71" s="56">
        <v>1</v>
      </c>
      <c r="FB71" s="56">
        <v>1</v>
      </c>
      <c r="FC71" s="56">
        <v>1</v>
      </c>
      <c r="FD71" s="56">
        <v>-1</v>
      </c>
      <c r="FE71" s="56">
        <v>-1</v>
      </c>
      <c r="FF71" s="56">
        <v>-1</v>
      </c>
      <c r="FG71" s="56">
        <v>-1</v>
      </c>
      <c r="FH71" s="56">
        <v>-1</v>
      </c>
      <c r="FI71" s="56">
        <v>-1</v>
      </c>
      <c r="FJ71" s="56">
        <v>-1</v>
      </c>
      <c r="FK71" s="56">
        <v>-1</v>
      </c>
      <c r="FL71" s="56">
        <v>-1</v>
      </c>
      <c r="FM71" s="56">
        <v>-1</v>
      </c>
      <c r="FN71" s="56">
        <v>-1</v>
      </c>
      <c r="FO71" s="56">
        <v>-1</v>
      </c>
      <c r="FP71" s="56">
        <v>-1</v>
      </c>
      <c r="FQ71" s="56">
        <v>-1</v>
      </c>
      <c r="FR71" s="56">
        <v>-1</v>
      </c>
      <c r="FS71" s="56">
        <v>-1</v>
      </c>
      <c r="FT71" s="56">
        <v>-1</v>
      </c>
      <c r="FU71" s="56">
        <v>-1</v>
      </c>
      <c r="FV71" s="56">
        <v>-1</v>
      </c>
      <c r="FW71" s="56">
        <v>-1</v>
      </c>
      <c r="FX71" s="56">
        <v>-1</v>
      </c>
      <c r="FY71" s="56">
        <v>-1</v>
      </c>
      <c r="FZ71" s="56">
        <v>-1</v>
      </c>
      <c r="GA71" s="56">
        <v>-1</v>
      </c>
      <c r="GB71" s="56">
        <v>-1</v>
      </c>
      <c r="GC71" s="56">
        <v>-1</v>
      </c>
      <c r="GD71" s="56">
        <v>-1</v>
      </c>
      <c r="GE71" s="56">
        <v>-1</v>
      </c>
      <c r="GF71" s="56">
        <v>-1</v>
      </c>
      <c r="GG71" s="56">
        <v>-1</v>
      </c>
      <c r="GH71" s="56">
        <v>-1</v>
      </c>
      <c r="GI71" s="56">
        <v>-1</v>
      </c>
      <c r="GJ71" s="56">
        <v>-1</v>
      </c>
      <c r="GK71" s="56">
        <v>-1</v>
      </c>
      <c r="GL71" s="56">
        <v>-1</v>
      </c>
      <c r="GM71" s="56">
        <v>-1</v>
      </c>
      <c r="GN71" s="56">
        <v>-1</v>
      </c>
      <c r="GO71" s="56">
        <v>-1</v>
      </c>
      <c r="GP71" s="56">
        <v>-1</v>
      </c>
      <c r="GQ71" s="56">
        <v>-1</v>
      </c>
      <c r="GR71" s="56">
        <v>-1</v>
      </c>
      <c r="GS71" s="56">
        <v>1</v>
      </c>
      <c r="GT71" s="56">
        <v>1</v>
      </c>
      <c r="GU71" s="56">
        <v>1</v>
      </c>
      <c r="GV71" s="56">
        <v>-1</v>
      </c>
      <c r="GW71" s="56">
        <v>-1</v>
      </c>
      <c r="GX71" s="56">
        <v>-1</v>
      </c>
      <c r="GY71" s="56">
        <v>-1</v>
      </c>
      <c r="GZ71" s="56">
        <v>-1</v>
      </c>
      <c r="HA71" s="56">
        <v>-1</v>
      </c>
      <c r="HB71" s="56">
        <v>-1</v>
      </c>
      <c r="HC71">
        <v>-1</v>
      </c>
      <c r="HD71">
        <v>-1</v>
      </c>
      <c r="HE71">
        <v>-1</v>
      </c>
      <c r="HF71">
        <v>-1</v>
      </c>
      <c r="HG71">
        <v>-1</v>
      </c>
      <c r="HH71">
        <v>-1</v>
      </c>
      <c r="HI71">
        <v>-1</v>
      </c>
      <c r="HJ71">
        <v>-1</v>
      </c>
    </row>
    <row r="72" spans="1:218" x14ac:dyDescent="0.35">
      <c r="A72" s="56" t="s">
        <v>2267</v>
      </c>
      <c r="B72" s="56">
        <v>2613.3333333333298</v>
      </c>
      <c r="C72" s="56">
        <v>2648.3333333333298</v>
      </c>
      <c r="D72" s="56">
        <v>2681.6666666666702</v>
      </c>
      <c r="E72" s="56">
        <v>2716.3333333333298</v>
      </c>
      <c r="F72" s="56">
        <v>2719.3333333333298</v>
      </c>
      <c r="G72" s="56">
        <v>2739.6666666666702</v>
      </c>
      <c r="H72" s="56">
        <v>2751.6666666666702</v>
      </c>
      <c r="I72" s="56">
        <v>2781</v>
      </c>
      <c r="J72" s="56">
        <v>2815</v>
      </c>
      <c r="K72" s="56">
        <v>2849</v>
      </c>
      <c r="L72" s="56">
        <v>2874</v>
      </c>
      <c r="M72" s="56">
        <v>2901.3333333333298</v>
      </c>
      <c r="N72" s="56">
        <v>2899.6666666666702</v>
      </c>
      <c r="O72" s="56">
        <v>2911.6666666666702</v>
      </c>
      <c r="P72" s="56">
        <v>2926.3333333333298</v>
      </c>
      <c r="Q72" s="56">
        <v>2953.3333333333298</v>
      </c>
      <c r="R72" s="56">
        <v>2988.6666666666702</v>
      </c>
      <c r="S72" s="56">
        <v>3018</v>
      </c>
      <c r="T72" s="56">
        <v>3048.3333333333298</v>
      </c>
      <c r="U72" s="56">
        <v>3099</v>
      </c>
      <c r="V72" s="56">
        <v>3161.6666666666702</v>
      </c>
      <c r="W72" s="56">
        <v>3177.3333333333298</v>
      </c>
      <c r="X72" s="56">
        <v>3178</v>
      </c>
      <c r="Y72" s="56">
        <v>3197.3333333333298</v>
      </c>
      <c r="Z72" s="56">
        <v>3214.3333333333298</v>
      </c>
      <c r="AA72" s="56">
        <v>3241.6666666666702</v>
      </c>
      <c r="AB72" s="56">
        <v>3290.6666666666702</v>
      </c>
      <c r="AC72" s="56">
        <v>3342</v>
      </c>
      <c r="AD72" s="56">
        <v>3341.3333333333298</v>
      </c>
      <c r="AE72" s="56">
        <v>3374.6666666666702</v>
      </c>
      <c r="AF72" s="56">
        <v>3385</v>
      </c>
      <c r="AG72" s="56">
        <v>3404.6666666666702</v>
      </c>
      <c r="AH72" s="56">
        <v>3442.3333333333298</v>
      </c>
      <c r="AI72" s="56">
        <v>3479</v>
      </c>
      <c r="AJ72" s="56">
        <v>3477.3333333333298</v>
      </c>
      <c r="AK72" s="56">
        <v>3494</v>
      </c>
      <c r="AL72" s="56">
        <v>3504.3333333333298</v>
      </c>
      <c r="AM72" s="56">
        <v>3518</v>
      </c>
      <c r="AN72" s="56">
        <v>3560.6666666666702</v>
      </c>
      <c r="AO72" s="56">
        <v>3579.3333333333298</v>
      </c>
      <c r="AP72" s="56">
        <v>3582</v>
      </c>
      <c r="AQ72" s="56">
        <v>3602.6666666666702</v>
      </c>
      <c r="AR72" s="56">
        <v>3624</v>
      </c>
      <c r="AS72" s="56">
        <v>3630.6666666666702</v>
      </c>
      <c r="AT72" s="56">
        <v>3636</v>
      </c>
      <c r="AU72" s="56">
        <v>3631.6666666666702</v>
      </c>
      <c r="AV72" s="56">
        <v>3640</v>
      </c>
      <c r="AW72" s="56">
        <v>3653</v>
      </c>
      <c r="AX72" s="56">
        <v>3645.6666666666702</v>
      </c>
      <c r="AY72" s="56">
        <v>3647.3333333333298</v>
      </c>
      <c r="AZ72" s="56">
        <v>3625.6666666666702</v>
      </c>
      <c r="BA72" s="56">
        <v>3640.3333333333298</v>
      </c>
      <c r="BB72" s="56">
        <v>3650.3333333333298</v>
      </c>
      <c r="BC72" s="56">
        <v>3656</v>
      </c>
      <c r="BD72" s="56">
        <v>3671.3333333333298</v>
      </c>
      <c r="BE72" s="56">
        <v>3671.6666666666702</v>
      </c>
      <c r="BF72" s="56">
        <v>3687</v>
      </c>
      <c r="BG72" s="56">
        <v>3720</v>
      </c>
      <c r="BH72" s="56">
        <v>3758</v>
      </c>
      <c r="BI72" s="56">
        <v>3773</v>
      </c>
      <c r="BJ72" s="56">
        <v>3798.3333333333298</v>
      </c>
      <c r="BK72" s="56">
        <v>3819.3333333333298</v>
      </c>
      <c r="BL72" s="56">
        <v>3844.3333333333298</v>
      </c>
      <c r="BM72" s="56">
        <v>3864.3333333333298</v>
      </c>
      <c r="BN72" s="56">
        <v>3872.3333333333298</v>
      </c>
      <c r="BO72" s="56">
        <v>3883</v>
      </c>
      <c r="BP72" s="56">
        <v>3889.3333333333298</v>
      </c>
      <c r="BQ72" s="56">
        <v>3926.6666666666702</v>
      </c>
      <c r="BR72" s="56">
        <v>3943.6666666666702</v>
      </c>
      <c r="BS72" s="56">
        <v>3953</v>
      </c>
      <c r="BT72" s="56">
        <v>3969</v>
      </c>
      <c r="BU72" s="56">
        <v>4000.6666666666702</v>
      </c>
      <c r="BV72" s="56">
        <v>4030.6666666666702</v>
      </c>
      <c r="BW72" s="56">
        <v>4065.3333333333298</v>
      </c>
      <c r="BX72" s="56">
        <v>4094.3333333333298</v>
      </c>
      <c r="BY72" s="56">
        <v>4114.6666666666697</v>
      </c>
      <c r="BZ72" s="56">
        <v>4135.6666666666697</v>
      </c>
      <c r="CA72" s="56">
        <v>4169</v>
      </c>
      <c r="CB72" s="56">
        <v>4201.3333333333303</v>
      </c>
      <c r="CC72" s="56">
        <v>4221</v>
      </c>
      <c r="CD72" s="56">
        <v>4258</v>
      </c>
      <c r="CE72" s="56">
        <v>4295.6666666666697</v>
      </c>
      <c r="CF72" s="56">
        <v>4322.6666666666697</v>
      </c>
      <c r="CG72" s="56">
        <v>4342.6666666666697</v>
      </c>
      <c r="CH72" s="56">
        <v>4358</v>
      </c>
      <c r="CI72" s="56">
        <v>4362.3333333333303</v>
      </c>
      <c r="CJ72" s="56">
        <v>4345</v>
      </c>
      <c r="CK72" s="56">
        <v>4354.3333333333303</v>
      </c>
      <c r="CL72" s="56">
        <v>4372</v>
      </c>
      <c r="CM72" s="56">
        <v>4395.6666666666697</v>
      </c>
      <c r="CN72" s="56">
        <v>4425.3333333333303</v>
      </c>
      <c r="CO72" s="56">
        <v>4438</v>
      </c>
      <c r="CP72" s="56">
        <v>4456</v>
      </c>
      <c r="CQ72" s="56">
        <v>4478</v>
      </c>
      <c r="CR72" s="56">
        <v>4496</v>
      </c>
      <c r="CS72" s="56">
        <v>4515</v>
      </c>
      <c r="CT72" s="56">
        <v>4523.6666666666697</v>
      </c>
      <c r="CU72" s="56">
        <v>4555.3333333333303</v>
      </c>
      <c r="CV72" s="56">
        <v>4600</v>
      </c>
      <c r="CW72" s="56">
        <v>4626.3333333333303</v>
      </c>
      <c r="CX72" s="56">
        <v>4649.6666666666697</v>
      </c>
      <c r="CY72" s="56">
        <v>4643</v>
      </c>
      <c r="CZ72" s="56">
        <v>4623.6666666666697</v>
      </c>
      <c r="DA72" s="56">
        <v>4624.6666666666697</v>
      </c>
      <c r="DB72" s="56">
        <v>4621.3333333333303</v>
      </c>
      <c r="DC72" s="56">
        <v>4618.3333333333303</v>
      </c>
      <c r="DD72" s="56">
        <v>4600.3333333333303</v>
      </c>
      <c r="DE72" s="56">
        <v>4581.3333333333303</v>
      </c>
      <c r="DF72" s="56">
        <v>4574.3333333333303</v>
      </c>
      <c r="DG72" s="56">
        <v>4577</v>
      </c>
      <c r="DH72" s="56">
        <v>4589</v>
      </c>
      <c r="DI72" s="56">
        <v>4583</v>
      </c>
      <c r="DJ72" s="56">
        <v>4578</v>
      </c>
      <c r="DK72" s="56">
        <v>4596.6666666666697</v>
      </c>
      <c r="DL72" s="56">
        <v>4631.6666666666697</v>
      </c>
      <c r="DM72" s="56">
        <v>4640.6666666666697</v>
      </c>
      <c r="DN72" s="56">
        <v>4669</v>
      </c>
      <c r="DO72" s="56">
        <v>4688.3333333333303</v>
      </c>
      <c r="DP72" s="56">
        <v>4717.3333333333303</v>
      </c>
      <c r="DQ72" s="56">
        <v>4757.3333333333303</v>
      </c>
      <c r="DR72" s="56">
        <v>4768</v>
      </c>
      <c r="DS72" s="56">
        <v>4779.3333333333303</v>
      </c>
      <c r="DT72" s="56">
        <v>4793.3333333333303</v>
      </c>
      <c r="DU72" s="56">
        <v>4809</v>
      </c>
      <c r="DV72" s="56">
        <v>4832</v>
      </c>
      <c r="DW72" s="56">
        <v>4877.6666666666697</v>
      </c>
      <c r="DX72" s="56">
        <v>4936.6666666666697</v>
      </c>
      <c r="DY72" s="56">
        <v>4977.3333333333303</v>
      </c>
      <c r="DZ72" s="56">
        <v>5004.3333333333303</v>
      </c>
      <c r="EA72" s="56">
        <v>5039</v>
      </c>
      <c r="EB72" s="56">
        <v>5052.6666666666697</v>
      </c>
      <c r="EC72" s="56">
        <v>5020.6666666666697</v>
      </c>
      <c r="ED72" s="56">
        <v>5029.3333333333303</v>
      </c>
      <c r="EE72" s="56">
        <v>5007.6666666666697</v>
      </c>
      <c r="EF72" s="56">
        <v>4978.6666666666697</v>
      </c>
      <c r="EG72" s="56">
        <v>4985.3333333333303</v>
      </c>
      <c r="EH72" s="56">
        <v>4968.3333333333303</v>
      </c>
      <c r="EI72" s="56">
        <v>4974</v>
      </c>
      <c r="EJ72" s="56">
        <v>4984</v>
      </c>
      <c r="EK72" s="56">
        <v>4995.3333333333303</v>
      </c>
      <c r="EL72" s="56">
        <v>5015.6666666666697</v>
      </c>
      <c r="EM72" s="56">
        <v>5023.3333333333303</v>
      </c>
      <c r="EN72" s="56">
        <v>5039.3333333333303</v>
      </c>
      <c r="EO72" s="56">
        <v>5047.6666666666697</v>
      </c>
      <c r="EP72" s="56">
        <v>5047</v>
      </c>
      <c r="EQ72" s="56">
        <v>5068.3333333333303</v>
      </c>
      <c r="ER72" s="56">
        <v>5086</v>
      </c>
      <c r="ES72" s="56">
        <v>5098.3333333333303</v>
      </c>
      <c r="ET72" s="56">
        <v>5106.3333333333303</v>
      </c>
      <c r="EU72" s="56">
        <v>5124.3333333333303</v>
      </c>
      <c r="EV72" s="56">
        <v>5122</v>
      </c>
      <c r="EW72" s="56">
        <v>5136</v>
      </c>
      <c r="EX72" s="56">
        <v>5148.6666666666697</v>
      </c>
      <c r="EY72" s="56">
        <v>5166</v>
      </c>
      <c r="EZ72" s="56">
        <v>5196.3333333333303</v>
      </c>
      <c r="FA72" s="56">
        <v>5189</v>
      </c>
      <c r="FB72" s="56">
        <v>5192</v>
      </c>
      <c r="FC72" s="56">
        <v>5181.6666666666697</v>
      </c>
      <c r="FD72" s="56">
        <v>5145.3333333333303</v>
      </c>
      <c r="FE72" s="56">
        <v>5153.3333333333303</v>
      </c>
      <c r="FF72" s="56">
        <v>5144</v>
      </c>
      <c r="FG72" s="56">
        <v>5136.6666666666697</v>
      </c>
      <c r="FH72" s="56">
        <v>5129.3333333333303</v>
      </c>
      <c r="FI72" s="56">
        <v>5137</v>
      </c>
      <c r="FJ72" s="56">
        <v>5113.3333333333303</v>
      </c>
      <c r="FK72" s="56">
        <v>5084.3333333333303</v>
      </c>
      <c r="FL72" s="56">
        <v>5069.6666666666697</v>
      </c>
      <c r="FM72" s="56">
        <v>5051</v>
      </c>
      <c r="FN72" s="56">
        <v>5048</v>
      </c>
      <c r="FO72" s="56">
        <v>5055.3333333333303</v>
      </c>
      <c r="FP72" s="56">
        <v>5064.6666666666697</v>
      </c>
      <c r="FQ72" s="56">
        <v>5051.6666666666697</v>
      </c>
      <c r="FR72" s="56">
        <v>5042</v>
      </c>
      <c r="FS72" s="56">
        <v>5044.6666666666697</v>
      </c>
      <c r="FT72" s="56">
        <v>5040</v>
      </c>
      <c r="FU72" s="56">
        <v>5055.3333333333303</v>
      </c>
      <c r="FV72" s="56">
        <v>5054.6666666666697</v>
      </c>
      <c r="FW72" s="56">
        <v>5054.6666666666697</v>
      </c>
      <c r="FX72" s="56">
        <v>5030.6666666666697</v>
      </c>
      <c r="FY72" s="56">
        <v>5052.6666666666697</v>
      </c>
      <c r="FZ72" s="56">
        <v>5067.6666666666697</v>
      </c>
      <c r="GA72" s="56">
        <v>5072.3333333333303</v>
      </c>
      <c r="GB72" s="56">
        <v>5077.6666666666697</v>
      </c>
      <c r="GC72" s="56">
        <v>5087.3333333333303</v>
      </c>
      <c r="GD72" s="56">
        <v>5089</v>
      </c>
      <c r="GE72" s="56">
        <v>5098.6666666666697</v>
      </c>
      <c r="GF72" s="56">
        <v>5126.6666666666697</v>
      </c>
      <c r="GG72" s="56">
        <v>5135.3333333333303</v>
      </c>
      <c r="GH72" s="56">
        <v>5159.6666666666697</v>
      </c>
      <c r="GI72" s="56">
        <v>5174.6666666666697</v>
      </c>
      <c r="GJ72" s="56">
        <v>5163.6666666666697</v>
      </c>
      <c r="GK72" s="56">
        <v>5157.3333333333303</v>
      </c>
      <c r="GL72" s="56">
        <v>5157.3333333333303</v>
      </c>
      <c r="GM72" s="56">
        <v>5176.6666666666697</v>
      </c>
      <c r="GN72" s="56">
        <v>5177.3333333333303</v>
      </c>
      <c r="GO72" s="56">
        <v>5174.6666666666697</v>
      </c>
      <c r="GP72" s="56">
        <v>5182</v>
      </c>
      <c r="GQ72" s="56">
        <v>5170.6666666666697</v>
      </c>
      <c r="GR72" s="56">
        <v>5207.6666666666697</v>
      </c>
      <c r="GS72" s="56">
        <v>5246</v>
      </c>
      <c r="GT72" s="56">
        <v>5285</v>
      </c>
      <c r="GU72" s="56">
        <v>5077</v>
      </c>
      <c r="GV72" s="56">
        <v>5093.6666666666697</v>
      </c>
      <c r="GW72" s="56">
        <v>5078</v>
      </c>
      <c r="GX72" s="56">
        <v>5173.6666666666697</v>
      </c>
      <c r="GY72" s="56">
        <v>5183.6666666666697</v>
      </c>
      <c r="GZ72" s="56">
        <v>5151.6666666666697</v>
      </c>
      <c r="HA72" s="56">
        <v>5126.6666666666697</v>
      </c>
      <c r="HB72" s="56">
        <v>5080.6666666666697</v>
      </c>
      <c r="HC72">
        <v>5093</v>
      </c>
      <c r="HD72">
        <v>5138.6666666666697</v>
      </c>
      <c r="HE72">
        <v>5145</v>
      </c>
      <c r="HF72">
        <v>5228</v>
      </c>
      <c r="HG72">
        <v>5281.3333333333303</v>
      </c>
      <c r="HH72">
        <v>5325.3333333333303</v>
      </c>
      <c r="HI72">
        <v>5387.3333333333303</v>
      </c>
      <c r="HJ72">
        <v>5432.6666666666697</v>
      </c>
    </row>
    <row r="73" spans="1:218" x14ac:dyDescent="0.35">
      <c r="A73" s="56" t="s">
        <v>2268</v>
      </c>
      <c r="B73" s="56">
        <v>7048.6666666666697</v>
      </c>
      <c r="C73" s="56">
        <v>7104.3333333333303</v>
      </c>
      <c r="D73" s="56">
        <v>7204.3333333333303</v>
      </c>
      <c r="E73" s="56">
        <v>7279.3333333333303</v>
      </c>
      <c r="F73" s="56">
        <v>7353.3333333333303</v>
      </c>
      <c r="G73" s="56">
        <v>7419.6666666666697</v>
      </c>
      <c r="H73" s="56">
        <v>7443.6666666666697</v>
      </c>
      <c r="I73" s="56">
        <v>7534</v>
      </c>
      <c r="J73" s="56">
        <v>7651.6666666666697</v>
      </c>
      <c r="K73" s="56">
        <v>7726.3333333333303</v>
      </c>
      <c r="L73" s="56">
        <v>7855</v>
      </c>
      <c r="M73" s="56">
        <v>7931.3333333333303</v>
      </c>
      <c r="N73" s="56">
        <v>8016</v>
      </c>
      <c r="O73" s="56">
        <v>8115</v>
      </c>
      <c r="P73" s="56">
        <v>8183.6666666666697</v>
      </c>
      <c r="Q73" s="56">
        <v>8272.3333333333303</v>
      </c>
      <c r="R73" s="56">
        <v>8307.6666666666697</v>
      </c>
      <c r="S73" s="56">
        <v>8346.3333333333303</v>
      </c>
      <c r="T73" s="56">
        <v>8424.6666666666697</v>
      </c>
      <c r="U73" s="56">
        <v>8551.3333333333303</v>
      </c>
      <c r="V73" s="56">
        <v>8673</v>
      </c>
      <c r="W73" s="56">
        <v>8751.3333333333303</v>
      </c>
      <c r="X73" s="56">
        <v>8786.3333333333303</v>
      </c>
      <c r="Y73" s="56">
        <v>8824.6666666666697</v>
      </c>
      <c r="Z73" s="56">
        <v>8883</v>
      </c>
      <c r="AA73" s="56">
        <v>8868.6666666666697</v>
      </c>
      <c r="AB73" s="56">
        <v>8845</v>
      </c>
      <c r="AC73" s="56">
        <v>8861</v>
      </c>
      <c r="AD73" s="56">
        <v>8860.6666666666697</v>
      </c>
      <c r="AE73" s="56">
        <v>8907.3333333333303</v>
      </c>
      <c r="AF73" s="56">
        <v>9099.3333333333303</v>
      </c>
      <c r="AG73" s="56">
        <v>9231</v>
      </c>
      <c r="AH73" s="56">
        <v>9348.3333333333303</v>
      </c>
      <c r="AI73" s="56">
        <v>9466</v>
      </c>
      <c r="AJ73" s="56">
        <v>9492.3333333333303</v>
      </c>
      <c r="AK73" s="56">
        <v>9482.6666666666697</v>
      </c>
      <c r="AL73" s="56">
        <v>9531.3333333333303</v>
      </c>
      <c r="AM73" s="56">
        <v>9604.3333333333303</v>
      </c>
      <c r="AN73" s="56">
        <v>9710.6666666666697</v>
      </c>
      <c r="AO73" s="56">
        <v>9697.3333333333303</v>
      </c>
      <c r="AP73" s="56">
        <v>9741.3333333333303</v>
      </c>
      <c r="AQ73" s="56">
        <v>9749.3333333333303</v>
      </c>
      <c r="AR73" s="56">
        <v>9782.3333333333303</v>
      </c>
      <c r="AS73" s="56">
        <v>9793</v>
      </c>
      <c r="AT73" s="56">
        <v>9750.3333333333303</v>
      </c>
      <c r="AU73" s="56">
        <v>9665</v>
      </c>
      <c r="AV73" s="56">
        <v>9547.6666666666697</v>
      </c>
      <c r="AW73" s="56">
        <v>9507</v>
      </c>
      <c r="AX73" s="56">
        <v>9484.3333333333303</v>
      </c>
      <c r="AY73" s="56">
        <v>9495.6666666666697</v>
      </c>
      <c r="AZ73" s="56">
        <v>9409.6666666666697</v>
      </c>
      <c r="BA73" s="56">
        <v>9437</v>
      </c>
      <c r="BB73" s="56">
        <v>9447.3333333333303</v>
      </c>
      <c r="BC73" s="56">
        <v>9445.3333333333303</v>
      </c>
      <c r="BD73" s="56">
        <v>9433</v>
      </c>
      <c r="BE73" s="56">
        <v>9401.6666666666697</v>
      </c>
      <c r="BF73" s="56">
        <v>9412</v>
      </c>
      <c r="BG73" s="56">
        <v>9445.3333333333303</v>
      </c>
      <c r="BH73" s="56">
        <v>9509</v>
      </c>
      <c r="BI73" s="56">
        <v>9555</v>
      </c>
      <c r="BJ73" s="56">
        <v>9595.6666666666697</v>
      </c>
      <c r="BK73" s="56">
        <v>9640.3333333333303</v>
      </c>
      <c r="BL73" s="56">
        <v>9746.6666666666697</v>
      </c>
      <c r="BM73" s="56">
        <v>9764.3333333333303</v>
      </c>
      <c r="BN73" s="56">
        <v>9815.3333333333303</v>
      </c>
      <c r="BO73" s="56">
        <v>9854.3333333333303</v>
      </c>
      <c r="BP73" s="56">
        <v>9906.6666666666697</v>
      </c>
      <c r="BQ73" s="56">
        <v>10024.333333333299</v>
      </c>
      <c r="BR73" s="56">
        <v>10039.333333333299</v>
      </c>
      <c r="BS73" s="56">
        <v>10083.333333333299</v>
      </c>
      <c r="BT73" s="56">
        <v>10092.333333333299</v>
      </c>
      <c r="BU73" s="56">
        <v>10184.666666666701</v>
      </c>
      <c r="BV73" s="56">
        <v>10250.666666666701</v>
      </c>
      <c r="BW73" s="56">
        <v>10315.333333333299</v>
      </c>
      <c r="BX73" s="56">
        <v>10341.666666666701</v>
      </c>
      <c r="BY73" s="56">
        <v>10446.666666666701</v>
      </c>
      <c r="BZ73" s="56">
        <v>10510.666666666701</v>
      </c>
      <c r="CA73" s="56">
        <v>10566.333333333299</v>
      </c>
      <c r="CB73" s="56">
        <v>10640.666666666701</v>
      </c>
      <c r="CC73" s="56">
        <v>10719.666666666701</v>
      </c>
      <c r="CD73" s="56">
        <v>10814</v>
      </c>
      <c r="CE73" s="56">
        <v>10873</v>
      </c>
      <c r="CF73" s="56">
        <v>10967.333333333299</v>
      </c>
      <c r="CG73" s="56">
        <v>11000.333333333299</v>
      </c>
      <c r="CH73" s="56">
        <v>11027</v>
      </c>
      <c r="CI73" s="56">
        <v>11057.333333333299</v>
      </c>
      <c r="CJ73" s="56">
        <v>11099.333333333299</v>
      </c>
      <c r="CK73" s="56">
        <v>11139.333333333299</v>
      </c>
      <c r="CL73" s="56">
        <v>11199</v>
      </c>
      <c r="CM73" s="56">
        <v>11238</v>
      </c>
      <c r="CN73" s="56">
        <v>11306.666666666701</v>
      </c>
      <c r="CO73" s="56">
        <v>11319.666666666701</v>
      </c>
      <c r="CP73" s="56">
        <v>11366.666666666701</v>
      </c>
      <c r="CQ73" s="56">
        <v>11407.666666666701</v>
      </c>
      <c r="CR73" s="56">
        <v>11483</v>
      </c>
      <c r="CS73" s="56">
        <v>11520.666666666701</v>
      </c>
      <c r="CT73" s="56">
        <v>11591.333333333299</v>
      </c>
      <c r="CU73" s="56">
        <v>11672.333333333299</v>
      </c>
      <c r="CV73" s="56">
        <v>11710.333333333299</v>
      </c>
      <c r="CW73" s="56">
        <v>11752</v>
      </c>
      <c r="CX73" s="56">
        <v>11791.333333333299</v>
      </c>
      <c r="CY73" s="56">
        <v>11828.666666666701</v>
      </c>
      <c r="CZ73" s="56">
        <v>11868</v>
      </c>
      <c r="DA73" s="56">
        <v>11923</v>
      </c>
      <c r="DB73" s="56">
        <v>11966</v>
      </c>
      <c r="DC73" s="56">
        <v>12017.333333333299</v>
      </c>
      <c r="DD73" s="56">
        <v>12067</v>
      </c>
      <c r="DE73" s="56">
        <v>12139</v>
      </c>
      <c r="DF73" s="56">
        <v>12185.666666666701</v>
      </c>
      <c r="DG73" s="56">
        <v>12229.666666666701</v>
      </c>
      <c r="DH73" s="56">
        <v>12296</v>
      </c>
      <c r="DI73" s="56">
        <v>12380</v>
      </c>
      <c r="DJ73" s="56">
        <v>12437.333333333299</v>
      </c>
      <c r="DK73" s="56">
        <v>12501.333333333299</v>
      </c>
      <c r="DL73" s="56">
        <v>12553.333333333299</v>
      </c>
      <c r="DM73" s="56">
        <v>12616.333333333299</v>
      </c>
      <c r="DN73" s="56">
        <v>12694.666666666701</v>
      </c>
      <c r="DO73" s="56">
        <v>12783.333333333299</v>
      </c>
      <c r="DP73" s="56">
        <v>12887.333333333299</v>
      </c>
      <c r="DQ73" s="56">
        <v>12972.333333333299</v>
      </c>
      <c r="DR73" s="56">
        <v>13050.333333333299</v>
      </c>
      <c r="DS73" s="56">
        <v>13113</v>
      </c>
      <c r="DT73" s="56">
        <v>13168</v>
      </c>
      <c r="DU73" s="56">
        <v>13220.666666666701</v>
      </c>
      <c r="DV73" s="56">
        <v>13310</v>
      </c>
      <c r="DW73" s="56">
        <v>13410.666666666701</v>
      </c>
      <c r="DX73" s="56">
        <v>13500.666666666701</v>
      </c>
      <c r="DY73" s="56">
        <v>13583.666666666701</v>
      </c>
      <c r="DZ73" s="56">
        <v>13639</v>
      </c>
      <c r="EA73" s="56">
        <v>13699.333333333299</v>
      </c>
      <c r="EB73" s="56">
        <v>13744.666666666701</v>
      </c>
      <c r="EC73" s="56">
        <v>13775</v>
      </c>
      <c r="ED73" s="56">
        <v>13801</v>
      </c>
      <c r="EE73" s="56">
        <v>13820</v>
      </c>
      <c r="EF73" s="56">
        <v>13832.333333333299</v>
      </c>
      <c r="EG73" s="56">
        <v>13824.333333333299</v>
      </c>
      <c r="EH73" s="56">
        <v>13859</v>
      </c>
      <c r="EI73" s="56">
        <v>13898</v>
      </c>
      <c r="EJ73" s="56">
        <v>13909.333333333299</v>
      </c>
      <c r="EK73" s="56">
        <v>13958.666666666701</v>
      </c>
      <c r="EL73" s="56">
        <v>13994.666666666701</v>
      </c>
      <c r="EM73" s="56">
        <v>14012</v>
      </c>
      <c r="EN73" s="56">
        <v>14085.333333333299</v>
      </c>
      <c r="EO73" s="56">
        <v>14072.333333333299</v>
      </c>
      <c r="EP73" s="56">
        <v>14098</v>
      </c>
      <c r="EQ73" s="56">
        <v>14119.666666666701</v>
      </c>
      <c r="ER73" s="56">
        <v>14201</v>
      </c>
      <c r="ES73" s="56">
        <v>14251.333333333299</v>
      </c>
      <c r="ET73" s="56">
        <v>14287.333333333299</v>
      </c>
      <c r="EU73" s="56">
        <v>14336</v>
      </c>
      <c r="EV73" s="56">
        <v>14369.333333333299</v>
      </c>
      <c r="EW73" s="56">
        <v>14455</v>
      </c>
      <c r="EX73" s="56">
        <v>14521.666666666701</v>
      </c>
      <c r="EY73" s="56">
        <v>14560.333333333299</v>
      </c>
      <c r="EZ73" s="56">
        <v>14594</v>
      </c>
      <c r="FA73" s="56">
        <v>14591</v>
      </c>
      <c r="FB73" s="56">
        <v>14587</v>
      </c>
      <c r="FC73" s="56">
        <v>14576.333333333299</v>
      </c>
      <c r="FD73" s="56">
        <v>14532</v>
      </c>
      <c r="FE73" s="56">
        <v>14521</v>
      </c>
      <c r="FF73" s="56">
        <v>14466</v>
      </c>
      <c r="FG73" s="56">
        <v>14434</v>
      </c>
      <c r="FH73" s="56">
        <v>14327.666666666701</v>
      </c>
      <c r="FI73" s="56">
        <v>14279</v>
      </c>
      <c r="FJ73" s="56">
        <v>14232.666666666701</v>
      </c>
      <c r="FK73" s="56">
        <v>14207.666666666701</v>
      </c>
      <c r="FL73" s="56">
        <v>14094</v>
      </c>
      <c r="FM73" s="56">
        <v>14080.666666666701</v>
      </c>
      <c r="FN73" s="56">
        <v>14067.666666666701</v>
      </c>
      <c r="FO73" s="56">
        <v>14044.333333333299</v>
      </c>
      <c r="FP73" s="56">
        <v>14034.333333333299</v>
      </c>
      <c r="FQ73" s="56">
        <v>14026.333333333299</v>
      </c>
      <c r="FR73" s="56">
        <v>14029.333333333299</v>
      </c>
      <c r="FS73" s="56">
        <v>14033</v>
      </c>
      <c r="FT73" s="56">
        <v>14031</v>
      </c>
      <c r="FU73" s="56">
        <v>14033.666666666701</v>
      </c>
      <c r="FV73" s="56">
        <v>14037.666666666701</v>
      </c>
      <c r="FW73" s="56">
        <v>14077</v>
      </c>
      <c r="FX73" s="56">
        <v>14120</v>
      </c>
      <c r="FY73" s="56">
        <v>14140</v>
      </c>
      <c r="FZ73" s="56">
        <v>14155</v>
      </c>
      <c r="GA73" s="56">
        <v>14181.666666666701</v>
      </c>
      <c r="GB73" s="56">
        <v>14214</v>
      </c>
      <c r="GC73" s="56">
        <v>14223.666666666701</v>
      </c>
      <c r="GD73" s="56">
        <v>14277</v>
      </c>
      <c r="GE73" s="56">
        <v>14297.666666666701</v>
      </c>
      <c r="GF73" s="56">
        <v>14369</v>
      </c>
      <c r="GG73" s="56">
        <v>14351</v>
      </c>
      <c r="GH73" s="56">
        <v>14352.333333333299</v>
      </c>
      <c r="GI73" s="56">
        <v>14369</v>
      </c>
      <c r="GJ73" s="56">
        <v>14373</v>
      </c>
      <c r="GK73" s="56">
        <v>14421.666666666701</v>
      </c>
      <c r="GL73" s="56">
        <v>14457.333333333299</v>
      </c>
      <c r="GM73" s="56">
        <v>14484.666666666701</v>
      </c>
      <c r="GN73" s="56">
        <v>14480.333333333299</v>
      </c>
      <c r="GO73" s="56">
        <v>14505.666666666701</v>
      </c>
      <c r="GP73" s="56">
        <v>14542.333333333299</v>
      </c>
      <c r="GQ73" s="56">
        <v>14594.666666666701</v>
      </c>
      <c r="GR73" s="56">
        <v>14564</v>
      </c>
      <c r="GS73" s="56">
        <v>14617</v>
      </c>
      <c r="GT73" s="56">
        <v>14685</v>
      </c>
      <c r="GU73" s="56">
        <v>13623.333333333299</v>
      </c>
      <c r="GV73" s="56">
        <v>13664</v>
      </c>
      <c r="GW73" s="56">
        <v>13706.333333333299</v>
      </c>
      <c r="GX73" s="56">
        <v>13753.333333333299</v>
      </c>
      <c r="GY73" s="56">
        <v>13875</v>
      </c>
      <c r="GZ73" s="56">
        <v>14041</v>
      </c>
      <c r="HA73" s="56">
        <v>14037.666666666701</v>
      </c>
      <c r="HB73" s="56">
        <v>14100.333333333299</v>
      </c>
      <c r="HC73">
        <v>14151.333333333299</v>
      </c>
      <c r="HD73">
        <v>14266</v>
      </c>
      <c r="HE73">
        <v>14325</v>
      </c>
      <c r="HF73">
        <v>14429.666666666701</v>
      </c>
      <c r="HG73">
        <v>14508.666666666701</v>
      </c>
      <c r="HH73">
        <v>14587</v>
      </c>
      <c r="HI73">
        <v>14672.666666666701</v>
      </c>
      <c r="HJ73">
        <v>14783.333333333299</v>
      </c>
    </row>
    <row r="74" spans="1:218" x14ac:dyDescent="0.35">
      <c r="A74" s="56" t="s">
        <v>2269</v>
      </c>
      <c r="B74" s="56">
        <v>23545.666666666701</v>
      </c>
      <c r="C74" s="56">
        <v>24037</v>
      </c>
      <c r="D74" s="56">
        <v>25485.666666666701</v>
      </c>
      <c r="E74" s="56">
        <v>25754.666666666701</v>
      </c>
      <c r="F74" s="56">
        <v>25713</v>
      </c>
      <c r="G74" s="56">
        <v>25998.666666666701</v>
      </c>
      <c r="H74" s="56">
        <v>25691</v>
      </c>
      <c r="I74" s="56">
        <v>26178.666666666701</v>
      </c>
      <c r="J74" s="56">
        <v>25519</v>
      </c>
      <c r="K74" s="56">
        <v>24875</v>
      </c>
      <c r="L74" s="56">
        <v>25641</v>
      </c>
      <c r="M74" s="56">
        <v>27114.333333333299</v>
      </c>
      <c r="N74" s="56">
        <v>27472.666666666701</v>
      </c>
      <c r="O74" s="56">
        <v>27079.333333333299</v>
      </c>
      <c r="P74" s="56">
        <v>27510</v>
      </c>
      <c r="Q74" s="56">
        <v>28620</v>
      </c>
      <c r="R74" s="56">
        <v>30923.666666666701</v>
      </c>
      <c r="S74" s="56">
        <v>33400.666666666701</v>
      </c>
      <c r="T74" s="56">
        <v>33701.666666666701</v>
      </c>
      <c r="U74" s="56">
        <v>33884</v>
      </c>
      <c r="V74" s="56">
        <v>37820.333333333299</v>
      </c>
      <c r="W74" s="56">
        <v>35429.666666666701</v>
      </c>
      <c r="X74" s="56">
        <v>36988.333333333299</v>
      </c>
      <c r="Y74" s="56">
        <v>39554</v>
      </c>
      <c r="Z74" s="56">
        <v>42554</v>
      </c>
      <c r="AA74" s="56">
        <v>38830.666666666701</v>
      </c>
      <c r="AB74" s="56">
        <v>36130</v>
      </c>
      <c r="AC74" s="56">
        <v>34359.666666666701</v>
      </c>
      <c r="AD74" s="56">
        <v>36034</v>
      </c>
      <c r="AE74" s="56">
        <v>37037.666666666701</v>
      </c>
      <c r="AF74" s="56">
        <v>35666.333333333299</v>
      </c>
      <c r="AG74" s="56">
        <v>35160</v>
      </c>
      <c r="AH74" s="56">
        <v>34095.333333333299</v>
      </c>
      <c r="AI74" s="56">
        <v>41889.666666666701</v>
      </c>
      <c r="AJ74" s="56">
        <v>43760.666666666701</v>
      </c>
      <c r="AK74" s="56">
        <v>45015.333333333299</v>
      </c>
      <c r="AL74" s="56">
        <v>40794</v>
      </c>
      <c r="AM74" s="56">
        <v>45875.333333333299</v>
      </c>
      <c r="AN74" s="56">
        <v>49343.666666666701</v>
      </c>
      <c r="AO74" s="56">
        <v>52609</v>
      </c>
      <c r="AP74" s="56">
        <v>55934.333333333299</v>
      </c>
      <c r="AQ74" s="56">
        <v>54112</v>
      </c>
      <c r="AR74" s="56">
        <v>52797</v>
      </c>
      <c r="AS74" s="56">
        <v>54381</v>
      </c>
      <c r="AT74" s="56">
        <v>60484</v>
      </c>
      <c r="AU74" s="56">
        <v>53862</v>
      </c>
      <c r="AV74" s="56">
        <v>52044</v>
      </c>
      <c r="AW74" s="56">
        <v>54313.666666666701</v>
      </c>
      <c r="AX74" s="56">
        <v>51944</v>
      </c>
      <c r="AY74" s="56">
        <v>52182.666666666701</v>
      </c>
      <c r="AZ74" s="56">
        <v>52486.333333333299</v>
      </c>
      <c r="BA74" s="56">
        <v>54765.333333333299</v>
      </c>
      <c r="BB74" s="56">
        <v>52678.333333333299</v>
      </c>
      <c r="BC74" s="56">
        <v>51386</v>
      </c>
      <c r="BD74" s="56">
        <v>53662.333333333299</v>
      </c>
      <c r="BE74" s="56">
        <v>53249</v>
      </c>
      <c r="BF74" s="56">
        <v>55752.333333333299</v>
      </c>
      <c r="BG74" s="56">
        <v>57382.666666666701</v>
      </c>
      <c r="BH74" s="56">
        <v>59910.333333333299</v>
      </c>
      <c r="BI74" s="56">
        <v>60890.666666666701</v>
      </c>
      <c r="BJ74" s="56">
        <v>62514.666666666701</v>
      </c>
      <c r="BK74" s="56">
        <v>65739.333333333299</v>
      </c>
      <c r="BL74" s="56">
        <v>67220</v>
      </c>
      <c r="BM74" s="56">
        <v>66558.333333333299</v>
      </c>
      <c r="BN74" s="56">
        <v>70815.333333333299</v>
      </c>
      <c r="BO74" s="56">
        <v>72215.333333333299</v>
      </c>
      <c r="BP74" s="56">
        <v>73843.333333333299</v>
      </c>
      <c r="BQ74" s="56">
        <v>71122.666666666701</v>
      </c>
      <c r="BR74" s="56">
        <v>75290</v>
      </c>
      <c r="BS74" s="56">
        <v>75025.666666666701</v>
      </c>
      <c r="BT74" s="56">
        <v>77047</v>
      </c>
      <c r="BU74" s="56">
        <v>78058</v>
      </c>
      <c r="BV74" s="56">
        <v>79349.666666666701</v>
      </c>
      <c r="BW74" s="56">
        <v>83348</v>
      </c>
      <c r="BX74" s="56">
        <v>82022.666666666701</v>
      </c>
      <c r="BY74" s="56">
        <v>84604</v>
      </c>
      <c r="BZ74" s="56">
        <v>83566.666666666701</v>
      </c>
      <c r="CA74" s="56">
        <v>85684</v>
      </c>
      <c r="CB74" s="56">
        <v>85730.333333333299</v>
      </c>
      <c r="CC74" s="56">
        <v>89358.333333333299</v>
      </c>
      <c r="CD74" s="56">
        <v>94388.333333333299</v>
      </c>
      <c r="CE74" s="56">
        <v>93807</v>
      </c>
      <c r="CF74" s="56">
        <v>94972</v>
      </c>
      <c r="CG74" s="56">
        <v>98807.666666666701</v>
      </c>
      <c r="CH74" s="56">
        <v>95253.666666666701</v>
      </c>
      <c r="CI74" s="56">
        <v>96128.666666666701</v>
      </c>
      <c r="CJ74" s="56">
        <v>97326.333333333299</v>
      </c>
      <c r="CK74" s="56">
        <v>99221</v>
      </c>
      <c r="CL74" s="56">
        <v>106368.66666666701</v>
      </c>
      <c r="CM74" s="56">
        <v>103446</v>
      </c>
      <c r="CN74" s="56">
        <v>99580.333333333299</v>
      </c>
      <c r="CO74" s="56">
        <v>98022.333333333299</v>
      </c>
      <c r="CP74" s="56">
        <v>102495</v>
      </c>
      <c r="CQ74" s="56">
        <v>111962</v>
      </c>
      <c r="CR74" s="56">
        <v>116124.66666666701</v>
      </c>
      <c r="CS74" s="56">
        <v>118029</v>
      </c>
      <c r="CT74" s="56">
        <v>111803</v>
      </c>
      <c r="CU74" s="56">
        <v>113545</v>
      </c>
      <c r="CV74" s="56">
        <v>118942</v>
      </c>
      <c r="CW74" s="56">
        <v>117294.33333333299</v>
      </c>
      <c r="CX74" s="56">
        <v>116848.66666666701</v>
      </c>
      <c r="CY74" s="56">
        <v>124434.33333333299</v>
      </c>
      <c r="CZ74" s="56">
        <v>125240</v>
      </c>
      <c r="DA74" s="56">
        <v>127572.66666666701</v>
      </c>
      <c r="DB74" s="56">
        <v>126179.33333333299</v>
      </c>
      <c r="DC74" s="56">
        <v>131672</v>
      </c>
      <c r="DD74" s="56">
        <v>131615</v>
      </c>
      <c r="DE74" s="56">
        <v>135638.66666666701</v>
      </c>
      <c r="DF74" s="56">
        <v>135471.66666666701</v>
      </c>
      <c r="DG74" s="56">
        <v>139479.33333333299</v>
      </c>
      <c r="DH74" s="56">
        <v>141385.33333333299</v>
      </c>
      <c r="DI74" s="56">
        <v>140102.66666666701</v>
      </c>
      <c r="DJ74" s="56">
        <v>133975</v>
      </c>
      <c r="DK74" s="56">
        <v>137818</v>
      </c>
      <c r="DL74" s="56">
        <v>143529.33333333299</v>
      </c>
      <c r="DM74" s="56">
        <v>144434.66666666701</v>
      </c>
      <c r="DN74" s="56">
        <v>150497</v>
      </c>
      <c r="DO74" s="56">
        <v>152515.33333333299</v>
      </c>
      <c r="DP74" s="56">
        <v>155465.33333333299</v>
      </c>
      <c r="DQ74" s="56">
        <v>163365.33333333299</v>
      </c>
      <c r="DR74" s="56">
        <v>168776.33333333299</v>
      </c>
      <c r="DS74" s="56">
        <v>165200.66666666701</v>
      </c>
      <c r="DT74" s="56">
        <v>166145</v>
      </c>
      <c r="DU74" s="56">
        <v>170616.66666666701</v>
      </c>
      <c r="DV74" s="56">
        <v>176411.33333333299</v>
      </c>
      <c r="DW74" s="56">
        <v>189275.66666666701</v>
      </c>
      <c r="DX74" s="56">
        <v>187116</v>
      </c>
      <c r="DY74" s="56">
        <v>193037.66666666701</v>
      </c>
      <c r="DZ74" s="56">
        <v>198023.33333333299</v>
      </c>
      <c r="EA74" s="56">
        <v>194794</v>
      </c>
      <c r="EB74" s="56">
        <v>196443.66666666701</v>
      </c>
      <c r="EC74" s="56">
        <v>199770.66666666701</v>
      </c>
      <c r="ED74" s="56">
        <v>197410.66666666701</v>
      </c>
      <c r="EE74" s="56">
        <v>195858</v>
      </c>
      <c r="EF74" s="56">
        <v>200686</v>
      </c>
      <c r="EG74" s="56">
        <v>199340</v>
      </c>
      <c r="EH74" s="56">
        <v>197322.33333333299</v>
      </c>
      <c r="EI74" s="56">
        <v>202356.33333333299</v>
      </c>
      <c r="EJ74" s="56">
        <v>202328</v>
      </c>
      <c r="EK74" s="56">
        <v>204931</v>
      </c>
      <c r="EL74" s="56">
        <v>207202</v>
      </c>
      <c r="EM74" s="56">
        <v>215946</v>
      </c>
      <c r="EN74" s="56">
        <v>219407.66666666701</v>
      </c>
      <c r="EO74" s="56">
        <v>222763.66666666701</v>
      </c>
      <c r="EP74" s="56">
        <v>230117.66666666701</v>
      </c>
      <c r="EQ74" s="56">
        <v>238436</v>
      </c>
      <c r="ER74" s="56">
        <v>238965</v>
      </c>
      <c r="ES74" s="56">
        <v>242956.33333333299</v>
      </c>
      <c r="ET74" s="56">
        <v>258254.33333333299</v>
      </c>
      <c r="EU74" s="56">
        <v>266203.66666666698</v>
      </c>
      <c r="EV74" s="56">
        <v>271640.33333333302</v>
      </c>
      <c r="EW74" s="56">
        <v>276454.66666666698</v>
      </c>
      <c r="EX74" s="56">
        <v>278038.33333333302</v>
      </c>
      <c r="EY74" s="56">
        <v>283074.33333333302</v>
      </c>
      <c r="EZ74" s="56">
        <v>287093.66666666698</v>
      </c>
      <c r="FA74" s="56">
        <v>288334</v>
      </c>
      <c r="FB74" s="56">
        <v>289591.33333333302</v>
      </c>
      <c r="FC74" s="56">
        <v>292223.66666666698</v>
      </c>
      <c r="FD74" s="56">
        <v>287368</v>
      </c>
      <c r="FE74" s="56">
        <v>274301</v>
      </c>
      <c r="FF74" s="56">
        <v>268022</v>
      </c>
      <c r="FG74" s="56">
        <v>274526.66666666698</v>
      </c>
      <c r="FH74" s="56">
        <v>277232.33333333302</v>
      </c>
      <c r="FI74" s="56">
        <v>269906.33333333302</v>
      </c>
      <c r="FJ74" s="56">
        <v>258077</v>
      </c>
      <c r="FK74" s="56">
        <v>251739</v>
      </c>
      <c r="FL74" s="56">
        <v>253215.33333333299</v>
      </c>
      <c r="FM74" s="56">
        <v>258046</v>
      </c>
      <c r="FN74" s="56">
        <v>254528.33333333299</v>
      </c>
      <c r="FO74" s="56">
        <v>254598.66666666701</v>
      </c>
      <c r="FP74" s="56">
        <v>252248.66666666701</v>
      </c>
      <c r="FQ74" s="56">
        <v>246424.33333333299</v>
      </c>
      <c r="FR74" s="56">
        <v>242924.33333333299</v>
      </c>
      <c r="FS74" s="56">
        <v>245991.66666666701</v>
      </c>
      <c r="FT74" s="56">
        <v>249225</v>
      </c>
      <c r="FU74" s="56">
        <v>247543.33333333299</v>
      </c>
      <c r="FV74" s="56">
        <v>242281</v>
      </c>
      <c r="FW74" s="56">
        <v>251080</v>
      </c>
      <c r="FX74" s="56">
        <v>258128</v>
      </c>
      <c r="FY74" s="56">
        <v>260687.66666666701</v>
      </c>
      <c r="FZ74" s="56">
        <v>259584</v>
      </c>
      <c r="GA74" s="56">
        <v>273165.33333333302</v>
      </c>
      <c r="GB74" s="56">
        <v>279160.66666666698</v>
      </c>
      <c r="GC74" s="56">
        <v>269714.66666666698</v>
      </c>
      <c r="GD74" s="56">
        <v>278853</v>
      </c>
      <c r="GE74" s="56">
        <v>273154</v>
      </c>
      <c r="GF74" s="56">
        <v>272552.66666666698</v>
      </c>
      <c r="GG74" s="56">
        <v>276613</v>
      </c>
      <c r="GH74" s="56">
        <v>272002.33333333302</v>
      </c>
      <c r="GI74" s="56">
        <v>273260.33333333302</v>
      </c>
      <c r="GJ74" s="56">
        <v>275498.66666666698</v>
      </c>
      <c r="GK74" s="56">
        <v>281479</v>
      </c>
      <c r="GL74" s="56">
        <v>280538.66666666698</v>
      </c>
      <c r="GM74" s="56">
        <v>290258</v>
      </c>
      <c r="GN74" s="56">
        <v>294040</v>
      </c>
      <c r="GO74" s="56">
        <v>286080</v>
      </c>
      <c r="GP74" s="56">
        <v>301680.66666666698</v>
      </c>
      <c r="GQ74" s="56">
        <v>320618</v>
      </c>
      <c r="GR74" s="56">
        <v>323840.33333333302</v>
      </c>
      <c r="GS74" s="56">
        <v>324321.66666666698</v>
      </c>
      <c r="GT74" s="56">
        <v>343394.66666666698</v>
      </c>
      <c r="GU74" s="56">
        <v>342896</v>
      </c>
      <c r="GV74" s="56">
        <v>335544.66666666698</v>
      </c>
      <c r="GW74" s="56">
        <v>341308</v>
      </c>
      <c r="GX74" s="56">
        <v>339069.33333333302</v>
      </c>
      <c r="GY74" s="56">
        <v>334613.66666666698</v>
      </c>
      <c r="GZ74" s="56">
        <v>329916</v>
      </c>
      <c r="HA74" s="56">
        <v>330081.66666666698</v>
      </c>
      <c r="HB74">
        <v>337359</v>
      </c>
      <c r="HC74">
        <v>342241.33333333302</v>
      </c>
      <c r="HD74">
        <v>352124.66666666698</v>
      </c>
      <c r="HE74">
        <v>358350</v>
      </c>
      <c r="HF74">
        <v>370365</v>
      </c>
      <c r="HG74">
        <v>389196.33333333302</v>
      </c>
      <c r="HH74">
        <v>410267.66666666698</v>
      </c>
      <c r="HI74">
        <v>439774.33333333302</v>
      </c>
      <c r="HJ74">
        <v>448976</v>
      </c>
    </row>
    <row r="75" spans="1:218" x14ac:dyDescent="0.35">
      <c r="A75" s="56" t="s">
        <v>2270</v>
      </c>
      <c r="B75" s="56">
        <v>1.44276850123595E-2</v>
      </c>
      <c r="C75" s="56">
        <v>1.44276850123595E-2</v>
      </c>
      <c r="D75" s="56">
        <v>8.2052812173654104E-3</v>
      </c>
      <c r="E75" s="56">
        <v>1.30709282825294E-2</v>
      </c>
      <c r="F75" s="56">
        <v>1.5141925118068E-2</v>
      </c>
      <c r="G75" s="56">
        <v>1.3429256594724E-2</v>
      </c>
      <c r="H75" s="56">
        <v>1.00804543303361E-2</v>
      </c>
      <c r="I75" s="56">
        <v>8.2931171812772302E-3</v>
      </c>
      <c r="J75" s="56">
        <v>1.60315985130111E-2</v>
      </c>
      <c r="K75" s="56">
        <v>6.1285158929795802E-3</v>
      </c>
      <c r="L75" s="56">
        <v>9.0458657211691697E-3</v>
      </c>
      <c r="M75" s="56">
        <v>1.13523740877557E-2</v>
      </c>
      <c r="N75" s="56">
        <v>1.2694877505567999E-2</v>
      </c>
      <c r="O75" s="56">
        <v>1.6538376951836398E-2</v>
      </c>
      <c r="P75" s="56">
        <v>1.9125091947557401E-2</v>
      </c>
      <c r="Q75" s="56">
        <v>1.7322634059355298E-2</v>
      </c>
      <c r="R75" s="56">
        <v>2.02412253244857E-2</v>
      </c>
      <c r="S75" s="56">
        <v>2.2212222858545301E-2</v>
      </c>
      <c r="T75" s="56">
        <v>3.08135579655049E-2</v>
      </c>
      <c r="U75" s="56">
        <v>3.0358321363406899E-2</v>
      </c>
      <c r="V75" s="56">
        <v>2.2606533288120199E-2</v>
      </c>
      <c r="W75" s="56">
        <v>1.44799381010281E-2</v>
      </c>
      <c r="X75" s="56">
        <v>1.7687223069659402E-2</v>
      </c>
      <c r="Y75" s="56">
        <v>1.6701759394739599E-2</v>
      </c>
      <c r="Z75" s="56">
        <v>1.09164940854365E-2</v>
      </c>
      <c r="AA75" s="56">
        <v>0.01</v>
      </c>
      <c r="AB75" s="56">
        <v>1.27544004400439E-2</v>
      </c>
      <c r="AC75" s="56">
        <v>1.7006687260260101E-2</v>
      </c>
      <c r="AD75" s="56">
        <v>1.6121495327102699E-2</v>
      </c>
      <c r="AE75" s="56">
        <v>1.5832867982787501E-2</v>
      </c>
      <c r="AF75" s="56">
        <v>1.3775262732417E-2</v>
      </c>
      <c r="AG75" s="56">
        <v>1.6713980415297799E-2</v>
      </c>
      <c r="AH75" s="56">
        <v>1.6376470588235201E-2</v>
      </c>
      <c r="AI75" s="56">
        <v>1.9940117912152298E-2</v>
      </c>
      <c r="AJ75" s="56">
        <v>1.7643676421632299E-2</v>
      </c>
      <c r="AK75" s="56">
        <v>1.97763635282222E-2</v>
      </c>
      <c r="AL75" s="56">
        <v>1.8663789332477899E-2</v>
      </c>
      <c r="AM75" s="56">
        <v>2.4161919212161199E-2</v>
      </c>
      <c r="AN75" s="56">
        <v>2.08805031446542E-2</v>
      </c>
      <c r="AO75" s="56">
        <v>1.8235584031542702E-2</v>
      </c>
      <c r="AP75" s="56">
        <v>2.1861890932558699E-2</v>
      </c>
      <c r="AQ75" s="56">
        <v>2.3736217467961399E-2</v>
      </c>
      <c r="AR75" s="56">
        <v>2.22861990077887E-2</v>
      </c>
      <c r="AS75" s="56">
        <v>2.65275333165702E-2</v>
      </c>
      <c r="AT75" s="56">
        <v>2.6503368034292499E-2</v>
      </c>
      <c r="AU75" s="56">
        <v>1.8779678812609099E-2</v>
      </c>
      <c r="AV75" s="56">
        <v>1.94406708202557E-2</v>
      </c>
      <c r="AW75" s="56">
        <v>1.6519621358330999E-2</v>
      </c>
      <c r="AX75" s="56">
        <v>1.4329950500644201E-2</v>
      </c>
      <c r="AY75" s="56">
        <v>1.3280745147848501E-2</v>
      </c>
      <c r="AZ75" s="56">
        <v>1.38763661953247E-2</v>
      </c>
      <c r="BA75" s="56">
        <v>1.01292729481173E-2</v>
      </c>
      <c r="BB75" s="56">
        <v>7.9878035687444005E-3</v>
      </c>
      <c r="BC75" s="56">
        <v>7.4132458513516096E-3</v>
      </c>
      <c r="BD75" s="56">
        <v>1.0636273286671801E-2</v>
      </c>
      <c r="BE75" s="56">
        <v>7.4695568481399901E-3</v>
      </c>
      <c r="BF75" s="56">
        <v>9.8648003156733798E-3</v>
      </c>
      <c r="BG75" s="56">
        <v>8.9869617077285007E-3</v>
      </c>
      <c r="BH75" s="56">
        <v>9.0292073456574896E-3</v>
      </c>
      <c r="BI75" s="56">
        <v>6.9890518321011896E-3</v>
      </c>
      <c r="BJ75" s="56">
        <v>1.02503410093879E-2</v>
      </c>
      <c r="BK75" s="56">
        <v>5.8971864265431303E-3</v>
      </c>
      <c r="BL75" s="56">
        <v>6.6521910777734804E-3</v>
      </c>
      <c r="BM75" s="56">
        <v>5.1963841010256298E-3</v>
      </c>
      <c r="BN75" s="56">
        <v>4.9354297530335199E-3</v>
      </c>
      <c r="BO75" s="56">
        <v>3.4941279239055802E-3</v>
      </c>
      <c r="BP75" s="56">
        <v>4.7586807234742999E-3</v>
      </c>
      <c r="BQ75" s="56">
        <v>5.9490575845671002E-3</v>
      </c>
      <c r="BR75" s="56">
        <v>5.8181818181819401E-3</v>
      </c>
      <c r="BS75" s="56">
        <v>6.7930129010160796E-3</v>
      </c>
      <c r="BT75" s="56">
        <v>7.7299616336867797E-3</v>
      </c>
      <c r="BU75" s="56">
        <v>7.5018754688671602E-3</v>
      </c>
      <c r="BV75" s="56">
        <v>7.7252419955324801E-3</v>
      </c>
      <c r="BW75" s="56">
        <v>9.9935346818140793E-3</v>
      </c>
      <c r="BX75" s="56">
        <v>1.22357158533908E-2</v>
      </c>
      <c r="BY75" s="56">
        <v>9.1968560845605597E-3</v>
      </c>
      <c r="BZ75" s="56">
        <v>9.6322555233287997E-3</v>
      </c>
      <c r="CA75" s="56">
        <v>1.0817137182579199E-2</v>
      </c>
      <c r="CB75" s="56">
        <v>7.4207922529032598E-3</v>
      </c>
      <c r="CC75" s="56">
        <v>6.8262951676099099E-3</v>
      </c>
      <c r="CD75" s="56">
        <v>1.0896449141256001E-2</v>
      </c>
      <c r="CE75" s="56">
        <v>1.11896247882697E-2</v>
      </c>
      <c r="CF75" s="56">
        <v>8.6462158000710793E-3</v>
      </c>
      <c r="CG75" s="56">
        <v>7.6326914044151399E-3</v>
      </c>
      <c r="CH75" s="56">
        <v>9.7224765678325404E-3</v>
      </c>
      <c r="CI75" s="56">
        <v>7.2051573758058502E-3</v>
      </c>
      <c r="CJ75" s="56">
        <v>7.6774489261393101E-3</v>
      </c>
      <c r="CK75" s="56">
        <v>5.8157480059131102E-3</v>
      </c>
      <c r="CL75" s="56">
        <v>3.9893402245012597E-3</v>
      </c>
      <c r="CM75" s="56">
        <v>5.9682764389821204E-3</v>
      </c>
      <c r="CN75" s="56">
        <v>4.7974669374570801E-3</v>
      </c>
      <c r="CO75" s="56">
        <v>7.0345200770296499E-3</v>
      </c>
      <c r="CP75" s="56">
        <v>5.9581193204267802E-3</v>
      </c>
      <c r="CQ75" s="56">
        <v>5.8914095393702796E-3</v>
      </c>
      <c r="CR75" s="56">
        <v>5.0291283364831702E-3</v>
      </c>
      <c r="CS75" s="56">
        <v>5.8742171595518302E-3</v>
      </c>
      <c r="CT75" s="56">
        <v>5.1137855917933201E-3</v>
      </c>
      <c r="CU75" s="56">
        <v>4.7803498416796302E-3</v>
      </c>
      <c r="CV75" s="56">
        <v>5.3236243479324302E-3</v>
      </c>
      <c r="CW75" s="56">
        <v>5.5693351796339803E-3</v>
      </c>
      <c r="CX75" s="56">
        <v>5.7049468093155501E-3</v>
      </c>
      <c r="CY75" s="56">
        <v>4.8901594944328296E-3</v>
      </c>
      <c r="CZ75" s="56">
        <v>4.4770532305158399E-3</v>
      </c>
      <c r="DA75" s="56">
        <v>4.7254188778247403E-3</v>
      </c>
      <c r="DB75" s="56">
        <v>4.6141748638746103E-3</v>
      </c>
      <c r="DC75" s="56">
        <v>4.0760869565217303E-3</v>
      </c>
      <c r="DD75" s="56">
        <v>4.8537977290110702E-3</v>
      </c>
      <c r="DE75" s="56">
        <v>4.2302175122221897E-3</v>
      </c>
      <c r="DF75" s="56">
        <v>4.4893378226713602E-3</v>
      </c>
      <c r="DG75" s="56">
        <v>4.9771457592684403E-3</v>
      </c>
      <c r="DH75" s="56">
        <v>2.9743856305408699E-3</v>
      </c>
      <c r="DI75" s="56">
        <v>3.5845905792928302E-3</v>
      </c>
      <c r="DJ75" s="56">
        <v>1.00411687920476E-3</v>
      </c>
      <c r="DK75" s="56">
        <v>2.5937549259849001E-3</v>
      </c>
      <c r="DL75" s="56">
        <v>3.8734206163169001E-3</v>
      </c>
      <c r="DM75" s="56">
        <v>2.6909660425715699E-3</v>
      </c>
      <c r="DN75" s="56">
        <v>2.7121435874131201E-3</v>
      </c>
      <c r="DO75" s="56">
        <v>4.5174537987679999E-3</v>
      </c>
      <c r="DP75" s="56">
        <v>3.8486480390220699E-3</v>
      </c>
      <c r="DQ75" s="56">
        <v>5.2522926116815903E-3</v>
      </c>
      <c r="DR75" s="56">
        <v>6.6637794945587601E-3</v>
      </c>
      <c r="DS75" s="56">
        <v>6.0090482666739203E-3</v>
      </c>
      <c r="DT75" s="56">
        <v>6.2628464223144498E-3</v>
      </c>
      <c r="DU75" s="56">
        <v>5.4287476866132804E-3</v>
      </c>
      <c r="DV75" s="56">
        <v>6.8447389591088604E-3</v>
      </c>
      <c r="DW75" s="56">
        <v>6.6627845564235502E-3</v>
      </c>
      <c r="DX75" s="56">
        <v>3.0268379632745201E-3</v>
      </c>
      <c r="DY75" s="56">
        <v>3.2322961373389999E-3</v>
      </c>
      <c r="DZ75" s="56">
        <v>2.6336546302856401E-3</v>
      </c>
      <c r="EA75" s="56">
        <v>3.96010560281601E-3</v>
      </c>
      <c r="EB75" s="56">
        <v>4.4890098944152497E-3</v>
      </c>
      <c r="EC75" s="56">
        <v>5.8175664061983498E-3</v>
      </c>
      <c r="ED75" s="56">
        <v>5.3764147595074504E-3</v>
      </c>
      <c r="EE75" s="56">
        <v>3.4517925786459202E-3</v>
      </c>
      <c r="EF75" s="56">
        <v>5.7201678263363301E-3</v>
      </c>
      <c r="EG75" s="56">
        <v>5.8042365744639399E-3</v>
      </c>
      <c r="EH75" s="56">
        <v>7.1876650393518596E-3</v>
      </c>
      <c r="EI75" s="56">
        <v>8.1083500658643004E-3</v>
      </c>
      <c r="EJ75" s="56">
        <v>6.3177925784965198E-3</v>
      </c>
      <c r="EK75" s="56">
        <v>7.72789733116519E-3</v>
      </c>
      <c r="EL75" s="56">
        <v>7.6811449159326396E-3</v>
      </c>
      <c r="EM75" s="56">
        <v>7.2873991309745402E-3</v>
      </c>
      <c r="EN75" s="56">
        <v>9.46547197949155E-3</v>
      </c>
      <c r="EO75" s="56">
        <v>7.9604419754593092E-3</v>
      </c>
      <c r="EP75" s="56">
        <v>7.00122339716813E-3</v>
      </c>
      <c r="EQ75" s="56">
        <v>8.85307030733129E-3</v>
      </c>
      <c r="ER75" s="56">
        <v>7.3326894874272703E-3</v>
      </c>
      <c r="ES75" s="56">
        <v>3.7876097815021702E-3</v>
      </c>
      <c r="ET75" s="56">
        <v>1.0011084121406499E-2</v>
      </c>
      <c r="EU75" s="56">
        <v>6.3744089662014503E-3</v>
      </c>
      <c r="EV75" s="56">
        <v>4.2574912123989296E-3</v>
      </c>
      <c r="EW75" s="56">
        <v>4.7823676185194701E-3</v>
      </c>
      <c r="EX75" s="56">
        <v>4.3342300705893101E-3</v>
      </c>
      <c r="EY75" s="56">
        <v>3.6515985759910702E-3</v>
      </c>
      <c r="EZ75" s="56">
        <v>7.78986746960486E-3</v>
      </c>
      <c r="FA75" s="56">
        <v>1.69758151220556E-3</v>
      </c>
      <c r="FB75" s="56">
        <v>2.8245076883104398E-4</v>
      </c>
      <c r="FC75" s="56">
        <v>-1.3327911809885001E-3</v>
      </c>
      <c r="FD75" s="56">
        <v>6.3335519916751803E-4</v>
      </c>
      <c r="FE75" s="56">
        <v>3.6620928182291598E-3</v>
      </c>
      <c r="FF75" s="56">
        <v>2.4775332777764399E-3</v>
      </c>
      <c r="FG75" s="56">
        <v>4.6395111101125196E-3</v>
      </c>
      <c r="FH75" s="56">
        <v>3.6229048092943899E-3</v>
      </c>
      <c r="FI75" s="56">
        <v>5.7378419029581202E-3</v>
      </c>
      <c r="FJ75" s="56">
        <v>4.8742660906169197E-3</v>
      </c>
      <c r="FK75" s="56">
        <v>7.1987652959983901E-3</v>
      </c>
      <c r="FL75" s="56">
        <v>5.22093188708772E-3</v>
      </c>
      <c r="FM75" s="56">
        <v>1.20862369337971E-3</v>
      </c>
      <c r="FN75" s="56">
        <v>5.9161944948942198E-3</v>
      </c>
      <c r="FO75" s="56">
        <v>4.1731985512729599E-3</v>
      </c>
      <c r="FP75" s="56">
        <v>6.2230165480561296E-3</v>
      </c>
      <c r="FQ75" s="56">
        <v>4.3869504274600696E-3</v>
      </c>
      <c r="FR75" s="56">
        <v>3.5688033323033599E-3</v>
      </c>
      <c r="FS75" s="56">
        <v>2.8661203345932101E-3</v>
      </c>
      <c r="FT75" s="56">
        <v>5.4512352604949603E-3</v>
      </c>
      <c r="FU75" s="56">
        <v>5.1374369663854703E-3</v>
      </c>
      <c r="FV75" s="56">
        <v>3.8019627763754599E-3</v>
      </c>
      <c r="FW75" s="56">
        <v>5.2483305509181096E-3</v>
      </c>
      <c r="FX75" s="56">
        <v>4.34904455954244E-3</v>
      </c>
      <c r="FY75" s="56">
        <v>3.92716148901462E-4</v>
      </c>
      <c r="FZ75" s="56">
        <v>-5.9917355371896797E-4</v>
      </c>
      <c r="GA75" s="56">
        <v>5.7885923383846896E-3</v>
      </c>
      <c r="GB75" s="56">
        <v>2.4048837639514299E-3</v>
      </c>
      <c r="GC75" s="56">
        <v>-9.22736220472231E-5</v>
      </c>
      <c r="GD75" s="56">
        <v>-6.04960677555888E-4</v>
      </c>
      <c r="GE75" s="56">
        <v>6.5662576435343602E-3</v>
      </c>
      <c r="GF75" s="56">
        <v>2.6909120561013902E-3</v>
      </c>
      <c r="GG75" s="56">
        <v>5.2047330541211698E-3</v>
      </c>
      <c r="GH75" s="56">
        <v>5.1069940536385703E-3</v>
      </c>
      <c r="GI75" s="56">
        <v>2.6864139894757799E-3</v>
      </c>
      <c r="GJ75" s="56">
        <v>5.19788070964111E-3</v>
      </c>
      <c r="GK75" s="56">
        <v>6.0494739153871303E-3</v>
      </c>
      <c r="GL75" s="56">
        <v>6.4298471919030896E-3</v>
      </c>
      <c r="GM75" s="56">
        <v>7.0197578577908502E-3</v>
      </c>
      <c r="GN75" s="56">
        <v>4.3665557078520498E-3</v>
      </c>
      <c r="GO75" s="56">
        <v>4.0843779853001498E-3</v>
      </c>
      <c r="GP75" s="56">
        <v>3.5920586379303301E-3</v>
      </c>
      <c r="GQ75" s="56">
        <v>4.8657799274485197E-3</v>
      </c>
      <c r="GR75" s="56">
        <v>3.2249369452625998E-3</v>
      </c>
      <c r="GS75" s="56">
        <v>3.3872933319261098E-3</v>
      </c>
      <c r="GT75" s="56">
        <v>4.5521488820456897E-3</v>
      </c>
      <c r="GU75" s="56">
        <v>-3.6271205803393202E-3</v>
      </c>
      <c r="GV75" s="56">
        <v>8.9049407133508004E-3</v>
      </c>
      <c r="GW75" s="56">
        <v>6.9796293314896597E-3</v>
      </c>
      <c r="GX75" s="56">
        <v>1.3175961628891101E-2</v>
      </c>
      <c r="GY75" s="56">
        <v>1.4861089194382299E-2</v>
      </c>
      <c r="GZ75" s="56">
        <v>1.48629861339773E-2</v>
      </c>
      <c r="HA75" s="56">
        <v>1.7132763142478701E-2</v>
      </c>
      <c r="HB75" s="56">
        <v>2.05922486664658E-2</v>
      </c>
      <c r="HC75">
        <v>2.1895782327099499E-2</v>
      </c>
      <c r="HD75">
        <v>1.08407530755115E-2</v>
      </c>
      <c r="HE75">
        <v>9.5394183896453395E-3</v>
      </c>
      <c r="HF75">
        <v>9.5658327436207707E-3</v>
      </c>
      <c r="HG75">
        <v>4.3293970180762198E-3</v>
      </c>
      <c r="HH75">
        <v>8.2355549351746903E-3</v>
      </c>
      <c r="HI75">
        <v>4.0474949508111403E-3</v>
      </c>
      <c r="HJ75">
        <v>7.6081402233776404E-3</v>
      </c>
    </row>
    <row r="76" spans="1:218" x14ac:dyDescent="0.35">
      <c r="A76" s="56" t="s">
        <v>2271</v>
      </c>
      <c r="B76" s="56">
        <v>1.1057395597613699E-2</v>
      </c>
      <c r="C76" s="56">
        <v>1.1057395597613699E-2</v>
      </c>
      <c r="D76" s="56">
        <v>9.7665191515337001E-3</v>
      </c>
      <c r="E76" s="56">
        <v>1.29464510604E-2</v>
      </c>
      <c r="F76" s="56">
        <v>9.4987069822955999E-3</v>
      </c>
      <c r="G76" s="56">
        <v>1.1379870929602499E-2</v>
      </c>
      <c r="H76" s="56">
        <v>9.8392596200680398E-3</v>
      </c>
      <c r="I76" s="56">
        <v>6.1740304842754501E-3</v>
      </c>
      <c r="J76" s="56">
        <v>1.05465004793863E-2</v>
      </c>
      <c r="K76" s="56">
        <v>5.78747628083498E-3</v>
      </c>
      <c r="L76" s="56">
        <v>8.7727572870483998E-3</v>
      </c>
      <c r="M76" s="56">
        <v>8.1354030297362493E-3</v>
      </c>
      <c r="N76" s="56">
        <v>1.2104628513125E-2</v>
      </c>
      <c r="O76" s="56">
        <v>1.9199926682857499E-2</v>
      </c>
      <c r="P76" s="56">
        <v>1.8208794173185699E-2</v>
      </c>
      <c r="Q76" s="56">
        <v>2.04442089459973E-2</v>
      </c>
      <c r="R76" s="56">
        <v>2.977066205106E-2</v>
      </c>
      <c r="S76" s="56">
        <v>2.83217077065301E-2</v>
      </c>
      <c r="T76" s="56">
        <v>2.69695979078131E-2</v>
      </c>
      <c r="U76" s="56">
        <v>2.5425752029285299E-2</v>
      </c>
      <c r="V76" s="56">
        <v>1.88196034302122E-2</v>
      </c>
      <c r="W76" s="56">
        <v>1.22638634978671E-2</v>
      </c>
      <c r="X76" s="56">
        <v>1.8737301527579402E-2</v>
      </c>
      <c r="Y76" s="56">
        <v>1.6767617077854999E-2</v>
      </c>
      <c r="Z76" s="56">
        <v>1.1006175081729E-2</v>
      </c>
      <c r="AA76" s="56">
        <v>8.3713577408113197E-3</v>
      </c>
      <c r="AB76" s="56">
        <v>1.51785078030358E-2</v>
      </c>
      <c r="AC76" s="56">
        <v>1.57939070616313E-2</v>
      </c>
      <c r="AD76" s="56">
        <v>1.8070624006633999E-2</v>
      </c>
      <c r="AE76" s="56">
        <v>1.71050398778212E-2</v>
      </c>
      <c r="AF76" s="56">
        <v>1.50488838466416E-2</v>
      </c>
      <c r="AG76" s="56">
        <v>1.42011834319526E-2</v>
      </c>
      <c r="AH76" s="56">
        <v>1.64008816284196E-2</v>
      </c>
      <c r="AI76" s="56">
        <v>2.0537024044901001E-2</v>
      </c>
      <c r="AJ76" s="56">
        <v>1.75614024123492E-2</v>
      </c>
      <c r="AK76" s="56">
        <v>1.8885886254759801E-2</v>
      </c>
      <c r="AL76" s="56">
        <v>1.8837216311522201E-2</v>
      </c>
      <c r="AM76" s="56">
        <v>2.7334043308484102E-2</v>
      </c>
      <c r="AN76" s="56">
        <v>2.4821469707440699E-2</v>
      </c>
      <c r="AO76" s="56">
        <v>2.41921888170833E-2</v>
      </c>
      <c r="AP76" s="56">
        <v>3.00128940221118E-2</v>
      </c>
      <c r="AQ76" s="56">
        <v>2.44772939139699E-2</v>
      </c>
      <c r="AR76" s="56">
        <v>2.3398502495840301E-2</v>
      </c>
      <c r="AS76" s="56">
        <v>2.4743420384107501E-2</v>
      </c>
      <c r="AT76" s="56">
        <v>2.5930884029947001E-2</v>
      </c>
      <c r="AU76" s="56">
        <v>1.6769766093176298E-2</v>
      </c>
      <c r="AV76" s="56">
        <v>1.6493179333618501E-2</v>
      </c>
      <c r="AW76" s="56">
        <v>1.5313756663237799E-2</v>
      </c>
      <c r="AX76" s="56">
        <v>1.27109862527921E-2</v>
      </c>
      <c r="AY76" s="56">
        <v>9.6182268810114397E-3</v>
      </c>
      <c r="AZ76" s="56">
        <v>1.5787577136165101E-2</v>
      </c>
      <c r="BA76" s="56">
        <v>1.10413941422964E-2</v>
      </c>
      <c r="BB76" s="56">
        <v>8.2673625578386593E-3</v>
      </c>
      <c r="BC76" s="56">
        <v>9.1348036017226998E-3</v>
      </c>
      <c r="BD76" s="56">
        <v>1.31471184102763E-2</v>
      </c>
      <c r="BE76" s="56">
        <v>6.5946221919672698E-3</v>
      </c>
      <c r="BF76" s="56">
        <v>1.0820406610592101E-2</v>
      </c>
      <c r="BG76" s="56">
        <v>9.6801170813296498E-3</v>
      </c>
      <c r="BH76" s="56">
        <v>7.7236866626633196E-3</v>
      </c>
      <c r="BI76" s="56">
        <v>6.1644680064112398E-3</v>
      </c>
      <c r="BJ76" s="56">
        <v>1.18041089735734E-2</v>
      </c>
      <c r="BK76" s="56">
        <v>8.0938155982561693E-3</v>
      </c>
      <c r="BL76" s="56">
        <v>7.8486334968466097E-3</v>
      </c>
      <c r="BM76" s="56">
        <v>6.9730019667442198E-3</v>
      </c>
      <c r="BN76" s="56">
        <v>7.08254419191912E-3</v>
      </c>
      <c r="BO76" s="56">
        <v>-1.0578486492839299E-3</v>
      </c>
      <c r="BP76" s="56">
        <v>5.2948443904063903E-3</v>
      </c>
      <c r="BQ76" s="56">
        <v>6.0472465520942098E-3</v>
      </c>
      <c r="BR76" s="56">
        <v>9.4623155527115994E-3</v>
      </c>
      <c r="BS76" s="56">
        <v>9.6617429553793599E-3</v>
      </c>
      <c r="BT76" s="56">
        <v>9.4741648276386297E-3</v>
      </c>
      <c r="BU76" s="56">
        <v>8.6314123101278693E-3</v>
      </c>
      <c r="BV76" s="56">
        <v>7.9035874439461508E-3</v>
      </c>
      <c r="BW76" s="56">
        <v>1.10486995532322E-2</v>
      </c>
      <c r="BX76" s="56">
        <v>1.2321458039201301E-2</v>
      </c>
      <c r="BY76" s="56">
        <v>1.0106681639528299E-2</v>
      </c>
      <c r="BZ76" s="56">
        <v>1.14938406641683E-2</v>
      </c>
      <c r="CA76" s="56">
        <v>1.34727885126751E-2</v>
      </c>
      <c r="CB76" s="56">
        <v>5.8947000174915899E-3</v>
      </c>
      <c r="CC76" s="56">
        <v>7.85991270627928E-3</v>
      </c>
      <c r="CD76" s="56">
        <v>1.4493003675011501E-2</v>
      </c>
      <c r="CE76" s="56">
        <v>9.0817871052228903E-3</v>
      </c>
      <c r="CF76" s="56">
        <v>1.27079365614415E-2</v>
      </c>
      <c r="CG76" s="56">
        <v>1.3230815317789101E-2</v>
      </c>
      <c r="CH76" s="56">
        <v>5.2560691173089103E-3</v>
      </c>
      <c r="CI76" s="56">
        <v>5.4573379954903096E-3</v>
      </c>
      <c r="CJ76" s="56">
        <v>6.7927717108684496E-3</v>
      </c>
      <c r="CK76" s="56">
        <v>7.2634535300384303E-3</v>
      </c>
      <c r="CL76" s="56">
        <v>6.2656239984615301E-3</v>
      </c>
      <c r="CM76" s="56">
        <v>6.64065610319287E-3</v>
      </c>
      <c r="CN76" s="56">
        <v>6.3753717648546999E-3</v>
      </c>
      <c r="CO76" s="56">
        <v>6.9794859702898603E-3</v>
      </c>
      <c r="CP76" s="56">
        <v>5.9632526264849998E-3</v>
      </c>
      <c r="CQ76" s="56">
        <v>6.7193246535590702E-3</v>
      </c>
      <c r="CR76" s="56">
        <v>4.3314733175079398E-3</v>
      </c>
      <c r="CS76" s="56">
        <v>5.7708541171055403E-3</v>
      </c>
      <c r="CT76" s="56">
        <v>3.58608902656754E-3</v>
      </c>
      <c r="CU76" s="56">
        <v>5.5803910835383599E-3</v>
      </c>
      <c r="CV76" s="56">
        <v>7.16737483555874E-3</v>
      </c>
      <c r="CW76" s="56">
        <v>4.69920578918126E-3</v>
      </c>
      <c r="CX76" s="56">
        <v>4.8864315600716203E-3</v>
      </c>
      <c r="CY76" s="56">
        <v>5.8292563237021299E-3</v>
      </c>
      <c r="CZ76" s="56">
        <v>4.0804861100844896E-3</v>
      </c>
      <c r="DA76" s="56">
        <v>4.40256202606193E-3</v>
      </c>
      <c r="DB76" s="56">
        <v>5.5560442137978496E-3</v>
      </c>
      <c r="DC76" s="56">
        <v>6.6916449200355999E-3</v>
      </c>
      <c r="DD76" s="56">
        <v>4.25766089323987E-3</v>
      </c>
      <c r="DE76" s="56">
        <v>6.82086926426906E-3</v>
      </c>
      <c r="DF76" s="56">
        <v>4.4114066371616599E-3</v>
      </c>
      <c r="DG76" s="56">
        <v>2.50973234274965E-3</v>
      </c>
      <c r="DH76" s="56">
        <v>2.63146665149439E-3</v>
      </c>
      <c r="DI76" s="56">
        <v>3.1494722505958101E-3</v>
      </c>
      <c r="DJ76" s="56">
        <v>7.0711356243924301E-5</v>
      </c>
      <c r="DK76" s="56">
        <v>1.8100827264371201E-3</v>
      </c>
      <c r="DL76" s="56">
        <v>3.0913428285079801E-3</v>
      </c>
      <c r="DM76" s="56">
        <v>2.6315048830598499E-3</v>
      </c>
      <c r="DN76" s="56">
        <v>1.9789751435108599E-3</v>
      </c>
      <c r="DO76" s="56">
        <v>5.6870710183500898E-3</v>
      </c>
      <c r="DP76" s="56">
        <v>5.5016992590115601E-3</v>
      </c>
      <c r="DQ76" s="56">
        <v>6.0672382984028302E-3</v>
      </c>
      <c r="DR76" s="56">
        <v>8.1234768480908902E-3</v>
      </c>
      <c r="DS76" s="56">
        <v>4.7665223507560297E-3</v>
      </c>
      <c r="DT76" s="56">
        <v>6.44301870378428E-3</v>
      </c>
      <c r="DU76" s="56">
        <v>5.6454444774587404E-3</v>
      </c>
      <c r="DV76" s="56">
        <v>7.4133763094279496E-3</v>
      </c>
      <c r="DW76" s="56">
        <v>4.67925131978886E-3</v>
      </c>
      <c r="DX76" s="56">
        <v>5.04226211801573E-4</v>
      </c>
      <c r="DY76" s="56">
        <v>4.11135130833795E-4</v>
      </c>
      <c r="DZ76" s="56">
        <v>2.0150599215187398E-3</v>
      </c>
      <c r="EA76" s="56">
        <v>7.4222057578321498E-3</v>
      </c>
      <c r="EB76" s="56">
        <v>5.17433843325232E-3</v>
      </c>
      <c r="EC76" s="56">
        <v>4.6642887939480904E-3</v>
      </c>
      <c r="ED76" s="56">
        <v>7.6466916354556201E-3</v>
      </c>
      <c r="EE76" s="56">
        <v>1.00665943936806E-3</v>
      </c>
      <c r="EF76" s="56">
        <v>6.5882777648849098E-3</v>
      </c>
      <c r="EG76" s="56">
        <v>4.9184737361187602E-3</v>
      </c>
      <c r="EH76" s="56">
        <v>7.7112303554813799E-3</v>
      </c>
      <c r="EI76" s="56">
        <v>6.7288963092255703E-3</v>
      </c>
      <c r="EJ76" s="56">
        <v>4.9124305852199504E-3</v>
      </c>
      <c r="EK76" s="56">
        <v>8.5516034256423196E-3</v>
      </c>
      <c r="EL76" s="56">
        <v>5.8138814166532899E-3</v>
      </c>
      <c r="EM76" s="56">
        <v>6.3102368803766903E-3</v>
      </c>
      <c r="EN76" s="56">
        <v>1.0802204531536999E-2</v>
      </c>
      <c r="EO76" s="56">
        <v>7.9605486356806292E-3</v>
      </c>
      <c r="EP76" s="56">
        <v>5.1929942660688998E-3</v>
      </c>
      <c r="EQ76" s="56">
        <v>8.7776993817343402E-3</v>
      </c>
      <c r="ER76" s="56">
        <v>7.1957797403829904E-3</v>
      </c>
      <c r="ES76" s="56">
        <v>-1.64779548504035E-3</v>
      </c>
      <c r="ET76" s="56">
        <v>9.1367805522151197E-3</v>
      </c>
      <c r="EU76" s="56">
        <v>8.4932883161794592E-3</v>
      </c>
      <c r="EV76" s="56">
        <v>5.6531208007042401E-3</v>
      </c>
      <c r="EW76" s="56">
        <v>1.0159885730083499E-2</v>
      </c>
      <c r="EX76" s="56">
        <v>8.1419481378428599E-3</v>
      </c>
      <c r="EY76" s="56">
        <v>9.7389376527010595E-3</v>
      </c>
      <c r="EZ76" s="56">
        <v>1.06643963750013E-2</v>
      </c>
      <c r="FA76" s="56">
        <v>-1.5960807350838501E-2</v>
      </c>
      <c r="FB76" s="56">
        <v>-6.7582027686105004E-3</v>
      </c>
      <c r="FC76" s="56">
        <v>3.9804493031378998E-3</v>
      </c>
      <c r="FD76" s="56">
        <v>6.89016400849418E-3</v>
      </c>
      <c r="FE76" s="56">
        <v>7.7180229297075797E-3</v>
      </c>
      <c r="FF76" s="56">
        <v>3.8628520538797101E-3</v>
      </c>
      <c r="FG76" s="56">
        <v>1.5525023010301E-3</v>
      </c>
      <c r="FH76" s="56">
        <v>1.91547549187865E-3</v>
      </c>
      <c r="FI76" s="56">
        <v>6.4095480163552897E-3</v>
      </c>
      <c r="FJ76" s="56">
        <v>8.4001317667727893E-3</v>
      </c>
      <c r="FK76" s="56">
        <v>9.8328523983230998E-3</v>
      </c>
      <c r="FL76" s="56">
        <v>4.6259354309992097E-3</v>
      </c>
      <c r="FM76" s="56">
        <v>3.30589157104977E-3</v>
      </c>
      <c r="FN76" s="56">
        <v>6.6220914683070599E-3</v>
      </c>
      <c r="FO76" s="56">
        <v>2.4124811358854398E-3</v>
      </c>
      <c r="FP76" s="56">
        <v>2.90497344175744E-3</v>
      </c>
      <c r="FQ76" s="56">
        <v>5.61340451398062E-3</v>
      </c>
      <c r="FR76" s="56">
        <v>3.5006202300107399E-3</v>
      </c>
      <c r="FS76" s="56">
        <v>5.1330937889559902E-4</v>
      </c>
      <c r="FT76" s="56">
        <v>4.1148385475562304E-3</v>
      </c>
      <c r="FU76" s="56">
        <v>3.6808792400497801E-3</v>
      </c>
      <c r="FV76" s="56">
        <v>4.5920169551394397E-3</v>
      </c>
      <c r="FW76" s="56">
        <v>4.4779515181601103E-3</v>
      </c>
      <c r="FX76" s="56">
        <v>2.72833036477271E-3</v>
      </c>
      <c r="FY76" s="56">
        <v>-1.3245169106926901E-3</v>
      </c>
      <c r="FZ76" s="56">
        <v>-4.4825990849740602E-3</v>
      </c>
      <c r="GA76" s="56">
        <v>4.9881750302078797E-3</v>
      </c>
      <c r="GB76" s="56">
        <v>2.5998849062809398E-3</v>
      </c>
      <c r="GC76" s="56">
        <v>-7.6871829037050698E-4</v>
      </c>
      <c r="GD76" s="56">
        <v>4.92358190583575E-4</v>
      </c>
      <c r="GE76" s="56">
        <v>6.3462445405892999E-3</v>
      </c>
      <c r="GF76" s="56">
        <v>3.4536507839482101E-3</v>
      </c>
      <c r="GG76" s="56">
        <v>4.57886614684866E-3</v>
      </c>
      <c r="GH76" s="56">
        <v>5.8314046914005298E-3</v>
      </c>
      <c r="GI76" s="56">
        <v>2.0095655319321E-3</v>
      </c>
      <c r="GJ76" s="56">
        <v>3.5297420881632599E-3</v>
      </c>
      <c r="GK76" s="56">
        <v>5.9954434629683204E-3</v>
      </c>
      <c r="GL76" s="56">
        <v>6.9927291509395096E-3</v>
      </c>
      <c r="GM76" s="56">
        <v>5.2475833497731498E-3</v>
      </c>
      <c r="GN76" s="56">
        <v>3.3558364078814002E-3</v>
      </c>
      <c r="GO76" s="56">
        <v>3.7944725878693601E-3</v>
      </c>
      <c r="GP76" s="56">
        <v>2.28951111630726E-3</v>
      </c>
      <c r="GQ76" s="56">
        <v>5.2975883822428101E-3</v>
      </c>
      <c r="GR76" s="56">
        <v>2.4366189012010602E-3</v>
      </c>
      <c r="GS76" s="56">
        <v>3.9161216891407903E-3</v>
      </c>
      <c r="GT76" s="56">
        <v>3.2282859338970101E-3</v>
      </c>
      <c r="GU76" s="56">
        <v>-4.3479926448053404E-3</v>
      </c>
      <c r="GV76" s="56">
        <v>8.2433966256900693E-3</v>
      </c>
      <c r="GW76" s="56">
        <v>4.9990936757649002E-3</v>
      </c>
      <c r="GX76" s="56">
        <v>1.17236076436023E-2</v>
      </c>
      <c r="GY76" s="56">
        <v>1.52939631068325E-2</v>
      </c>
      <c r="GZ76" s="56">
        <v>1.3834466952535899E-2</v>
      </c>
      <c r="HA76" s="56">
        <v>1.6489676860671699E-2</v>
      </c>
      <c r="HB76" s="56">
        <v>1.8616496583388601E-2</v>
      </c>
      <c r="HC76">
        <v>1.7492737036710799E-2</v>
      </c>
      <c r="HD76">
        <v>1.14901753809149E-2</v>
      </c>
      <c r="HE76">
        <v>1.0204867199863099E-2</v>
      </c>
      <c r="HF76">
        <v>1.02541956680045E-2</v>
      </c>
      <c r="HG76">
        <v>6.1604740631469E-3</v>
      </c>
      <c r="HH76">
        <v>6.4143147512578701E-3</v>
      </c>
      <c r="HI76">
        <v>4.4448491068915796E-3</v>
      </c>
      <c r="HJ76">
        <v>8.40536954784055E-3</v>
      </c>
    </row>
    <row r="77" spans="1:218" x14ac:dyDescent="0.35">
      <c r="A77" s="56" t="s">
        <v>2272</v>
      </c>
      <c r="B77" s="56">
        <v>1.32039273219726E-2</v>
      </c>
      <c r="C77" s="56">
        <v>1.32039273219726E-2</v>
      </c>
      <c r="D77" s="56">
        <v>1.7097349075517999E-2</v>
      </c>
      <c r="E77" s="56">
        <v>1.27032798554454E-2</v>
      </c>
      <c r="F77" s="56">
        <v>3.1684238983509E-2</v>
      </c>
      <c r="G77" s="56">
        <v>1.8657303076358801E-2</v>
      </c>
      <c r="H77" s="56">
        <v>1.4508411791943201E-2</v>
      </c>
      <c r="I77" s="56">
        <v>2.0437141842892598E-2</v>
      </c>
      <c r="J77" s="56">
        <v>4.12980817016202E-2</v>
      </c>
      <c r="K77" s="56">
        <v>1.01656087433781E-2</v>
      </c>
      <c r="L77" s="56">
        <v>8.2207313616176093E-3</v>
      </c>
      <c r="M77" s="56">
        <v>2.17432052483599E-2</v>
      </c>
      <c r="N77" s="56">
        <v>1.6097963676389802E-2</v>
      </c>
      <c r="O77" s="56">
        <v>1.7377567140600202E-2</v>
      </c>
      <c r="P77" s="56">
        <v>2.06743566992014E-2</v>
      </c>
      <c r="Q77" s="56">
        <v>2.1385725462922799E-2</v>
      </c>
      <c r="R77" s="56">
        <v>1.02561920163418E-2</v>
      </c>
      <c r="S77" s="56">
        <v>1.8071527865537701E-2</v>
      </c>
      <c r="T77" s="56">
        <v>2.9212181396888401E-2</v>
      </c>
      <c r="U77" s="56">
        <v>3.3207365120205799E-2</v>
      </c>
      <c r="V77" s="56">
        <v>1.81712062256809E-2</v>
      </c>
      <c r="W77" s="56">
        <v>1.4483891924943501E-2</v>
      </c>
      <c r="X77" s="56">
        <v>1.34860242597754E-2</v>
      </c>
      <c r="Y77" s="56">
        <v>2.2970561998215899E-2</v>
      </c>
      <c r="Z77" s="56">
        <v>1.4606496620885199E-2</v>
      </c>
      <c r="AA77" s="56">
        <v>8.3798882681565007E-3</v>
      </c>
      <c r="AB77" s="56">
        <v>1.14709851551957E-2</v>
      </c>
      <c r="AC77" s="56">
        <v>2.6719567430918901E-2</v>
      </c>
      <c r="AD77" s="56">
        <v>1.4157718350317899E-2</v>
      </c>
      <c r="AE77" s="56">
        <v>1.1363636363636499E-2</v>
      </c>
      <c r="AF77" s="56">
        <v>4.9344847130996499E-3</v>
      </c>
      <c r="AG77" s="56">
        <v>2.8963869811884101E-2</v>
      </c>
      <c r="AH77" s="56">
        <v>1.1446443541626401E-2</v>
      </c>
      <c r="AI77" s="56">
        <v>1.9637221460677701E-2</v>
      </c>
      <c r="AJ77" s="56">
        <v>1.6726590589338799E-2</v>
      </c>
      <c r="AK77" s="56">
        <v>1.7250922509225001E-2</v>
      </c>
      <c r="AL77" s="56">
        <v>1.8439587678728001E-2</v>
      </c>
      <c r="AM77" s="56">
        <v>1.51078923154553E-2</v>
      </c>
      <c r="AN77" s="56">
        <v>2.3333333333333199E-2</v>
      </c>
      <c r="AO77" s="56">
        <v>2.2001257214698099E-2</v>
      </c>
      <c r="AP77" s="56">
        <v>1.97662715276226E-2</v>
      </c>
      <c r="AQ77" s="56">
        <v>3.8656614119259698E-2</v>
      </c>
      <c r="AR77" s="56">
        <v>1.0135937706216199E-2</v>
      </c>
      <c r="AS77" s="56">
        <v>3.01026940865976E-2</v>
      </c>
      <c r="AT77" s="56">
        <v>1.9989345780168099E-2</v>
      </c>
      <c r="AU77" s="56">
        <v>2.3253500460095802E-2</v>
      </c>
      <c r="AV77" s="56">
        <v>2.19230021388295E-2</v>
      </c>
      <c r="AW77" s="56">
        <v>1.91694810445702E-2</v>
      </c>
      <c r="AX77" s="56">
        <v>1.5961915429851599E-2</v>
      </c>
      <c r="AY77" s="56">
        <v>1.9822675486953299E-2</v>
      </c>
      <c r="AZ77" s="56">
        <v>8.3785670848441907E-3</v>
      </c>
      <c r="BA77" s="56">
        <v>1.18156842599002E-2</v>
      </c>
      <c r="BB77" s="56">
        <v>1.8763796909493399E-3</v>
      </c>
      <c r="BC77" s="56">
        <v>7.7117990525503704E-3</v>
      </c>
      <c r="BD77" s="56">
        <v>1.10856018366676E-2</v>
      </c>
      <c r="BE77" s="56">
        <v>6.5308593918949097E-3</v>
      </c>
      <c r="BF77" s="56">
        <v>1.29554829838432E-2</v>
      </c>
      <c r="BG77" s="56">
        <v>9.9688209217978496E-3</v>
      </c>
      <c r="BH77" s="56">
        <v>1.48686393514923E-2</v>
      </c>
      <c r="BI77" s="56">
        <v>1.23124676668391E-2</v>
      </c>
      <c r="BJ77" s="56">
        <v>-3.9860997547015399E-3</v>
      </c>
      <c r="BK77" s="56">
        <v>2.3601847101077898E-3</v>
      </c>
      <c r="BL77" s="56">
        <v>5.3439803439803103E-3</v>
      </c>
      <c r="BM77" s="56">
        <v>6.5579112441702704E-3</v>
      </c>
      <c r="BN77" s="56">
        <v>-2.52918681585501E-3</v>
      </c>
      <c r="BO77" s="56">
        <v>-2.4950302243499402E-3</v>
      </c>
      <c r="BP77" s="56">
        <v>1.42348754448407E-3</v>
      </c>
      <c r="BQ77" s="56">
        <v>1.1168646563102199E-3</v>
      </c>
      <c r="BR77" s="56">
        <v>-1.68356997971597E-3</v>
      </c>
      <c r="BS77" s="56">
        <v>4.73413657882449E-3</v>
      </c>
      <c r="BT77" s="56">
        <v>7.2396359959554504E-3</v>
      </c>
      <c r="BU77" s="56">
        <v>2.08801798907809E-3</v>
      </c>
      <c r="BV77" s="56">
        <v>1.3644013463696101E-2</v>
      </c>
      <c r="BW77" s="56">
        <v>9.8234933686478492E-3</v>
      </c>
      <c r="BX77" s="56">
        <v>5.7154041886864296E-3</v>
      </c>
      <c r="BY77" s="56">
        <v>8.0572963294538395E-3</v>
      </c>
      <c r="BZ77" s="56">
        <v>7.4136998996061597E-3</v>
      </c>
      <c r="CA77" s="56">
        <v>7.3399770026829599E-3</v>
      </c>
      <c r="CB77" s="56">
        <v>4.9844947967201403E-3</v>
      </c>
      <c r="CC77" s="56">
        <v>3.57785139611932E-3</v>
      </c>
      <c r="CD77" s="56">
        <v>7.0170143735617304E-3</v>
      </c>
      <c r="CE77" s="56">
        <v>1.7176787921926898E-2</v>
      </c>
      <c r="CF77" s="56">
        <v>1.34430878588665E-3</v>
      </c>
      <c r="CG77" s="56">
        <v>1.18986317493013E-2</v>
      </c>
      <c r="CH77" s="56">
        <v>8.9780637188086009E-3</v>
      </c>
      <c r="CI77" s="56">
        <v>4.9174126844029296E-3</v>
      </c>
      <c r="CJ77" s="56">
        <v>1.28696899085858E-2</v>
      </c>
      <c r="CK77" s="56">
        <v>1.01047639272316E-2</v>
      </c>
      <c r="CL77" s="56">
        <v>1.4716445627989099E-3</v>
      </c>
      <c r="CM77" s="56">
        <v>3.6387173521335E-3</v>
      </c>
      <c r="CN77" s="56">
        <v>8.7326349549423608E-3</v>
      </c>
      <c r="CO77" s="56">
        <v>6.2724633674315902E-3</v>
      </c>
      <c r="CP77" s="56">
        <v>2.5070833691078799E-3</v>
      </c>
      <c r="CQ77" s="56">
        <v>4.3849882667306196E-3</v>
      </c>
      <c r="CR77" s="56">
        <v>7.2479833552192598E-3</v>
      </c>
      <c r="CS77" s="56">
        <v>8.9566895804409404E-3</v>
      </c>
      <c r="CT77" s="56">
        <v>4.59800976657543E-3</v>
      </c>
      <c r="CU77" s="56">
        <v>8.3855341184331193E-3</v>
      </c>
      <c r="CV77" s="56">
        <v>5.7316083290539499E-3</v>
      </c>
      <c r="CW77" s="56">
        <v>8.21899757877231E-3</v>
      </c>
      <c r="CX77" s="56">
        <v>8.4297196628111398E-3</v>
      </c>
      <c r="CY77" s="56">
        <v>6.6582426127528302E-3</v>
      </c>
      <c r="CZ77" s="56">
        <v>5.1819308324883E-3</v>
      </c>
      <c r="DA77" s="56">
        <v>1.38006115816269E-2</v>
      </c>
      <c r="DB77" s="56">
        <v>2.3530154920012899E-3</v>
      </c>
      <c r="DC77" s="56">
        <v>-5.3566927148979097E-3</v>
      </c>
      <c r="DD77" s="56">
        <v>5.8132167522018099E-3</v>
      </c>
      <c r="DE77" s="56">
        <v>3.4173766516008E-3</v>
      </c>
      <c r="DF77" s="56">
        <v>3.4214326071944101E-3</v>
      </c>
      <c r="DG77" s="56">
        <v>6.5692745643945996E-3</v>
      </c>
      <c r="DH77" s="56">
        <v>2.3153183951269999E-3</v>
      </c>
      <c r="DI77" s="56">
        <v>6.9919228563011197E-3</v>
      </c>
      <c r="DJ77" s="56">
        <v>-4.18757890199206E-3</v>
      </c>
      <c r="DK77" s="56">
        <v>6.4469249559382397E-3</v>
      </c>
      <c r="DL77" s="56">
        <v>6.5285181031966601E-3</v>
      </c>
      <c r="DM77" s="56">
        <v>3.2201941273426499E-3</v>
      </c>
      <c r="DN77" s="56">
        <v>3.2250703582565902E-3</v>
      </c>
      <c r="DO77" s="56">
        <v>8.4310127829922994E-3</v>
      </c>
      <c r="DP77" s="56">
        <v>9.0672601236032602E-3</v>
      </c>
      <c r="DQ77" s="56">
        <v>1.22939826543083E-2</v>
      </c>
      <c r="DR77" s="56">
        <v>9.7451826117678202E-3</v>
      </c>
      <c r="DS77" s="56">
        <v>3.8342104879505201E-3</v>
      </c>
      <c r="DT77" s="56">
        <v>7.1598698733590397E-3</v>
      </c>
      <c r="DU77" s="56">
        <v>4.5134032213876001E-3</v>
      </c>
      <c r="DV77" s="56">
        <v>1.7226034279807E-3</v>
      </c>
      <c r="DW77" s="56">
        <v>5.24490556303925E-3</v>
      </c>
      <c r="DX77" s="56">
        <v>6.4007526943035097E-3</v>
      </c>
      <c r="DY77" s="56">
        <v>6.4875277986318203E-3</v>
      </c>
      <c r="DZ77" s="56">
        <v>6.4738582787979802E-3</v>
      </c>
      <c r="EA77" s="56">
        <v>9.4525623994965394E-3</v>
      </c>
      <c r="EB77" s="56">
        <v>8.5883281849539195E-3</v>
      </c>
      <c r="EC77" s="56">
        <v>1.8541154495886399E-2</v>
      </c>
      <c r="ED77" s="56">
        <v>1.0841277760547999E-2</v>
      </c>
      <c r="EE77" s="56">
        <v>7.1233242179682401E-3</v>
      </c>
      <c r="EF77" s="56">
        <v>9.0464774367873292E-3</v>
      </c>
      <c r="EG77" s="56">
        <v>7.4820823816648101E-3</v>
      </c>
      <c r="EH77" s="56">
        <v>8.5079216176777699E-3</v>
      </c>
      <c r="EI77" s="56">
        <v>8.68160971513454E-3</v>
      </c>
      <c r="EJ77" s="56">
        <v>9.1576264456882904E-3</v>
      </c>
      <c r="EK77" s="56">
        <v>9.7344908112497706E-3</v>
      </c>
      <c r="EL77" s="56">
        <v>1.3160044746666001E-2</v>
      </c>
      <c r="EM77" s="56">
        <v>9.0191797136689508E-3</v>
      </c>
      <c r="EN77" s="56">
        <v>1.04385673711778E-2</v>
      </c>
      <c r="EO77" s="56">
        <v>7.1791876566644798E-3</v>
      </c>
      <c r="EP77" s="56">
        <v>8.4207219832792592E-3</v>
      </c>
      <c r="EQ77" s="56">
        <v>6.9726485281962304E-3</v>
      </c>
      <c r="ER77" s="56">
        <v>7.4002688843677299E-3</v>
      </c>
      <c r="ES77" s="56">
        <v>5.2082718221866404E-3</v>
      </c>
      <c r="ET77" s="56">
        <v>8.55323448551348E-3</v>
      </c>
      <c r="EU77" s="56">
        <v>7.9914261084319503E-3</v>
      </c>
      <c r="EV77" s="56">
        <v>6.88794378698221E-3</v>
      </c>
      <c r="EW77" s="56">
        <v>8.0115697167255605E-3</v>
      </c>
      <c r="EX77" s="56">
        <v>8.4375213500034203E-3</v>
      </c>
      <c r="EY77" s="56">
        <v>1.0241297155697099E-2</v>
      </c>
      <c r="EZ77" s="56">
        <v>7.49972057672976E-3</v>
      </c>
      <c r="FA77" s="56">
        <v>-4.75921057010686E-3</v>
      </c>
      <c r="FB77" s="56">
        <v>-8.3935259497057695E-3</v>
      </c>
      <c r="FC77" s="56">
        <v>1.79858136894362E-4</v>
      </c>
      <c r="FD77" s="56">
        <v>3.0570384939590002E-3</v>
      </c>
      <c r="FE77" s="56">
        <v>7.6865328806572401E-3</v>
      </c>
      <c r="FF77" s="56">
        <v>6.3714098273157703E-3</v>
      </c>
      <c r="FG77" s="56">
        <v>7.6679999116080503E-3</v>
      </c>
      <c r="FH77" s="56">
        <v>3.96929824561387E-3</v>
      </c>
      <c r="FI77" s="56">
        <v>8.1365632030756495E-3</v>
      </c>
      <c r="FJ77" s="56">
        <v>8.9809006900885002E-3</v>
      </c>
      <c r="FK77" s="56">
        <v>9.0512798488233698E-3</v>
      </c>
      <c r="FL77" s="56">
        <v>3.47950073952696E-3</v>
      </c>
      <c r="FM77" s="56">
        <v>-1.3360761775496101E-3</v>
      </c>
      <c r="FN77" s="56">
        <v>3.4614567848798598E-3</v>
      </c>
      <c r="FO77" s="56">
        <v>2.2114997989546299E-3</v>
      </c>
      <c r="FP77" s="56">
        <v>1.9215541360924099E-3</v>
      </c>
      <c r="FQ77" s="56">
        <v>1.2223779466158399E-3</v>
      </c>
      <c r="FR77" s="56">
        <v>-6.94641785860872E-4</v>
      </c>
      <c r="FS77" s="56">
        <v>1.6324897047825799E-3</v>
      </c>
      <c r="FT77" s="56">
        <v>3.5120186746862001E-3</v>
      </c>
      <c r="FU77" s="56">
        <v>1.5382036128924101E-2</v>
      </c>
      <c r="FV77" s="56">
        <v>-2.63147032114253E-3</v>
      </c>
      <c r="FW77" s="56">
        <v>4.2214611635920099E-3</v>
      </c>
      <c r="FX77" s="56">
        <v>4.69827008871082E-3</v>
      </c>
      <c r="FY77" s="56">
        <v>1.32290053633866E-3</v>
      </c>
      <c r="FZ77" s="56">
        <v>-1.9458839433850201E-3</v>
      </c>
      <c r="GA77" s="56">
        <v>1.9394163280384001E-3</v>
      </c>
      <c r="GB77" s="56">
        <v>9.1150234020553899E-4</v>
      </c>
      <c r="GC77" s="56">
        <v>-1.2176404379412599E-3</v>
      </c>
      <c r="GD77" s="56">
        <v>-1.10643267664512E-3</v>
      </c>
      <c r="GE77" s="56">
        <v>5.32291314113409E-3</v>
      </c>
      <c r="GF77" s="56">
        <v>3.8970843280079501E-3</v>
      </c>
      <c r="GG77" s="56">
        <v>4.9489858135849402E-3</v>
      </c>
      <c r="GH77" s="56">
        <v>4.7425953827950904E-3</v>
      </c>
      <c r="GI77" s="56">
        <v>3.2407407407408799E-3</v>
      </c>
      <c r="GJ77" s="56">
        <v>4.3939728336108699E-3</v>
      </c>
      <c r="GK77" s="56">
        <v>7.1713943268076896E-3</v>
      </c>
      <c r="GL77" s="56">
        <v>9.5202205517761502E-3</v>
      </c>
      <c r="GM77" s="56">
        <v>6.8665396176741398E-3</v>
      </c>
      <c r="GN77" s="56">
        <v>5.1708830502357203E-3</v>
      </c>
      <c r="GO77" s="56">
        <v>7.2893513350869004E-3</v>
      </c>
      <c r="GP77" s="56">
        <v>1.03875580566208E-2</v>
      </c>
      <c r="GQ77" s="56">
        <v>-5.9796292057678899E-3</v>
      </c>
      <c r="GR77" s="56">
        <v>1.6118354776502E-3</v>
      </c>
      <c r="GS77" s="56">
        <v>3.4675325919326602E-3</v>
      </c>
      <c r="GT77" s="56">
        <v>3.1405416241085901E-3</v>
      </c>
      <c r="GU77" s="56">
        <v>2.3789585870903599E-4</v>
      </c>
      <c r="GV77" s="56">
        <v>5.7081426655123399E-3</v>
      </c>
      <c r="GW77" s="56">
        <v>7.2649532224040598E-3</v>
      </c>
      <c r="GX77" s="56">
        <v>8.4240380913027692E-3</v>
      </c>
      <c r="GY77" s="56">
        <v>9.7412877870699504E-3</v>
      </c>
      <c r="GZ77" s="56">
        <v>1.0136132221648201E-2</v>
      </c>
      <c r="HA77" s="56">
        <v>1.13948668316244E-2</v>
      </c>
      <c r="HB77" s="56">
        <v>1.7630968394254799E-2</v>
      </c>
      <c r="HC77">
        <v>1.6704517227919401E-2</v>
      </c>
      <c r="HD77">
        <v>1.1857914438036E-2</v>
      </c>
      <c r="HE77">
        <v>1.0080540848179701E-2</v>
      </c>
      <c r="HF77">
        <v>1.01762923122892E-2</v>
      </c>
      <c r="HG77">
        <v>5.1214008637083799E-3</v>
      </c>
      <c r="HH77">
        <v>9.7870229456919998E-3</v>
      </c>
      <c r="HI77">
        <v>9.7504517181945492E-3</v>
      </c>
      <c r="HJ77">
        <v>1.01675627535707E-2</v>
      </c>
    </row>
    <row r="78" spans="1:218" x14ac:dyDescent="0.35">
      <c r="A78" s="56" t="s">
        <v>2273</v>
      </c>
      <c r="B78" s="56">
        <v>2.11423161880719E-2</v>
      </c>
      <c r="C78" s="56">
        <v>2.11423161880719E-2</v>
      </c>
      <c r="D78" s="56">
        <v>1.8077873918417801E-2</v>
      </c>
      <c r="E78" s="56">
        <v>1.89710122932161E-2</v>
      </c>
      <c r="F78" s="56">
        <v>2.27137324992552E-2</v>
      </c>
      <c r="G78" s="56">
        <v>1.8058690744920902E-2</v>
      </c>
      <c r="H78" s="56">
        <v>1.4090551462699399E-2</v>
      </c>
      <c r="I78" s="56">
        <v>1.0932430526167301E-2</v>
      </c>
      <c r="J78" s="56">
        <v>2.2395869671387701E-2</v>
      </c>
      <c r="K78" s="56">
        <v>1.18056503343797E-2</v>
      </c>
      <c r="L78" s="56">
        <v>1.51750185472448E-2</v>
      </c>
      <c r="M78" s="56">
        <v>1.3752325272389E-2</v>
      </c>
      <c r="N78" s="56">
        <v>1.9660528212857901E-2</v>
      </c>
      <c r="O78" s="56">
        <v>1.78032007198408E-2</v>
      </c>
      <c r="P78" s="56">
        <v>1.34503662541046E-2</v>
      </c>
      <c r="Q78" s="56">
        <v>1.8941990155149999E-2</v>
      </c>
      <c r="R78" s="56">
        <v>2.90466581055462E-2</v>
      </c>
      <c r="S78" s="56">
        <v>3.4763489422391401E-2</v>
      </c>
      <c r="T78" s="56">
        <v>3.6467007408258E-2</v>
      </c>
      <c r="U78" s="56">
        <v>2.9421542553191599E-2</v>
      </c>
      <c r="V78" s="56">
        <v>2.01302545885138E-2</v>
      </c>
      <c r="W78" s="56">
        <v>1.9838547987126101E-2</v>
      </c>
      <c r="X78" s="56">
        <v>1.2778726266232001E-2</v>
      </c>
      <c r="Y78" s="56">
        <v>1.2770739681242401E-2</v>
      </c>
      <c r="Z78" s="56">
        <v>1.12982951679612E-2</v>
      </c>
      <c r="AA78" s="56">
        <v>1.21197007481295E-2</v>
      </c>
      <c r="AB78" s="56">
        <v>7.4409895037696999E-3</v>
      </c>
      <c r="AC78" s="56">
        <v>1.19839561729604E-2</v>
      </c>
      <c r="AD78" s="56">
        <v>1.8850596935569699E-2</v>
      </c>
      <c r="AE78" s="56">
        <v>1.7885098913610599E-2</v>
      </c>
      <c r="AF78" s="56">
        <v>1.70115585384043E-2</v>
      </c>
      <c r="AG78" s="56">
        <v>1.6864488336923101E-2</v>
      </c>
      <c r="AH78" s="56">
        <v>1.41511559781875E-2</v>
      </c>
      <c r="AI78" s="56">
        <v>1.6708883260009699E-2</v>
      </c>
      <c r="AJ78" s="56">
        <v>1.5210455002403899E-2</v>
      </c>
      <c r="AK78" s="56">
        <v>1.43367632496663E-2</v>
      </c>
      <c r="AL78" s="56">
        <v>2.3811544991511099E-2</v>
      </c>
      <c r="AM78" s="56">
        <v>2.2884623357240601E-2</v>
      </c>
      <c r="AN78" s="56">
        <v>3.3883192153366201E-2</v>
      </c>
      <c r="AO78" s="56">
        <v>1.9522521463013E-2</v>
      </c>
      <c r="AP78" s="56">
        <v>2.6031453070327198E-2</v>
      </c>
      <c r="AQ78" s="56">
        <v>2.7469644730924801E-2</v>
      </c>
      <c r="AR78" s="56">
        <v>2.8850713061239201E-2</v>
      </c>
      <c r="AS78" s="56">
        <v>2.72263187748156E-2</v>
      </c>
      <c r="AT78" s="56">
        <v>3.2475151849806802E-2</v>
      </c>
      <c r="AU78" s="56">
        <v>2.1559648360463899E-2</v>
      </c>
      <c r="AV78" s="56">
        <v>1.3578954256920199E-2</v>
      </c>
      <c r="AW78" s="56">
        <v>1.57859056719503E-2</v>
      </c>
      <c r="AX78" s="56">
        <v>1.6875357528761199E-2</v>
      </c>
      <c r="AY78" s="56">
        <v>1.6064006000562601E-2</v>
      </c>
      <c r="AZ78" s="56">
        <v>1.5686998246747099E-2</v>
      </c>
      <c r="BA78" s="56">
        <v>1.27191787044609E-2</v>
      </c>
      <c r="BB78" s="56">
        <v>7.1768188750334101E-3</v>
      </c>
      <c r="BC78" s="56">
        <v>1.0985422048039E-2</v>
      </c>
      <c r="BD78" s="56">
        <v>9.6913453349387595E-3</v>
      </c>
      <c r="BE78" s="56">
        <v>7.5914022279748297E-3</v>
      </c>
      <c r="BF78" s="56">
        <v>1.4519946885283699E-2</v>
      </c>
      <c r="BG78" s="56">
        <v>9.5034855598235008E-3</v>
      </c>
      <c r="BH78" s="56">
        <v>9.3294624989430606E-3</v>
      </c>
      <c r="BI78" s="56">
        <v>9.9413571628035307E-3</v>
      </c>
      <c r="BJ78" s="56">
        <v>1.18066692473595E-2</v>
      </c>
      <c r="BK78" s="56">
        <v>9.8379471483616109E-3</v>
      </c>
      <c r="BL78" s="56">
        <v>8.2807891104916802E-3</v>
      </c>
      <c r="BM78" s="56">
        <v>9.25950776993467E-3</v>
      </c>
      <c r="BN78" s="56">
        <v>4.1484948409742399E-3</v>
      </c>
      <c r="BO78" s="56">
        <v>4.4226694915254798E-3</v>
      </c>
      <c r="BP78" s="56">
        <v>8.6481925804835508E-3</v>
      </c>
      <c r="BQ78" s="56">
        <v>1.27042216703699E-2</v>
      </c>
      <c r="BR78" s="56">
        <v>1.4300095506053E-2</v>
      </c>
      <c r="BS78" s="56">
        <v>1.22407430970861E-2</v>
      </c>
      <c r="BT78" s="56">
        <v>1.19670152855993E-2</v>
      </c>
      <c r="BU78" s="56">
        <v>5.9375931630725196E-3</v>
      </c>
      <c r="BV78" s="56">
        <v>5.1369440122495096E-3</v>
      </c>
      <c r="BW78" s="56">
        <v>9.7545394235729593E-3</v>
      </c>
      <c r="BX78" s="56">
        <v>8.4436441502822E-3</v>
      </c>
      <c r="BY78" s="56">
        <v>1.1461525468716E-2</v>
      </c>
      <c r="BZ78" s="56">
        <v>1.3144711102629001E-2</v>
      </c>
      <c r="CA78" s="56">
        <v>1.3586380654124101E-2</v>
      </c>
      <c r="CB78" s="56">
        <v>9.3853087394881705E-3</v>
      </c>
      <c r="CC78" s="56">
        <v>1.2911392405063201E-2</v>
      </c>
      <c r="CD78" s="56">
        <v>1.41555520210856E-2</v>
      </c>
      <c r="CE78" s="56">
        <v>1.0306044719272401E-2</v>
      </c>
      <c r="CF78" s="56">
        <v>1.3593826229653499E-2</v>
      </c>
      <c r="CG78" s="56">
        <v>1.5752510556369798E-2</v>
      </c>
      <c r="CH78" s="56">
        <v>4.2001421586577202E-3</v>
      </c>
      <c r="CI78" s="56">
        <v>6.0486465617091102E-3</v>
      </c>
      <c r="CJ78" s="56">
        <v>8.2295753027459301E-3</v>
      </c>
      <c r="CK78" s="56">
        <v>8.7333474307464999E-3</v>
      </c>
      <c r="CL78" s="56">
        <v>7.1274343332703403E-3</v>
      </c>
      <c r="CM78" s="56">
        <v>1.19476302479029E-2</v>
      </c>
      <c r="CN78" s="56">
        <v>7.3636793714133598E-3</v>
      </c>
      <c r="CO78" s="56">
        <v>6.8402246043899302E-3</v>
      </c>
      <c r="CP78" s="56">
        <v>5.8203204218210099E-3</v>
      </c>
      <c r="CQ78" s="56">
        <v>5.8874528701333704E-3</v>
      </c>
      <c r="CR78" s="56">
        <v>2.84631882779762E-3</v>
      </c>
      <c r="CS78" s="56">
        <v>5.0368771361755096E-3</v>
      </c>
      <c r="CT78" s="56">
        <v>8.1737366505578706E-3</v>
      </c>
      <c r="CU78" s="56">
        <v>5.5430622953407402E-3</v>
      </c>
      <c r="CV78" s="56">
        <v>8.7493869543893207E-3</v>
      </c>
      <c r="CW78" s="56">
        <v>8.4790260788394408E-3</v>
      </c>
      <c r="CX78" s="56">
        <v>5.5730181074880002E-3</v>
      </c>
      <c r="CY78" s="56">
        <v>7.5940628236106401E-3</v>
      </c>
      <c r="CZ78" s="56">
        <v>4.1109969167523203E-3</v>
      </c>
      <c r="DA78" s="56">
        <v>3.8288032146782699E-3</v>
      </c>
      <c r="DB78" s="56">
        <v>9.9886706948639804E-3</v>
      </c>
      <c r="DC78" s="56">
        <v>1.346071154817E-3</v>
      </c>
      <c r="DD78" s="56">
        <v>6.3105617893617297E-3</v>
      </c>
      <c r="DE78" s="56">
        <v>7.1800961056791603E-3</v>
      </c>
      <c r="DF78" s="56">
        <v>6.6315440445050599E-3</v>
      </c>
      <c r="DG78" s="56">
        <v>3.2390293891593198E-3</v>
      </c>
      <c r="DH78" s="56">
        <v>4.3412436386187601E-3</v>
      </c>
      <c r="DI78" s="56">
        <v>7.8458437006230196E-3</v>
      </c>
      <c r="DJ78" s="56">
        <v>1.3335015227144999E-3</v>
      </c>
      <c r="DK78" s="56">
        <v>4.4270880198680196E-3</v>
      </c>
      <c r="DL78" s="56">
        <v>7.4892946087827799E-3</v>
      </c>
      <c r="DM78" s="56">
        <v>8.3583788301826393E-3</v>
      </c>
      <c r="DN78" s="56">
        <v>7.6541859931922298E-3</v>
      </c>
      <c r="DO78" s="56">
        <v>1.35468626936204E-2</v>
      </c>
      <c r="DP78" s="56">
        <v>1.20015886995113E-2</v>
      </c>
      <c r="DQ78" s="56">
        <v>1.1483857757149701E-2</v>
      </c>
      <c r="DR78" s="56">
        <v>1.2770551816050101E-2</v>
      </c>
      <c r="DS78" s="56">
        <v>1.0627311190325501E-2</v>
      </c>
      <c r="DT78" s="56">
        <v>1.07463080168777E-2</v>
      </c>
      <c r="DU78" s="56">
        <v>1.2491031243885099E-2</v>
      </c>
      <c r="DV78" s="56">
        <v>1.1950394588500401E-2</v>
      </c>
      <c r="DW78" s="56">
        <v>3.8992869875222901E-3</v>
      </c>
      <c r="DX78" s="56">
        <v>2.5999968292722601E-3</v>
      </c>
      <c r="DY78" s="56">
        <v>1.92912825540392E-3</v>
      </c>
      <c r="DZ78" s="56">
        <v>5.8867162224009997E-3</v>
      </c>
      <c r="EA78" s="56">
        <v>9.0215890548515105E-3</v>
      </c>
      <c r="EB78" s="56">
        <v>7.2615882197446498E-3</v>
      </c>
      <c r="EC78" s="56">
        <v>8.4442248911666996E-3</v>
      </c>
      <c r="ED78" s="56">
        <v>1.4251817833907301E-2</v>
      </c>
      <c r="EE78" s="56">
        <v>7.6974160830722805E-4</v>
      </c>
      <c r="EF78" s="56">
        <v>6.6358001417647899E-3</v>
      </c>
      <c r="EG78" s="56">
        <v>7.8805039926887997E-3</v>
      </c>
      <c r="EH78" s="56">
        <v>1.27540023486392E-2</v>
      </c>
      <c r="EI78" s="56">
        <v>1.4340021429305501E-2</v>
      </c>
      <c r="EJ78" s="56">
        <v>1.61486369161312E-2</v>
      </c>
      <c r="EK78" s="56">
        <v>1.7301777170197999E-2</v>
      </c>
      <c r="EL78" s="56">
        <v>9.05667772505225E-3</v>
      </c>
      <c r="EM78" s="56">
        <v>1.2818022917071299E-2</v>
      </c>
      <c r="EN78" s="56">
        <v>1.6025202027119701E-2</v>
      </c>
      <c r="EO78" s="56">
        <v>1.6325155028309401E-2</v>
      </c>
      <c r="EP78" s="56">
        <v>7.1493944900584703E-3</v>
      </c>
      <c r="EQ78" s="56">
        <v>1.54484393520347E-2</v>
      </c>
      <c r="ER78" s="56">
        <v>1.0155246877553399E-2</v>
      </c>
      <c r="ES78" s="56">
        <v>1.0553886449426101E-2</v>
      </c>
      <c r="ET78" s="56">
        <v>1.9134014331452901E-2</v>
      </c>
      <c r="EU78" s="56">
        <v>1.0833520333108901E-2</v>
      </c>
      <c r="EV78" s="56">
        <v>1.0951740808800899E-2</v>
      </c>
      <c r="EW78" s="56">
        <v>1.4334337753595799E-2</v>
      </c>
      <c r="EX78" s="56">
        <v>1.61162292834292E-2</v>
      </c>
      <c r="EY78" s="56">
        <v>1.4002319910991099E-2</v>
      </c>
      <c r="EZ78" s="56">
        <v>1.3517141556455701E-2</v>
      </c>
      <c r="FA78" s="56">
        <v>-1.2012392458567001E-2</v>
      </c>
      <c r="FB78" s="56">
        <v>-1.28695327800056E-2</v>
      </c>
      <c r="FC78" s="56">
        <v>2.3027869626830498E-3</v>
      </c>
      <c r="FD78" s="56">
        <v>5.2076583210602899E-3</v>
      </c>
      <c r="FE78" s="56">
        <v>7.2084109849150898E-3</v>
      </c>
      <c r="FF78" s="56">
        <v>9.97300190848582E-3</v>
      </c>
      <c r="FG78" s="56">
        <v>6.7289633478897501E-3</v>
      </c>
      <c r="FH78" s="56">
        <v>5.2762294988153401E-3</v>
      </c>
      <c r="FI78" s="56">
        <v>8.4135983787598807E-3</v>
      </c>
      <c r="FJ78" s="56">
        <v>1.0172400167094E-2</v>
      </c>
      <c r="FK78" s="56">
        <v>1.21599570825044E-2</v>
      </c>
      <c r="FL78" s="56">
        <v>5.1125195998322796E-3</v>
      </c>
      <c r="FM78" s="56">
        <v>-1.23043120021982E-3</v>
      </c>
      <c r="FN78" s="56">
        <v>1.2121478776412601E-2</v>
      </c>
      <c r="FO78" s="56">
        <v>9.7810139651155495E-5</v>
      </c>
      <c r="FP78" s="56">
        <v>5.9549682691471002E-3</v>
      </c>
      <c r="FQ78" s="56">
        <v>1.22499243831828E-2</v>
      </c>
      <c r="FR78" s="56">
        <v>1.140802083111E-2</v>
      </c>
      <c r="FS78" s="56">
        <v>5.1068319704563603E-3</v>
      </c>
      <c r="FT78" s="56">
        <v>7.9152625998593108E-3</v>
      </c>
      <c r="FU78" s="56">
        <v>5.7804672283960903E-3</v>
      </c>
      <c r="FV78" s="56">
        <v>7.9943666639052894E-3</v>
      </c>
      <c r="FW78" s="56">
        <v>3.10252722416271E-3</v>
      </c>
      <c r="FX78" s="56">
        <v>5.3153356137727297E-3</v>
      </c>
      <c r="FY78" s="56">
        <v>-8.7611169405366095E-4</v>
      </c>
      <c r="FZ78" s="56">
        <v>-9.1868468009176397E-3</v>
      </c>
      <c r="GA78" s="56">
        <v>6.2671084858087998E-3</v>
      </c>
      <c r="GB78" s="56">
        <v>6.3405704468055802E-4</v>
      </c>
      <c r="GC78" s="56">
        <v>-3.86325310439983E-3</v>
      </c>
      <c r="GD78" s="56">
        <v>-8.0232283747319107E-3</v>
      </c>
      <c r="GE78" s="56">
        <v>7.5606350519727998E-3</v>
      </c>
      <c r="GF78" s="56">
        <v>3.14116777531415E-3</v>
      </c>
      <c r="GG78" s="56">
        <v>4.8709604797281302E-3</v>
      </c>
      <c r="GH78" s="56">
        <v>9.2262571539136803E-3</v>
      </c>
      <c r="GI78" s="56">
        <v>1.8061834032936401E-3</v>
      </c>
      <c r="GJ78" s="56">
        <v>8.8736238832427504E-3</v>
      </c>
      <c r="GK78" s="56">
        <v>1.28189768779201E-2</v>
      </c>
      <c r="GL78" s="56">
        <v>1.29228767447362E-2</v>
      </c>
      <c r="GM78" s="56">
        <v>1.01986200722077E-2</v>
      </c>
      <c r="GN78" s="56">
        <v>8.9781999287139608E-3</v>
      </c>
      <c r="GO78" s="56">
        <v>4.3727742292747297E-3</v>
      </c>
      <c r="GP78" s="56">
        <v>-4.3157124252593002E-3</v>
      </c>
      <c r="GQ78" s="56">
        <v>6.8453261793150998E-3</v>
      </c>
      <c r="GR78" s="56">
        <v>3.7549781907833001E-3</v>
      </c>
      <c r="GS78" s="56">
        <v>6.06484280532049E-3</v>
      </c>
      <c r="GT78" s="56">
        <v>1.2892260887528401E-2</v>
      </c>
      <c r="GU78" s="56">
        <v>-2.1136357315682001E-3</v>
      </c>
      <c r="GV78" s="56">
        <v>1.2049088189663999E-2</v>
      </c>
      <c r="GW78" s="56">
        <v>1.2502294841197E-2</v>
      </c>
      <c r="GX78" s="56">
        <v>2.2329604177621299E-2</v>
      </c>
      <c r="GY78" s="56">
        <v>1.84543076309138E-2</v>
      </c>
      <c r="GZ78" s="56">
        <v>1.5829893944934802E-2</v>
      </c>
      <c r="HA78" s="56">
        <v>1.9097579373242898E-2</v>
      </c>
      <c r="HB78" s="56">
        <v>2.2011573528917E-2</v>
      </c>
      <c r="HC78">
        <v>3.27630052094907E-2</v>
      </c>
      <c r="HD78">
        <v>4.1836002868755901E-3</v>
      </c>
      <c r="HE78">
        <v>6.7690354322897904E-3</v>
      </c>
      <c r="HF78">
        <v>-1.5764416558927699E-5</v>
      </c>
      <c r="HG78">
        <v>-7.2438636041176601E-3</v>
      </c>
      <c r="HH78">
        <v>1.4053530453285799E-2</v>
      </c>
      <c r="HI78">
        <v>1.6207709232130001E-3</v>
      </c>
      <c r="HJ78">
        <v>9.4431068446889609E-3</v>
      </c>
    </row>
    <row r="79" spans="1:218" x14ac:dyDescent="0.35">
      <c r="A79" s="56" t="s">
        <v>2274</v>
      </c>
      <c r="B79" s="56">
        <v>1.98894115705208E-2</v>
      </c>
      <c r="C79" s="56">
        <v>1.98894115705208E-2</v>
      </c>
      <c r="D79" s="56">
        <v>1.7640394885903899E-2</v>
      </c>
      <c r="E79" s="56">
        <v>1.6857506361323198E-2</v>
      </c>
      <c r="F79" s="56">
        <v>2.4554269627776099E-2</v>
      </c>
      <c r="G79" s="56">
        <v>1.8775759426041799E-2</v>
      </c>
      <c r="H79" s="56">
        <v>1.50584357207071E-2</v>
      </c>
      <c r="I79" s="56">
        <v>9.0781607498708894E-3</v>
      </c>
      <c r="J79" s="56">
        <v>2.5234055002925498E-2</v>
      </c>
      <c r="K79" s="56">
        <v>1.3126917314689301E-2</v>
      </c>
      <c r="L79" s="56">
        <v>1.55622843461729E-2</v>
      </c>
      <c r="M79" s="56">
        <v>1.2411593398973899E-2</v>
      </c>
      <c r="N79" s="56">
        <v>1.9724676392027799E-2</v>
      </c>
      <c r="O79" s="56">
        <v>1.6925246826516201E-2</v>
      </c>
      <c r="P79" s="56">
        <v>1.15580212667592E-2</v>
      </c>
      <c r="Q79" s="56">
        <v>1.6779838077827E-2</v>
      </c>
      <c r="R79" s="56">
        <v>2.42727798112117E-2</v>
      </c>
      <c r="S79" s="56">
        <v>2.6894865525672201E-2</v>
      </c>
      <c r="T79" s="56">
        <v>2.8754578754578701E-2</v>
      </c>
      <c r="U79" s="56">
        <v>2.61705536763399E-2</v>
      </c>
      <c r="V79" s="56">
        <v>1.9951422623178301E-2</v>
      </c>
      <c r="W79" s="56">
        <v>2.4097068662471102E-2</v>
      </c>
      <c r="X79" s="56">
        <v>1.5391429520540199E-2</v>
      </c>
      <c r="Y79" s="56">
        <v>1.4558342420937899E-2</v>
      </c>
      <c r="Z79" s="56">
        <v>1.30058580104262E-2</v>
      </c>
      <c r="AA79" s="56">
        <v>1.3051090243514101E-2</v>
      </c>
      <c r="AB79" s="56">
        <v>8.7457449594134894E-3</v>
      </c>
      <c r="AC79" s="56">
        <v>1.32385006749038E-2</v>
      </c>
      <c r="AD79" s="56">
        <v>2.0290003586616898E-2</v>
      </c>
      <c r="AE79" s="56">
        <v>1.9886506302415601E-2</v>
      </c>
      <c r="AF79" s="56">
        <v>1.78738490324486E-2</v>
      </c>
      <c r="AG79" s="56">
        <v>1.8333978328173298E-2</v>
      </c>
      <c r="AH79" s="56">
        <v>1.45361265498076E-2</v>
      </c>
      <c r="AI79" s="56">
        <v>1.6060308095706199E-2</v>
      </c>
      <c r="AJ79" s="56">
        <v>1.42857142857145E-2</v>
      </c>
      <c r="AK79" s="56">
        <v>1.3402998636983E-2</v>
      </c>
      <c r="AL79" s="56">
        <v>2.4568482403048798E-2</v>
      </c>
      <c r="AM79" s="56">
        <v>2.1835207631383E-2</v>
      </c>
      <c r="AN79" s="56">
        <v>3.5157588215141998E-2</v>
      </c>
      <c r="AO79" s="56">
        <v>1.7167914615480201E-2</v>
      </c>
      <c r="AP79" s="56">
        <v>2.57035952497153E-2</v>
      </c>
      <c r="AQ79" s="56">
        <v>2.71609833465505E-2</v>
      </c>
      <c r="AR79" s="56">
        <v>2.7793862188766599E-2</v>
      </c>
      <c r="AS79" s="56">
        <v>2.6591549295774699E-2</v>
      </c>
      <c r="AT79" s="56">
        <v>3.3549189624263703E-2</v>
      </c>
      <c r="AU79" s="56">
        <v>2.08849557522124E-2</v>
      </c>
      <c r="AV79" s="56">
        <v>1.1962552011095799E-2</v>
      </c>
      <c r="AW79" s="56">
        <v>1.5350351207812101E-2</v>
      </c>
      <c r="AX79" s="56">
        <v>1.75142577531806E-2</v>
      </c>
      <c r="AY79" s="56">
        <v>1.59525072963651E-2</v>
      </c>
      <c r="AZ79" s="56">
        <v>1.6616067639473799E-2</v>
      </c>
      <c r="BA79" s="56">
        <v>1.4995825573181E-2</v>
      </c>
      <c r="BB79" s="56">
        <v>8.6051441045271702E-3</v>
      </c>
      <c r="BC79" s="56">
        <v>1.3644490448856799E-2</v>
      </c>
      <c r="BD79" s="56">
        <v>1.1696992202005201E-2</v>
      </c>
      <c r="BE79" s="56">
        <v>9.3901021594173795E-3</v>
      </c>
      <c r="BF79" s="56">
        <v>1.75146207690677E-2</v>
      </c>
      <c r="BG79" s="56">
        <v>1.0899669436254899E-2</v>
      </c>
      <c r="BH79" s="56">
        <v>1.0752688172042999E-2</v>
      </c>
      <c r="BI79" s="56">
        <v>1.18041387350627E-2</v>
      </c>
      <c r="BJ79" s="56">
        <v>1.3221950165634299E-2</v>
      </c>
      <c r="BK79" s="56">
        <v>1.14288963438904E-2</v>
      </c>
      <c r="BL79" s="56">
        <v>9.2759163480997699E-3</v>
      </c>
      <c r="BM79" s="56">
        <v>1.0081880465660401E-2</v>
      </c>
      <c r="BN79" s="56">
        <v>3.6395720745561202E-3</v>
      </c>
      <c r="BO79" s="56">
        <v>3.0219780219780099E-3</v>
      </c>
      <c r="BP79" s="56">
        <v>8.5456039441249593E-3</v>
      </c>
      <c r="BQ79" s="56">
        <v>1.3171473575579899E-2</v>
      </c>
      <c r="BR79" s="56">
        <v>1.6216795775591701E-2</v>
      </c>
      <c r="BS79" s="56">
        <v>1.3135682633467E-2</v>
      </c>
      <c r="BT79" s="56">
        <v>1.2705024733142599E-2</v>
      </c>
      <c r="BU79" s="56">
        <v>6.1185665072753803E-3</v>
      </c>
      <c r="BV79" s="56">
        <v>4.4204824202778202E-3</v>
      </c>
      <c r="BW79" s="56">
        <v>1.07863339184411E-2</v>
      </c>
      <c r="BX79" s="56">
        <v>8.9094707170362906E-3</v>
      </c>
      <c r="BY79" s="56">
        <v>1.2946840621648E-2</v>
      </c>
      <c r="BZ79" s="56">
        <v>1.51701718957789E-2</v>
      </c>
      <c r="CA79" s="56">
        <v>1.48949590024743E-2</v>
      </c>
      <c r="CB79" s="56">
        <v>9.8479778181470596E-3</v>
      </c>
      <c r="CC79" s="56">
        <v>1.4698920658966099E-2</v>
      </c>
      <c r="CD79" s="56">
        <v>1.58389512234949E-2</v>
      </c>
      <c r="CE79" s="56">
        <v>1.06778726922017E-2</v>
      </c>
      <c r="CF79" s="56">
        <v>1.4518437734305899E-2</v>
      </c>
      <c r="CG79" s="56">
        <v>1.89465197527545E-2</v>
      </c>
      <c r="CH79" s="56">
        <v>4.7474614268758798E-3</v>
      </c>
      <c r="CI79" s="56">
        <v>6.2781642385265598E-3</v>
      </c>
      <c r="CJ79" s="56">
        <v>9.5432707984608508E-3</v>
      </c>
      <c r="CK79" s="56">
        <v>1.1391042204995899E-2</v>
      </c>
      <c r="CL79" s="56">
        <v>9.4104622197619392E-3</v>
      </c>
      <c r="CM79" s="56">
        <v>1.3604437788698799E-2</v>
      </c>
      <c r="CN79" s="56">
        <v>8.5525220575994893E-3</v>
      </c>
      <c r="CO79" s="56">
        <v>7.3245713578311599E-3</v>
      </c>
      <c r="CP79" s="56">
        <v>5.46884601204356E-3</v>
      </c>
      <c r="CQ79" s="56">
        <v>5.90763714885201E-3</v>
      </c>
      <c r="CR79" s="56">
        <v>3.2604953522752402E-3</v>
      </c>
      <c r="CS79" s="56">
        <v>5.1069842551474398E-3</v>
      </c>
      <c r="CT79" s="56">
        <v>8.3746711385135307E-3</v>
      </c>
      <c r="CU79" s="56">
        <v>5.8155745867356501E-3</v>
      </c>
      <c r="CV79" s="56">
        <v>8.7323274325767902E-3</v>
      </c>
      <c r="CW79" s="56">
        <v>8.5389553029857606E-3</v>
      </c>
      <c r="CX79" s="56">
        <v>4.5934057378644901E-3</v>
      </c>
      <c r="CY79" s="56">
        <v>7.69171155112969E-3</v>
      </c>
      <c r="CZ79" s="56">
        <v>3.78766030262812E-3</v>
      </c>
      <c r="DA79" s="56">
        <v>3.3902850137910198E-3</v>
      </c>
      <c r="DB79" s="56">
        <v>1.1014603417008899E-2</v>
      </c>
      <c r="DC79" s="56">
        <v>1.41610966353234E-3</v>
      </c>
      <c r="DD79" s="56">
        <v>6.6180213812998502E-3</v>
      </c>
      <c r="DE79" s="56">
        <v>8.1104368022777394E-3</v>
      </c>
      <c r="DF79" s="56">
        <v>6.8560599022686698E-3</v>
      </c>
      <c r="DG79" s="56">
        <v>2.3989665990036299E-3</v>
      </c>
      <c r="DH79" s="56">
        <v>4.7680412371133903E-3</v>
      </c>
      <c r="DI79" s="56">
        <v>8.1716411073855504E-3</v>
      </c>
      <c r="DJ79" s="56">
        <v>1.58109950022722E-3</v>
      </c>
      <c r="DK79" s="56">
        <v>5.3164465089272604E-3</v>
      </c>
      <c r="DL79" s="56">
        <v>7.7971302229040704E-3</v>
      </c>
      <c r="DM79" s="56">
        <v>9.0083636298512494E-3</v>
      </c>
      <c r="DN79" s="56">
        <v>8.5374511892082304E-3</v>
      </c>
      <c r="DO79" s="56">
        <v>1.49944562749689E-2</v>
      </c>
      <c r="DP79" s="56">
        <v>1.3853969795224699E-2</v>
      </c>
      <c r="DQ79" s="56">
        <v>1.21938705705296E-2</v>
      </c>
      <c r="DR79" s="56">
        <v>1.39562389118866E-2</v>
      </c>
      <c r="DS79" s="56">
        <v>1.04480845178383E-2</v>
      </c>
      <c r="DT79" s="56">
        <v>1.17418120650419E-2</v>
      </c>
      <c r="DU79" s="56">
        <v>1.4083129584352001E-2</v>
      </c>
      <c r="DV79" s="56">
        <v>1.3357122191146801E-2</v>
      </c>
      <c r="DW79" s="56">
        <v>4.2192085018637497E-3</v>
      </c>
      <c r="DX79" s="56">
        <v>2.4798218319093102E-3</v>
      </c>
      <c r="DY79" s="56">
        <v>1.1029180059241E-3</v>
      </c>
      <c r="DZ79" s="56">
        <v>6.2482294060248701E-3</v>
      </c>
      <c r="EA79" s="56">
        <v>9.8850394932352703E-3</v>
      </c>
      <c r="EB79" s="56">
        <v>8.2549909396441006E-3</v>
      </c>
      <c r="EC79" s="56">
        <v>1.0061443932411601E-2</v>
      </c>
      <c r="ED79" s="56">
        <v>1.5725039920918601E-2</v>
      </c>
      <c r="EE79" s="56">
        <v>7.0370869454539097E-4</v>
      </c>
      <c r="EF79" s="56">
        <v>7.9148961637440802E-3</v>
      </c>
      <c r="EG79" s="56">
        <v>9.1293698508128109E-3</v>
      </c>
      <c r="EH79" s="56">
        <v>1.42247719917623E-2</v>
      </c>
      <c r="EI79" s="56">
        <v>1.3387094434855799E-2</v>
      </c>
      <c r="EJ79" s="56">
        <v>1.3582367253470701E-2</v>
      </c>
      <c r="EK79" s="56">
        <v>1.5730241884240201E-2</v>
      </c>
      <c r="EL79" s="56">
        <v>9.2030083549969905E-3</v>
      </c>
      <c r="EM79" s="56">
        <v>1.14195192506372E-2</v>
      </c>
      <c r="EN79" s="56">
        <v>1.45456526476355E-2</v>
      </c>
      <c r="EO79" s="56">
        <v>1.69011437469795E-2</v>
      </c>
      <c r="EP79" s="56">
        <v>7.3794405354383804E-3</v>
      </c>
      <c r="EQ79" s="56">
        <v>1.3851395623116301E-2</v>
      </c>
      <c r="ER79" s="56">
        <v>9.2545917510049609E-3</v>
      </c>
      <c r="ES79" s="56">
        <v>7.4664139441362699E-3</v>
      </c>
      <c r="ET79" s="56">
        <v>1.7656929296011099E-2</v>
      </c>
      <c r="EU79" s="56">
        <v>1.09174942227219E-2</v>
      </c>
      <c r="EV79" s="56">
        <v>1.1256780634877599E-2</v>
      </c>
      <c r="EW79" s="56">
        <v>1.49560117302052E-2</v>
      </c>
      <c r="EX79" s="56">
        <v>1.77333140710778E-2</v>
      </c>
      <c r="EY79" s="56">
        <v>1.5543489832854101E-2</v>
      </c>
      <c r="EZ79" s="56">
        <v>1.36632071845406E-2</v>
      </c>
      <c r="FA79" s="56">
        <v>-1.92360728075015E-2</v>
      </c>
      <c r="FB79" s="56">
        <v>-1.7469244288224901E-2</v>
      </c>
      <c r="FC79" s="56">
        <v>5.0680308613268998E-3</v>
      </c>
      <c r="FD79" s="56">
        <v>8.6849224052014708E-3</v>
      </c>
      <c r="FE79" s="56">
        <v>9.1276936106143795E-3</v>
      </c>
      <c r="FF79" s="56">
        <v>1.16094740768369E-2</v>
      </c>
      <c r="FG79" s="56">
        <v>7.2705904042034098E-3</v>
      </c>
      <c r="FH79" s="56">
        <v>5.7538978940505602E-3</v>
      </c>
      <c r="FI79" s="56">
        <v>9.3150747253247807E-3</v>
      </c>
      <c r="FJ79" s="56">
        <v>1.11109859027958E-2</v>
      </c>
      <c r="FK79" s="56">
        <v>1.26160464520155E-2</v>
      </c>
      <c r="FL79" s="56">
        <v>3.7310558117522601E-3</v>
      </c>
      <c r="FM79" s="56">
        <v>-3.62946555845511E-3</v>
      </c>
      <c r="FN79" s="56">
        <v>1.32061144309814E-2</v>
      </c>
      <c r="FO79" s="56">
        <v>-1.6075249546525501E-3</v>
      </c>
      <c r="FP79" s="56">
        <v>6.0705621253496203E-3</v>
      </c>
      <c r="FQ79" s="56">
        <v>1.4522529926360101E-2</v>
      </c>
      <c r="FR79" s="56">
        <v>1.29929652526115E-2</v>
      </c>
      <c r="FS79" s="56">
        <v>5.1452561579983201E-3</v>
      </c>
      <c r="FT79" s="56">
        <v>8.4582530776315893E-3</v>
      </c>
      <c r="FU79" s="56">
        <v>5.43929579804026E-3</v>
      </c>
      <c r="FV79" s="56">
        <v>8.4967995044393802E-3</v>
      </c>
      <c r="FW79" s="56">
        <v>2.8357032441672599E-3</v>
      </c>
      <c r="FX79" s="56">
        <v>5.45120457329529E-3</v>
      </c>
      <c r="FY79" s="56">
        <v>-1.41125347736915E-3</v>
      </c>
      <c r="FZ79" s="56">
        <v>-1.1061969396573701E-2</v>
      </c>
      <c r="GA79" s="56">
        <v>6.7237603709378001E-3</v>
      </c>
      <c r="GB79" s="56">
        <v>1.6339702413170599E-4</v>
      </c>
      <c r="GC79" s="56">
        <v>-4.5641585917477502E-3</v>
      </c>
      <c r="GD79" s="56">
        <v>-9.2419735357471798E-3</v>
      </c>
      <c r="GE79" s="56">
        <v>7.4646181242170604E-3</v>
      </c>
      <c r="GF79" s="56">
        <v>3.68924057136977E-3</v>
      </c>
      <c r="GG79" s="56">
        <v>4.8940810287809696E-3</v>
      </c>
      <c r="GH79" s="56">
        <v>9.8627568850804294E-3</v>
      </c>
      <c r="GI79" s="56">
        <v>1.0391968924987601E-3</v>
      </c>
      <c r="GJ79" s="56">
        <v>8.9701465459897101E-3</v>
      </c>
      <c r="GK79" s="56">
        <v>1.44943461062053E-2</v>
      </c>
      <c r="GL79" s="56">
        <v>1.37457044673539E-2</v>
      </c>
      <c r="GM79" s="56">
        <v>9.5964256228449098E-3</v>
      </c>
      <c r="GN79" s="56">
        <v>9.5148302434988601E-3</v>
      </c>
      <c r="GO79" s="56">
        <v>3.0686539854383201E-3</v>
      </c>
      <c r="GP79" s="56">
        <v>-6.1945389248865296E-3</v>
      </c>
      <c r="GQ79" s="56">
        <v>5.9750291581421901E-3</v>
      </c>
      <c r="GR79" s="56">
        <v>3.66826004732612E-3</v>
      </c>
      <c r="GS79" s="56">
        <v>7.1582096900950597E-3</v>
      </c>
      <c r="GT79" s="56">
        <v>1.52770073987722E-2</v>
      </c>
      <c r="GU79" s="56">
        <v>-1.8612145119172301E-3</v>
      </c>
      <c r="GV79" s="56">
        <v>1.2496173220895501E-2</v>
      </c>
      <c r="GW79" s="56">
        <v>1.4064504306395401E-2</v>
      </c>
      <c r="GX79" s="56">
        <v>2.3690987124463499E-2</v>
      </c>
      <c r="GY79" s="56">
        <v>1.7361448228991001E-2</v>
      </c>
      <c r="GZ79" s="56">
        <v>1.48268323153804E-2</v>
      </c>
      <c r="HA79" s="56">
        <v>1.7790430270233401E-2</v>
      </c>
      <c r="HB79" s="56">
        <v>2.1200463655148199E-2</v>
      </c>
      <c r="HC79">
        <v>3.3435325470068597E-2</v>
      </c>
      <c r="HD79">
        <v>1.28936749361297E-3</v>
      </c>
      <c r="HE79">
        <v>6.1205834426294502E-3</v>
      </c>
      <c r="HF79">
        <v>-2.6861544538810999E-3</v>
      </c>
      <c r="HG79">
        <v>-9.0228542004990898E-3</v>
      </c>
      <c r="HH79">
        <v>1.6627230287139499E-2</v>
      </c>
      <c r="HI79">
        <v>1.4153613889411601E-3</v>
      </c>
      <c r="HJ79">
        <v>1.0262571060649E-2</v>
      </c>
    </row>
    <row r="80" spans="1:218" x14ac:dyDescent="0.35">
      <c r="A80" s="56" t="s">
        <v>2275</v>
      </c>
      <c r="B80" s="56">
        <v>2.51540041067762E-2</v>
      </c>
      <c r="C80" s="56">
        <v>2.51540041067762E-2</v>
      </c>
      <c r="D80" s="56">
        <v>1.93415122684026E-2</v>
      </c>
      <c r="E80" s="56">
        <v>2.5422167638931702E-2</v>
      </c>
      <c r="F80" s="56">
        <v>1.6827354931432802E-2</v>
      </c>
      <c r="G80" s="56">
        <v>1.5959952885747902E-2</v>
      </c>
      <c r="H80" s="56">
        <v>1.0897918961219499E-2</v>
      </c>
      <c r="I80" s="56">
        <v>1.73175067377715E-2</v>
      </c>
      <c r="J80" s="56">
        <v>1.2795220111605899E-2</v>
      </c>
      <c r="K80" s="56">
        <v>7.0124666073019303E-3</v>
      </c>
      <c r="L80" s="56">
        <v>1.38720017685419E-2</v>
      </c>
      <c r="M80" s="56">
        <v>1.8697192695557498E-2</v>
      </c>
      <c r="N80" s="56">
        <v>1.92636986301369E-2</v>
      </c>
      <c r="O80" s="56">
        <v>2.1052078958421001E-2</v>
      </c>
      <c r="P80" s="56">
        <v>2.0360944007403702E-2</v>
      </c>
      <c r="Q80" s="56">
        <v>2.68581506676746E-2</v>
      </c>
      <c r="R80" s="56">
        <v>4.6373540092256499E-2</v>
      </c>
      <c r="S80" s="56">
        <v>6.2842939548843901E-2</v>
      </c>
      <c r="T80" s="56">
        <v>6.3892688523143407E-2</v>
      </c>
      <c r="U80" s="56">
        <v>4.1557795197212803E-2</v>
      </c>
      <c r="V80" s="56">
        <v>2.13037072432605E-2</v>
      </c>
      <c r="W80" s="56">
        <v>4.9126637554586204E-3</v>
      </c>
      <c r="X80" s="56">
        <v>3.18150073717693E-3</v>
      </c>
      <c r="Y80" s="56">
        <v>6.0720915841583302E-3</v>
      </c>
      <c r="Z80" s="56">
        <v>4.9206166147695001E-3</v>
      </c>
      <c r="AA80" s="56">
        <v>8.5689147316476699E-3</v>
      </c>
      <c r="AB80" s="56">
        <v>2.1998862127821099E-3</v>
      </c>
      <c r="AC80" s="56">
        <v>6.7744010899595296E-3</v>
      </c>
      <c r="AD80" s="56">
        <v>1.29313585444704E-2</v>
      </c>
      <c r="AE80" s="56">
        <v>9.8715950419356897E-3</v>
      </c>
      <c r="AF80" s="56">
        <v>1.3449948552109301E-2</v>
      </c>
      <c r="AG80" s="56">
        <v>1.0696932337370501E-2</v>
      </c>
      <c r="AH80" s="56">
        <v>1.24134467046964E-2</v>
      </c>
      <c r="AI80" s="56">
        <v>1.9632162727240401E-2</v>
      </c>
      <c r="AJ80" s="56">
        <v>1.9149897473325701E-2</v>
      </c>
      <c r="AK80" s="56">
        <v>1.7869322057018099E-2</v>
      </c>
      <c r="AL80" s="56">
        <v>2.0604395604395798E-2</v>
      </c>
      <c r="AM80" s="56">
        <v>2.71476873584349E-2</v>
      </c>
      <c r="AN80" s="56">
        <v>2.9210610418664198E-2</v>
      </c>
      <c r="AO80" s="56">
        <v>2.8381567507141901E-2</v>
      </c>
      <c r="AP80" s="56">
        <v>2.7296334319705198E-2</v>
      </c>
      <c r="AQ80" s="56">
        <v>2.8716712715302101E-2</v>
      </c>
      <c r="AR80" s="56">
        <v>3.2858081659475902E-2</v>
      </c>
      <c r="AS80" s="56">
        <v>2.9599712301861598E-2</v>
      </c>
      <c r="AT80" s="56">
        <v>2.83188693946641E-2</v>
      </c>
      <c r="AU80" s="56">
        <v>2.3907193060382002E-2</v>
      </c>
      <c r="AV80" s="56">
        <v>2.0490966622435301E-2</v>
      </c>
      <c r="AW80" s="56">
        <v>1.7804005901327798E-2</v>
      </c>
      <c r="AX80" s="56">
        <v>1.4028449991401201E-2</v>
      </c>
      <c r="AY80" s="56">
        <v>1.6741774482725201E-2</v>
      </c>
      <c r="AZ80" s="56">
        <v>1.17955439056356E-2</v>
      </c>
      <c r="BA80" s="56">
        <v>2.5435704192180398E-3</v>
      </c>
      <c r="BB80" s="56">
        <v>9.1618116895331202E-4</v>
      </c>
      <c r="BC80" s="56">
        <v>-1.33780834135244E-3</v>
      </c>
      <c r="BD80" s="56">
        <v>5.6404230317275204E-4</v>
      </c>
      <c r="BE80" s="56">
        <v>-2.8186216939918301E-4</v>
      </c>
      <c r="BF80" s="56">
        <v>1.08077627931014E-3</v>
      </c>
      <c r="BG80" s="56">
        <v>3.5439354111903602E-3</v>
      </c>
      <c r="BH80" s="56">
        <v>3.2273907247597502E-3</v>
      </c>
      <c r="BI80" s="56">
        <v>2.0281138541158299E-3</v>
      </c>
      <c r="BJ80" s="56">
        <v>5.5602084496555503E-3</v>
      </c>
      <c r="BK80" s="56">
        <v>3.1002012817249501E-3</v>
      </c>
      <c r="BL80" s="56">
        <v>4.0823857739233898E-3</v>
      </c>
      <c r="BM80" s="56">
        <v>5.9723434556897496E-3</v>
      </c>
      <c r="BN80" s="56">
        <v>6.2108964698361904E-3</v>
      </c>
      <c r="BO80" s="56">
        <v>1.0302727726591901E-2</v>
      </c>
      <c r="BP80" s="56">
        <v>9.0970350404311305E-3</v>
      </c>
      <c r="BQ80" s="56">
        <v>1.0818030050083499E-2</v>
      </c>
      <c r="BR80" s="56">
        <v>6.4081389971593098E-3</v>
      </c>
      <c r="BS80" s="56">
        <v>8.4241389873529506E-3</v>
      </c>
      <c r="BT80" s="56">
        <v>8.8962180224356792E-3</v>
      </c>
      <c r="BU80" s="56">
        <v>5.2906639138008398E-3</v>
      </c>
      <c r="BV80" s="56">
        <v>8.0439851956442005E-3</v>
      </c>
      <c r="BW80" s="56">
        <v>5.5179439292005698E-3</v>
      </c>
      <c r="BX80" s="56">
        <v>6.4585575888052001E-3</v>
      </c>
      <c r="BY80" s="56">
        <v>5.2637097619796496E-3</v>
      </c>
      <c r="BZ80" s="56">
        <v>4.8397863818423498E-3</v>
      </c>
      <c r="CA80" s="56">
        <v>8.1174223550903903E-3</v>
      </c>
      <c r="CB80" s="56">
        <v>7.4136617310900403E-3</v>
      </c>
      <c r="CC80" s="56">
        <v>5.5397698235859502E-3</v>
      </c>
      <c r="CD80" s="56">
        <v>7.1965846716812703E-3</v>
      </c>
      <c r="CE80" s="56">
        <v>8.8204424350073508E-3</v>
      </c>
      <c r="CF80" s="56">
        <v>9.7036874012124096E-3</v>
      </c>
      <c r="CG80" s="56">
        <v>2.6750683628580202E-3</v>
      </c>
      <c r="CH80" s="56">
        <v>1.95648307345708E-3</v>
      </c>
      <c r="CI80" s="56">
        <v>5.14792899408278E-3</v>
      </c>
      <c r="CJ80" s="56">
        <v>2.6687074429465598E-3</v>
      </c>
      <c r="CK80" s="56">
        <v>-2.5050394348005199E-3</v>
      </c>
      <c r="CL80" s="56">
        <v>-2.6094292609233302E-3</v>
      </c>
      <c r="CM80" s="56">
        <v>4.7210638130459302E-3</v>
      </c>
      <c r="CN80" s="56">
        <v>2.0557600438562101E-3</v>
      </c>
      <c r="CO80" s="56">
        <v>4.5524706434028096E-3</v>
      </c>
      <c r="CP80" s="56">
        <v>7.42988291126934E-3</v>
      </c>
      <c r="CQ80" s="56">
        <v>5.8305660668778198E-3</v>
      </c>
      <c r="CR80" s="56">
        <v>1.0173135245115099E-3</v>
      </c>
      <c r="CS80" s="56">
        <v>4.6787214051504699E-3</v>
      </c>
      <c r="CT80" s="56">
        <v>7.29077202023087E-3</v>
      </c>
      <c r="CU80" s="56">
        <v>4.3390113117456296E-3</v>
      </c>
      <c r="CV80" s="56">
        <v>8.7537259932837196E-3</v>
      </c>
      <c r="CW80" s="56">
        <v>8.3224237890406894E-3</v>
      </c>
      <c r="CX80" s="56">
        <v>9.9786701289066304E-3</v>
      </c>
      <c r="CY80" s="56">
        <v>7.1621398270067501E-3</v>
      </c>
      <c r="CZ80" s="56">
        <v>5.5066280108673196E-3</v>
      </c>
      <c r="DA80" s="56">
        <v>5.7666152869706401E-3</v>
      </c>
      <c r="DB80" s="56">
        <v>5.3729513369273896E-3</v>
      </c>
      <c r="DC80" s="56">
        <v>1.09395455605177E-3</v>
      </c>
      <c r="DD80" s="56">
        <v>4.9801153667012902E-3</v>
      </c>
      <c r="DE80" s="56">
        <v>3.2263814616755298E-3</v>
      </c>
      <c r="DF80" s="56">
        <v>5.6502194346226301E-3</v>
      </c>
      <c r="DG80" s="56">
        <v>6.8199084789484204E-3</v>
      </c>
      <c r="DH80" s="56">
        <v>2.5445292620864799E-3</v>
      </c>
      <c r="DI80" s="56">
        <v>6.4239453877121804E-3</v>
      </c>
      <c r="DJ80" s="56">
        <v>3.47844235351502E-4</v>
      </c>
      <c r="DK80" s="56">
        <v>6.0851574317144497E-4</v>
      </c>
      <c r="DL80" s="56">
        <v>6.1857103141507198E-3</v>
      </c>
      <c r="DM80" s="56">
        <v>5.6296193962837001E-3</v>
      </c>
      <c r="DN80" s="56">
        <v>4.0182711130953798E-3</v>
      </c>
      <c r="DO80" s="56">
        <v>7.4057604159540897E-3</v>
      </c>
      <c r="DP80" s="56">
        <v>4.2274324714350903E-3</v>
      </c>
      <c r="DQ80" s="56">
        <v>8.5207100591717707E-3</v>
      </c>
      <c r="DR80" s="56">
        <v>7.9122942300600095E-3</v>
      </c>
      <c r="DS80" s="56">
        <v>1.1392741908658599E-2</v>
      </c>
      <c r="DT80" s="56">
        <v>6.5448685270756996E-3</v>
      </c>
      <c r="DU80" s="56">
        <v>5.8814880164681496E-3</v>
      </c>
      <c r="DV80" s="56">
        <v>6.1719371761761498E-3</v>
      </c>
      <c r="DW80" s="56">
        <v>2.5666273870441599E-3</v>
      </c>
      <c r="DX80" s="56">
        <v>3.1396921491595501E-3</v>
      </c>
      <c r="DY80" s="56">
        <v>5.37694814053902E-3</v>
      </c>
      <c r="DZ80" s="56">
        <v>4.3903062039016803E-3</v>
      </c>
      <c r="EA80" s="56">
        <v>5.4360783939726397E-3</v>
      </c>
      <c r="EB80" s="56">
        <v>3.0669512291516799E-3</v>
      </c>
      <c r="EC80" s="56">
        <v>1.73367586565587E-3</v>
      </c>
      <c r="ED80" s="56">
        <v>8.2915086769772602E-3</v>
      </c>
      <c r="EE80" s="56">
        <v>1.04547014948664E-3</v>
      </c>
      <c r="EF80" s="56">
        <v>1.26260658114186E-3</v>
      </c>
      <c r="EG80" s="56">
        <v>2.7711180994489698E-3</v>
      </c>
      <c r="EH80" s="56">
        <v>6.5049990684964403E-3</v>
      </c>
      <c r="EI80" s="56">
        <v>1.8370841109962802E-2</v>
      </c>
      <c r="EJ80" s="56">
        <v>2.6930417133682601E-2</v>
      </c>
      <c r="EK80" s="56">
        <v>2.40117994100295E-2</v>
      </c>
      <c r="EL80" s="56">
        <v>8.4548020971366693E-3</v>
      </c>
      <c r="EM80" s="56">
        <v>1.8810254945368799E-2</v>
      </c>
      <c r="EN80" s="56">
        <v>2.22761173106041E-2</v>
      </c>
      <c r="EO80" s="56">
        <v>1.3946599744929299E-2</v>
      </c>
      <c r="EP80" s="56">
        <v>6.2079039195002102E-3</v>
      </c>
      <c r="EQ80" s="56">
        <v>2.2043899619608402E-2</v>
      </c>
      <c r="ER80" s="56">
        <v>1.3914278574904199E-2</v>
      </c>
      <c r="ES80" s="56">
        <v>2.3451585705947402E-2</v>
      </c>
      <c r="ET80" s="56">
        <v>2.5233514568520701E-2</v>
      </c>
      <c r="EU80" s="56">
        <v>1.0458130392859699E-2</v>
      </c>
      <c r="EV80" s="56">
        <v>9.6280890628823706E-3</v>
      </c>
      <c r="EW80" s="56">
        <v>1.1765846329080201E-2</v>
      </c>
      <c r="EX80" s="56">
        <v>9.4852571319072893E-3</v>
      </c>
      <c r="EY80" s="56">
        <v>7.6877446909477997E-3</v>
      </c>
      <c r="EZ80" s="56">
        <v>1.29270762203018E-2</v>
      </c>
      <c r="FA80" s="56">
        <v>1.8317913431586699E-2</v>
      </c>
      <c r="FB80" s="56">
        <v>6.2434369721045E-3</v>
      </c>
      <c r="FC80" s="56">
        <v>-8.7795914200479198E-3</v>
      </c>
      <c r="FD80" s="56">
        <v>-9.0175659438119799E-3</v>
      </c>
      <c r="FE80" s="56">
        <v>-7.7369885792799597E-4</v>
      </c>
      <c r="FF80" s="56">
        <v>2.8313879579338098E-3</v>
      </c>
      <c r="FG80" s="56">
        <v>4.3560933448574301E-3</v>
      </c>
      <c r="FH80" s="56">
        <v>3.1438963661607499E-3</v>
      </c>
      <c r="FI80" s="56">
        <v>4.4951788349134603E-3</v>
      </c>
      <c r="FJ80" s="56">
        <v>6.0350717376451701E-3</v>
      </c>
      <c r="FK80" s="56">
        <v>1.01075268817203E-2</v>
      </c>
      <c r="FL80" s="56">
        <v>1.1306208890333101E-2</v>
      </c>
      <c r="FM80" s="56">
        <v>9.3959136639631992E-3</v>
      </c>
      <c r="FN80" s="56">
        <v>7.44237102085643E-3</v>
      </c>
      <c r="FO80" s="56">
        <v>7.8341214670181198E-3</v>
      </c>
      <c r="FP80" s="56">
        <v>5.4596365287522498E-3</v>
      </c>
      <c r="FQ80" s="56">
        <v>1.9461947054904001E-3</v>
      </c>
      <c r="FR80" s="56">
        <v>3.9599497762468098E-3</v>
      </c>
      <c r="FS80" s="56">
        <v>4.9598084487771903E-3</v>
      </c>
      <c r="FT80" s="56">
        <v>5.3501531654187601E-3</v>
      </c>
      <c r="FU80" s="56">
        <v>7.4376580370083501E-3</v>
      </c>
      <c r="FV80" s="56">
        <v>5.5554388691689801E-3</v>
      </c>
      <c r="FW80" s="56">
        <v>4.4281521864000303E-3</v>
      </c>
      <c r="FX80" s="56">
        <v>4.6269820639459596E-3</v>
      </c>
      <c r="FY80" s="56">
        <v>1.64562202442542E-3</v>
      </c>
      <c r="FZ80" s="56">
        <v>-3.8231434505409101E-4</v>
      </c>
      <c r="GA80" s="56">
        <v>4.1967294453286704E-3</v>
      </c>
      <c r="GB80" s="56">
        <v>2.77926462716693E-3</v>
      </c>
      <c r="GC80" s="56">
        <v>-6.6722782237382805E-4</v>
      </c>
      <c r="GD80" s="56">
        <v>-2.4652553080027899E-3</v>
      </c>
      <c r="GE80" s="56">
        <v>8.0421776693131407E-3</v>
      </c>
      <c r="GF80" s="56">
        <v>6.02692708439712E-4</v>
      </c>
      <c r="GG80" s="56">
        <v>4.7675926209509402E-3</v>
      </c>
      <c r="GH80" s="56">
        <v>6.4011379800852398E-3</v>
      </c>
      <c r="GI80" s="56">
        <v>5.2498738011104197E-3</v>
      </c>
      <c r="GJ80" s="56">
        <v>8.4563623581401792E-3</v>
      </c>
      <c r="GK80" s="56">
        <v>5.5371867904234796E-3</v>
      </c>
      <c r="GL80" s="56">
        <v>9.3395927422550394E-3</v>
      </c>
      <c r="GM80" s="56">
        <v>1.2785665924188699E-2</v>
      </c>
      <c r="GN80" s="56">
        <v>6.61731935590137E-3</v>
      </c>
      <c r="GO80" s="56">
        <v>1.00869130003753E-2</v>
      </c>
      <c r="GP80" s="56">
        <v>3.9068083281719197E-3</v>
      </c>
      <c r="GQ80" s="56">
        <v>1.0602249537278599E-2</v>
      </c>
      <c r="GR80" s="56">
        <v>4.1795025922308797E-3</v>
      </c>
      <c r="GS80" s="56">
        <v>1.3468391369007E-3</v>
      </c>
      <c r="GT80" s="56">
        <v>2.43786252697054E-3</v>
      </c>
      <c r="GU80" s="56">
        <v>-3.17735413056042E-3</v>
      </c>
      <c r="GV80" s="56">
        <v>1.0001776016302E-2</v>
      </c>
      <c r="GW80" s="56">
        <v>5.3585806702389797E-3</v>
      </c>
      <c r="GX80" s="56">
        <v>1.6008469115345699E-2</v>
      </c>
      <c r="GY80" s="56">
        <v>2.3312705560438102E-2</v>
      </c>
      <c r="GZ80" s="56">
        <v>2.0559225088983699E-2</v>
      </c>
      <c r="HA80" s="56">
        <v>2.54546085508052E-2</v>
      </c>
      <c r="HB80" s="56">
        <v>2.59902874837139E-2</v>
      </c>
      <c r="HC80">
        <v>2.9331244330832E-2</v>
      </c>
      <c r="HD80">
        <v>1.88901439592397E-2</v>
      </c>
      <c r="HE80">
        <v>9.9382788850887992E-3</v>
      </c>
      <c r="HF80">
        <v>1.2744357682815699E-2</v>
      </c>
      <c r="HG80">
        <v>8.9171778669494604E-4</v>
      </c>
      <c r="HH80">
        <v>2.8033363542803199E-3</v>
      </c>
      <c r="HI80">
        <v>2.4968024079590201E-3</v>
      </c>
      <c r="HJ80">
        <v>6.0354640813489197E-3</v>
      </c>
    </row>
    <row r="81" spans="1:218" x14ac:dyDescent="0.35">
      <c r="A81" s="56" t="s">
        <v>2276</v>
      </c>
      <c r="B81" s="56">
        <v>545.1</v>
      </c>
      <c r="C81" s="56">
        <v>549</v>
      </c>
      <c r="D81" s="56">
        <v>555.70000000000005</v>
      </c>
      <c r="E81" s="56">
        <v>556.29999999999995</v>
      </c>
      <c r="F81" s="56">
        <v>570.5</v>
      </c>
      <c r="G81" s="56">
        <v>580.4</v>
      </c>
      <c r="H81" s="56">
        <v>588.79999999999995</v>
      </c>
      <c r="I81" s="56">
        <v>598.4</v>
      </c>
      <c r="J81" s="56">
        <v>618.5</v>
      </c>
      <c r="K81" s="56">
        <v>630.4</v>
      </c>
      <c r="L81" s="56">
        <v>642.29999999999995</v>
      </c>
      <c r="M81" s="56">
        <v>664</v>
      </c>
      <c r="N81" s="56">
        <v>683.4</v>
      </c>
      <c r="O81" s="56">
        <v>700.2</v>
      </c>
      <c r="P81" s="56">
        <v>716.2</v>
      </c>
      <c r="Q81" s="56">
        <v>735.4</v>
      </c>
      <c r="R81" s="56">
        <v>748.2</v>
      </c>
      <c r="S81" s="56">
        <v>765.3</v>
      </c>
      <c r="T81" s="56">
        <v>783.2</v>
      </c>
      <c r="U81" s="56">
        <v>792.5</v>
      </c>
      <c r="V81" s="56">
        <v>792</v>
      </c>
      <c r="W81" s="56">
        <v>800.4</v>
      </c>
      <c r="X81" s="56">
        <v>821.3</v>
      </c>
      <c r="Y81" s="56">
        <v>845.8</v>
      </c>
      <c r="Z81" s="56">
        <v>871.3</v>
      </c>
      <c r="AA81" s="56">
        <v>889.4</v>
      </c>
      <c r="AB81" s="56">
        <v>908.5</v>
      </c>
      <c r="AC81" s="56">
        <v>930</v>
      </c>
      <c r="AD81" s="56">
        <v>950.1</v>
      </c>
      <c r="AE81" s="56">
        <v>981</v>
      </c>
      <c r="AF81" s="56">
        <v>1007.6</v>
      </c>
      <c r="AG81" s="56">
        <v>1038.2</v>
      </c>
      <c r="AH81" s="56">
        <v>1063.9000000000001</v>
      </c>
      <c r="AI81" s="56">
        <v>1106.0999999999999</v>
      </c>
      <c r="AJ81" s="56">
        <v>1138.0999999999999</v>
      </c>
      <c r="AK81" s="56">
        <v>1174.5</v>
      </c>
      <c r="AL81" s="56">
        <v>1208.5999999999999</v>
      </c>
      <c r="AM81" s="56">
        <v>1234.5</v>
      </c>
      <c r="AN81" s="56">
        <v>1269.5</v>
      </c>
      <c r="AO81" s="56">
        <v>1301</v>
      </c>
      <c r="AP81" s="56">
        <v>1333.9</v>
      </c>
      <c r="AQ81" s="56">
        <v>1354</v>
      </c>
      <c r="AR81" s="56">
        <v>1377.4</v>
      </c>
      <c r="AS81" s="56">
        <v>1428.8</v>
      </c>
      <c r="AT81" s="56">
        <v>1467.8</v>
      </c>
      <c r="AU81" s="56">
        <v>1496.8</v>
      </c>
      <c r="AV81" s="56">
        <v>1530.7</v>
      </c>
      <c r="AW81" s="56">
        <v>1550.7</v>
      </c>
      <c r="AX81" s="56">
        <v>1567.7</v>
      </c>
      <c r="AY81" s="56">
        <v>1581.9</v>
      </c>
      <c r="AZ81" s="56">
        <v>1596.6</v>
      </c>
      <c r="BA81" s="56">
        <v>1604.5</v>
      </c>
      <c r="BB81" s="56">
        <v>1622.6</v>
      </c>
      <c r="BC81" s="56">
        <v>1654.8</v>
      </c>
      <c r="BD81" s="56">
        <v>1691.6</v>
      </c>
      <c r="BE81" s="56">
        <v>1741.7</v>
      </c>
      <c r="BF81" s="56">
        <v>1784.2</v>
      </c>
      <c r="BG81" s="56">
        <v>1828.4</v>
      </c>
      <c r="BH81" s="56">
        <v>1867.3</v>
      </c>
      <c r="BI81" s="56">
        <v>1900.7</v>
      </c>
      <c r="BJ81" s="56">
        <v>1932.4</v>
      </c>
      <c r="BK81" s="56">
        <v>1963.8</v>
      </c>
      <c r="BL81" s="56">
        <v>1997.6</v>
      </c>
      <c r="BM81" s="56">
        <v>2037.2</v>
      </c>
      <c r="BN81" s="56">
        <v>2065.5</v>
      </c>
      <c r="BO81" s="56">
        <v>2083.6</v>
      </c>
      <c r="BP81" s="56">
        <v>2113.1</v>
      </c>
      <c r="BQ81" s="56">
        <v>2154.1999999999998</v>
      </c>
      <c r="BR81" s="56">
        <v>2194.3000000000002</v>
      </c>
      <c r="BS81" s="56">
        <v>2231.4</v>
      </c>
      <c r="BT81" s="56">
        <v>2272</v>
      </c>
      <c r="BU81" s="56">
        <v>2332.8000000000002</v>
      </c>
      <c r="BV81" s="56">
        <v>2367.1</v>
      </c>
      <c r="BW81" s="56">
        <v>2422.5</v>
      </c>
      <c r="BX81" s="56">
        <v>2463.6</v>
      </c>
      <c r="BY81" s="56">
        <v>2509.5</v>
      </c>
      <c r="BZ81" s="56">
        <v>2541.9</v>
      </c>
      <c r="CA81" s="56">
        <v>2564.6999999999998</v>
      </c>
      <c r="CB81" s="56">
        <v>2593.5</v>
      </c>
      <c r="CC81" s="56">
        <v>2637.3</v>
      </c>
      <c r="CD81" s="56">
        <v>2686.6</v>
      </c>
      <c r="CE81" s="56">
        <v>2741</v>
      </c>
      <c r="CF81" s="56">
        <v>2771.6</v>
      </c>
      <c r="CG81" s="56">
        <v>2774.8</v>
      </c>
      <c r="CH81" s="56">
        <v>2774.1</v>
      </c>
      <c r="CI81" s="56">
        <v>2802.8</v>
      </c>
      <c r="CJ81" s="56">
        <v>2830.9</v>
      </c>
      <c r="CK81" s="56">
        <v>2861.2</v>
      </c>
      <c r="CL81" s="56">
        <v>2915.9</v>
      </c>
      <c r="CM81" s="56">
        <v>2955</v>
      </c>
      <c r="CN81" s="56">
        <v>2979.4</v>
      </c>
      <c r="CO81" s="56">
        <v>3023.8</v>
      </c>
      <c r="CP81" s="56">
        <v>3019</v>
      </c>
      <c r="CQ81" s="56">
        <v>3069.8</v>
      </c>
      <c r="CR81" s="56">
        <v>3096.9</v>
      </c>
      <c r="CS81" s="56">
        <v>3144.9</v>
      </c>
      <c r="CT81" s="56">
        <v>3156.6</v>
      </c>
      <c r="CU81" s="56">
        <v>3227.4</v>
      </c>
      <c r="CV81" s="56">
        <v>3262.7</v>
      </c>
      <c r="CW81" s="56">
        <v>3315.7</v>
      </c>
      <c r="CX81" s="56">
        <v>3362.1</v>
      </c>
      <c r="CY81" s="56">
        <v>3399.3</v>
      </c>
      <c r="CZ81" s="56">
        <v>3443</v>
      </c>
      <c r="DA81" s="56">
        <v>3484.1</v>
      </c>
      <c r="DB81" s="56">
        <v>3528.3</v>
      </c>
      <c r="DC81" s="56">
        <v>3594</v>
      </c>
      <c r="DD81" s="56">
        <v>3651.3</v>
      </c>
      <c r="DE81" s="56">
        <v>3708.7</v>
      </c>
      <c r="DF81" s="56">
        <v>3780.5</v>
      </c>
      <c r="DG81" s="56">
        <v>3840</v>
      </c>
      <c r="DH81" s="56">
        <v>3907.4</v>
      </c>
      <c r="DI81" s="56">
        <v>3997.1</v>
      </c>
      <c r="DJ81" s="56">
        <v>4079.3</v>
      </c>
      <c r="DK81" s="56">
        <v>4149.8999999999996</v>
      </c>
      <c r="DL81" s="56">
        <v>4222</v>
      </c>
      <c r="DM81" s="56">
        <v>4293.5</v>
      </c>
      <c r="DN81" s="56">
        <v>4372.7</v>
      </c>
      <c r="DO81" s="56">
        <v>4416.8999999999996</v>
      </c>
      <c r="DP81" s="56">
        <v>4480.2</v>
      </c>
      <c r="DQ81" s="56">
        <v>4591</v>
      </c>
      <c r="DR81" s="56">
        <v>4758.7</v>
      </c>
      <c r="DS81" s="56">
        <v>4786.6000000000004</v>
      </c>
      <c r="DT81" s="56">
        <v>4878.8</v>
      </c>
      <c r="DU81" s="56">
        <v>4905.7</v>
      </c>
      <c r="DV81" s="56">
        <v>4987.2</v>
      </c>
      <c r="DW81" s="56">
        <v>4969.3</v>
      </c>
      <c r="DX81" s="56">
        <v>4944.1000000000004</v>
      </c>
      <c r="DY81" s="56">
        <v>4946</v>
      </c>
      <c r="DZ81" s="56">
        <v>4953.8999999999996</v>
      </c>
      <c r="EA81" s="56">
        <v>5006.3999999999996</v>
      </c>
      <c r="EB81" s="56">
        <v>5020.5</v>
      </c>
      <c r="EC81" s="56">
        <v>5035.5</v>
      </c>
      <c r="ED81" s="56">
        <v>5035.7</v>
      </c>
      <c r="EE81" s="56">
        <v>5109.8</v>
      </c>
      <c r="EF81" s="56">
        <v>5177.3999999999996</v>
      </c>
      <c r="EG81" s="56">
        <v>5264.9</v>
      </c>
      <c r="EH81" s="56">
        <v>5284</v>
      </c>
      <c r="EI81" s="56">
        <v>5390.8</v>
      </c>
      <c r="EJ81" s="56">
        <v>5502.5</v>
      </c>
      <c r="EK81" s="56">
        <v>5546.1</v>
      </c>
      <c r="EL81" s="56">
        <v>5586.1</v>
      </c>
      <c r="EM81" s="56">
        <v>5649.4</v>
      </c>
      <c r="EN81" s="56">
        <v>5749.8</v>
      </c>
      <c r="EO81" s="56">
        <v>5826.7</v>
      </c>
      <c r="EP81" s="56">
        <v>5983.1</v>
      </c>
      <c r="EQ81" s="56">
        <v>6024.2</v>
      </c>
      <c r="ER81" s="56">
        <v>6073</v>
      </c>
      <c r="ES81" s="56">
        <v>6193</v>
      </c>
      <c r="ET81" s="56">
        <v>6354.7</v>
      </c>
      <c r="EU81" s="56">
        <v>6381.4</v>
      </c>
      <c r="EV81" s="56">
        <v>6407.7</v>
      </c>
      <c r="EW81" s="56">
        <v>6485.3</v>
      </c>
      <c r="EX81" s="56">
        <v>6552.3</v>
      </c>
      <c r="EY81" s="56">
        <v>6544.1</v>
      </c>
      <c r="EZ81" s="56">
        <v>6558</v>
      </c>
      <c r="FA81" s="56">
        <v>6529.4</v>
      </c>
      <c r="FB81" s="56">
        <v>6234.6</v>
      </c>
      <c r="FC81" s="56">
        <v>6262.8</v>
      </c>
      <c r="FD81" s="56">
        <v>6245.2</v>
      </c>
      <c r="FE81" s="56">
        <v>6286.6</v>
      </c>
      <c r="FF81" s="56">
        <v>6240.2</v>
      </c>
      <c r="FG81" s="56">
        <v>6368.2</v>
      </c>
      <c r="FH81" s="56">
        <v>6430.5</v>
      </c>
      <c r="FI81" s="56">
        <v>6481.4</v>
      </c>
      <c r="FJ81" s="56">
        <v>6584.9</v>
      </c>
      <c r="FK81" s="56">
        <v>6615.9</v>
      </c>
      <c r="FL81" s="56">
        <v>6689.7</v>
      </c>
      <c r="FM81" s="56">
        <v>6645.7</v>
      </c>
      <c r="FN81" s="56">
        <v>6844.2</v>
      </c>
      <c r="FO81" s="56">
        <v>6884.3</v>
      </c>
      <c r="FP81" s="56">
        <v>6914.2</v>
      </c>
      <c r="FQ81" s="56">
        <v>7101.8</v>
      </c>
      <c r="FR81" s="56">
        <v>7052.2</v>
      </c>
      <c r="FS81" s="56">
        <v>7111.5</v>
      </c>
      <c r="FT81" s="56">
        <v>7121.5</v>
      </c>
      <c r="FU81" s="56">
        <v>7205.1</v>
      </c>
      <c r="FV81" s="56">
        <v>7367.7</v>
      </c>
      <c r="FW81" s="56">
        <v>7418.9</v>
      </c>
      <c r="FX81" s="56">
        <v>7512.6</v>
      </c>
      <c r="FY81" s="56">
        <v>7643.9</v>
      </c>
      <c r="FZ81" s="56">
        <v>7755.9</v>
      </c>
      <c r="GA81" s="56">
        <v>7840.7</v>
      </c>
      <c r="GB81" s="56">
        <v>7913.3</v>
      </c>
      <c r="GC81" s="56">
        <v>7968.5</v>
      </c>
      <c r="GD81" s="56">
        <v>8003.5</v>
      </c>
      <c r="GE81" s="56">
        <v>8050.2</v>
      </c>
      <c r="GF81" s="56">
        <v>8130.4</v>
      </c>
      <c r="GG81" s="56">
        <v>8224.9</v>
      </c>
      <c r="GH81" s="56">
        <v>8321.2999999999993</v>
      </c>
      <c r="GI81" s="56">
        <v>8412.7999999999993</v>
      </c>
      <c r="GJ81" s="56">
        <v>8529.1</v>
      </c>
      <c r="GK81" s="56">
        <v>8676.9</v>
      </c>
      <c r="GL81" s="56">
        <v>8772.7000000000007</v>
      </c>
      <c r="GM81" s="56">
        <v>8853.5</v>
      </c>
      <c r="GN81" s="56">
        <v>8979.5</v>
      </c>
      <c r="GO81" s="56">
        <v>9034.7000000000007</v>
      </c>
      <c r="GP81" s="56">
        <v>9233.2000000000007</v>
      </c>
      <c r="GQ81" s="56">
        <v>9284.9</v>
      </c>
      <c r="GR81" s="56">
        <v>9340.9</v>
      </c>
      <c r="GS81" s="56">
        <v>9488.2000000000007</v>
      </c>
      <c r="GT81" s="56">
        <v>9635.9</v>
      </c>
      <c r="GU81" s="56">
        <v>9004.6</v>
      </c>
      <c r="GV81" s="56">
        <v>9440.7000000000007</v>
      </c>
      <c r="GW81" s="56">
        <v>9807.7999999999993</v>
      </c>
      <c r="GX81" s="56">
        <v>9888.4</v>
      </c>
      <c r="GY81" s="56">
        <v>10180</v>
      </c>
      <c r="GZ81" s="56">
        <v>10459.1</v>
      </c>
      <c r="HA81" s="56">
        <v>10766</v>
      </c>
      <c r="HB81" s="56">
        <v>10902.1</v>
      </c>
      <c r="HC81">
        <v>11004.6</v>
      </c>
      <c r="HD81">
        <v>11287.6</v>
      </c>
      <c r="HE81">
        <v>11334.1</v>
      </c>
      <c r="HF81">
        <v>11581.9</v>
      </c>
      <c r="HG81">
        <v>11750.8</v>
      </c>
      <c r="HH81">
        <v>11935</v>
      </c>
      <c r="HI81">
        <v>11994.3</v>
      </c>
      <c r="HJ81">
        <v>12157</v>
      </c>
    </row>
    <row r="82" spans="1:218" x14ac:dyDescent="0.35">
      <c r="A82" s="56" t="s">
        <v>2277</v>
      </c>
      <c r="B82" s="56">
        <v>77.099999999999994</v>
      </c>
      <c r="C82" s="56">
        <v>76.7</v>
      </c>
      <c r="D82" s="56">
        <v>78.5</v>
      </c>
      <c r="E82" s="56">
        <v>78.900000000000006</v>
      </c>
      <c r="F82" s="56">
        <v>80.3</v>
      </c>
      <c r="G82" s="56">
        <v>82.8</v>
      </c>
      <c r="H82" s="56">
        <v>84.6</v>
      </c>
      <c r="I82" s="56">
        <v>87.9</v>
      </c>
      <c r="J82" s="56">
        <v>87.9</v>
      </c>
      <c r="K82" s="56">
        <v>91.3</v>
      </c>
      <c r="L82" s="56">
        <v>95.5</v>
      </c>
      <c r="M82" s="56">
        <v>105.6</v>
      </c>
      <c r="N82" s="56">
        <v>104.1</v>
      </c>
      <c r="O82" s="56">
        <v>109.9</v>
      </c>
      <c r="P82" s="56">
        <v>113.8</v>
      </c>
      <c r="Q82" s="56">
        <v>122.2</v>
      </c>
      <c r="R82" s="56">
        <v>115.7</v>
      </c>
      <c r="S82" s="56">
        <v>108.6</v>
      </c>
      <c r="T82" s="56">
        <v>111</v>
      </c>
      <c r="U82" s="56">
        <v>113.5</v>
      </c>
      <c r="V82" s="56">
        <v>112.7</v>
      </c>
      <c r="W82" s="56">
        <v>114.3</v>
      </c>
      <c r="X82" s="56">
        <v>120.7</v>
      </c>
      <c r="Y82" s="56">
        <v>125.2</v>
      </c>
      <c r="Z82" s="56">
        <v>126.4</v>
      </c>
      <c r="AA82" s="56">
        <v>128.6</v>
      </c>
      <c r="AB82" s="56">
        <v>132.69999999999999</v>
      </c>
      <c r="AC82" s="56">
        <v>136.19999999999999</v>
      </c>
      <c r="AD82" s="56">
        <v>138.6</v>
      </c>
      <c r="AE82" s="56">
        <v>140.5</v>
      </c>
      <c r="AF82" s="56">
        <v>142.4</v>
      </c>
      <c r="AG82" s="56">
        <v>156.5</v>
      </c>
      <c r="AH82" s="56">
        <v>158.5</v>
      </c>
      <c r="AI82" s="56">
        <v>166.1</v>
      </c>
      <c r="AJ82" s="56">
        <v>168.3</v>
      </c>
      <c r="AK82" s="56">
        <v>170.9</v>
      </c>
      <c r="AL82" s="56">
        <v>180.1</v>
      </c>
      <c r="AM82" s="56">
        <v>179.2</v>
      </c>
      <c r="AN82" s="56">
        <v>180.7</v>
      </c>
      <c r="AO82" s="56">
        <v>177.8</v>
      </c>
      <c r="AP82" s="56">
        <v>167.6</v>
      </c>
      <c r="AQ82" s="56">
        <v>160.30000000000001</v>
      </c>
      <c r="AR82" s="56">
        <v>173.4</v>
      </c>
      <c r="AS82" s="56">
        <v>185</v>
      </c>
      <c r="AT82" s="56">
        <v>188.2</v>
      </c>
      <c r="AU82" s="56">
        <v>176.4</v>
      </c>
      <c r="AV82" s="56">
        <v>182.3</v>
      </c>
      <c r="AW82" s="56">
        <v>171.8</v>
      </c>
      <c r="AX82" s="56">
        <v>165.2</v>
      </c>
      <c r="AY82" s="56">
        <v>169.4</v>
      </c>
      <c r="AZ82" s="56">
        <v>170.7</v>
      </c>
      <c r="BA82" s="56">
        <v>179.5</v>
      </c>
      <c r="BB82" s="56">
        <v>183.3</v>
      </c>
      <c r="BC82" s="56">
        <v>182.6</v>
      </c>
      <c r="BD82" s="56">
        <v>183.8</v>
      </c>
      <c r="BE82" s="56">
        <v>195.3</v>
      </c>
      <c r="BF82" s="56">
        <v>221.9</v>
      </c>
      <c r="BG82" s="56">
        <v>231.8</v>
      </c>
      <c r="BH82" s="56">
        <v>232.4</v>
      </c>
      <c r="BI82" s="56">
        <v>226.9</v>
      </c>
      <c r="BJ82" s="56">
        <v>240.7</v>
      </c>
      <c r="BK82" s="56">
        <v>238.5</v>
      </c>
      <c r="BL82" s="56">
        <v>240.7</v>
      </c>
      <c r="BM82" s="56">
        <v>244.3</v>
      </c>
      <c r="BN82" s="56">
        <v>245.6</v>
      </c>
      <c r="BO82" s="56">
        <v>251.6</v>
      </c>
      <c r="BP82" s="56">
        <v>264.39999999999998</v>
      </c>
      <c r="BQ82" s="56">
        <v>264.2</v>
      </c>
      <c r="BR82" s="56">
        <v>275.39999999999998</v>
      </c>
      <c r="BS82" s="56">
        <v>282.3</v>
      </c>
      <c r="BT82" s="56">
        <v>289.5</v>
      </c>
      <c r="BU82" s="56">
        <v>298.60000000000002</v>
      </c>
      <c r="BV82" s="56">
        <v>319.2</v>
      </c>
      <c r="BW82" s="56">
        <v>322.5</v>
      </c>
      <c r="BX82" s="56">
        <v>333.6</v>
      </c>
      <c r="BY82" s="56">
        <v>326.8</v>
      </c>
      <c r="BZ82" s="56">
        <v>348.1</v>
      </c>
      <c r="CA82" s="56">
        <v>339.5</v>
      </c>
      <c r="CB82" s="56">
        <v>337.2</v>
      </c>
      <c r="CC82" s="56">
        <v>339.7</v>
      </c>
      <c r="CD82" s="56">
        <v>345.6</v>
      </c>
      <c r="CE82" s="56">
        <v>351.1</v>
      </c>
      <c r="CF82" s="56">
        <v>358.9</v>
      </c>
      <c r="CG82" s="56">
        <v>357</v>
      </c>
      <c r="CH82" s="56">
        <v>347.5</v>
      </c>
      <c r="CI82" s="56">
        <v>353</v>
      </c>
      <c r="CJ82" s="56">
        <v>353.6</v>
      </c>
      <c r="CK82" s="56">
        <v>362.6</v>
      </c>
      <c r="CL82" s="56">
        <v>378.7</v>
      </c>
      <c r="CM82" s="56">
        <v>395.2</v>
      </c>
      <c r="CN82" s="56">
        <v>407.9</v>
      </c>
      <c r="CO82" s="56">
        <v>418.8</v>
      </c>
      <c r="CP82" s="56">
        <v>418.9</v>
      </c>
      <c r="CQ82" s="56">
        <v>429.6</v>
      </c>
      <c r="CR82" s="56">
        <v>423.4</v>
      </c>
      <c r="CS82" s="56">
        <v>440</v>
      </c>
      <c r="CT82" s="56">
        <v>450.2</v>
      </c>
      <c r="CU82" s="56">
        <v>454.1</v>
      </c>
      <c r="CV82" s="56">
        <v>456.8</v>
      </c>
      <c r="CW82" s="56">
        <v>465.5</v>
      </c>
      <c r="CX82" s="56">
        <v>467.4</v>
      </c>
      <c r="CY82" s="56">
        <v>472</v>
      </c>
      <c r="CZ82" s="56">
        <v>484.5</v>
      </c>
      <c r="DA82" s="56">
        <v>501</v>
      </c>
      <c r="DB82" s="56">
        <v>523.29999999999995</v>
      </c>
      <c r="DC82" s="56">
        <v>547.5</v>
      </c>
      <c r="DD82" s="56">
        <v>547.5</v>
      </c>
      <c r="DE82" s="56">
        <v>556.79999999999995</v>
      </c>
      <c r="DF82" s="56">
        <v>575.6</v>
      </c>
      <c r="DG82" s="56">
        <v>575.1</v>
      </c>
      <c r="DH82" s="56">
        <v>588.5</v>
      </c>
      <c r="DI82" s="56">
        <v>596.6</v>
      </c>
      <c r="DJ82" s="56">
        <v>617.4</v>
      </c>
      <c r="DK82" s="56">
        <v>630.20000000000005</v>
      </c>
      <c r="DL82" s="56">
        <v>645.4</v>
      </c>
      <c r="DM82" s="56">
        <v>668.1</v>
      </c>
      <c r="DN82" s="56">
        <v>682.4</v>
      </c>
      <c r="DO82" s="56">
        <v>690.2</v>
      </c>
      <c r="DP82" s="56">
        <v>699.5</v>
      </c>
      <c r="DQ82" s="56">
        <v>713.3</v>
      </c>
      <c r="DR82" s="56">
        <v>720.6</v>
      </c>
      <c r="DS82" s="56">
        <v>750.7</v>
      </c>
      <c r="DT82" s="56">
        <v>760.3</v>
      </c>
      <c r="DU82" s="56">
        <v>782.7</v>
      </c>
      <c r="DV82" s="56">
        <v>810</v>
      </c>
      <c r="DW82" s="56">
        <v>827.8</v>
      </c>
      <c r="DX82" s="56">
        <v>845.6</v>
      </c>
      <c r="DY82" s="56">
        <v>840.9</v>
      </c>
      <c r="DZ82" s="56">
        <v>859.7</v>
      </c>
      <c r="EA82" s="56">
        <v>864.4</v>
      </c>
      <c r="EB82" s="56">
        <v>873</v>
      </c>
      <c r="EC82" s="56">
        <v>883.4</v>
      </c>
      <c r="ED82" s="56">
        <v>876.3</v>
      </c>
      <c r="EE82" s="56">
        <v>892.4</v>
      </c>
      <c r="EF82" s="56">
        <v>905.3</v>
      </c>
      <c r="EG82" s="56">
        <v>916.1</v>
      </c>
      <c r="EH82" s="56">
        <v>946.6</v>
      </c>
      <c r="EI82" s="56">
        <v>963</v>
      </c>
      <c r="EJ82" s="56">
        <v>964.2</v>
      </c>
      <c r="EK82" s="56">
        <v>977.8</v>
      </c>
      <c r="EL82" s="56">
        <v>957.1</v>
      </c>
      <c r="EM82" s="56">
        <v>963.9</v>
      </c>
      <c r="EN82" s="56">
        <v>988</v>
      </c>
      <c r="EO82" s="56">
        <v>1007.5</v>
      </c>
      <c r="EP82" s="56">
        <v>1049.5</v>
      </c>
      <c r="EQ82" s="56">
        <v>1052</v>
      </c>
      <c r="ER82" s="56">
        <v>1048.8</v>
      </c>
      <c r="ES82" s="56">
        <v>1053.2</v>
      </c>
      <c r="ET82" s="56">
        <v>1017.2</v>
      </c>
      <c r="EU82" s="56">
        <v>998.5</v>
      </c>
      <c r="EV82" s="56">
        <v>987.1</v>
      </c>
      <c r="EW82" s="56">
        <v>978.8</v>
      </c>
      <c r="EX82" s="56">
        <v>965</v>
      </c>
      <c r="EY82" s="56">
        <v>967.5</v>
      </c>
      <c r="EZ82" s="56">
        <v>957.2</v>
      </c>
      <c r="FA82" s="56">
        <v>951.5</v>
      </c>
      <c r="FB82" s="56">
        <v>913.8</v>
      </c>
      <c r="FC82" s="56">
        <v>902</v>
      </c>
      <c r="FD82" s="56">
        <v>935</v>
      </c>
      <c r="FE82" s="56">
        <v>1001.7</v>
      </c>
      <c r="FF82" s="56">
        <v>1057.0999999999999</v>
      </c>
      <c r="FG82" s="56">
        <v>1103.5</v>
      </c>
      <c r="FH82" s="56">
        <v>1129</v>
      </c>
      <c r="FI82" s="56">
        <v>1144.4000000000001</v>
      </c>
      <c r="FJ82" s="56">
        <v>1181.2</v>
      </c>
      <c r="FK82" s="56">
        <v>1211.9000000000001</v>
      </c>
      <c r="FL82" s="56">
        <v>1252.0999999999999</v>
      </c>
      <c r="FM82" s="56">
        <v>1268.2</v>
      </c>
      <c r="FN82" s="56">
        <v>1297.7</v>
      </c>
      <c r="FO82" s="56">
        <v>1308.7</v>
      </c>
      <c r="FP82" s="56">
        <v>1286.8</v>
      </c>
      <c r="FQ82" s="56">
        <v>1306.5999999999999</v>
      </c>
      <c r="FR82" s="56">
        <v>1339.6</v>
      </c>
      <c r="FS82" s="56">
        <v>1364.1</v>
      </c>
      <c r="FT82" s="56">
        <v>1363.1</v>
      </c>
      <c r="FU82" s="56">
        <v>1340.1</v>
      </c>
      <c r="FV82" s="56">
        <v>1349.4</v>
      </c>
      <c r="FW82" s="56">
        <v>1376.7</v>
      </c>
      <c r="FX82" s="56">
        <v>1381.9</v>
      </c>
      <c r="FY82" s="56">
        <v>1371.7</v>
      </c>
      <c r="FZ82" s="56">
        <v>1356.1</v>
      </c>
      <c r="GA82" s="56">
        <v>1339.9</v>
      </c>
      <c r="GB82" s="56">
        <v>1352.3</v>
      </c>
      <c r="GC82" s="56">
        <v>1342.5</v>
      </c>
      <c r="GD82" s="56">
        <v>1335.9</v>
      </c>
      <c r="GE82" s="56">
        <v>1334</v>
      </c>
      <c r="GF82" s="56">
        <v>1355.9</v>
      </c>
      <c r="GG82" s="56">
        <v>1371.1</v>
      </c>
      <c r="GH82" s="56">
        <v>1409.4</v>
      </c>
      <c r="GI82" s="56">
        <v>1419.7</v>
      </c>
      <c r="GJ82" s="56">
        <v>1423.9</v>
      </c>
      <c r="GK82" s="56">
        <v>1461.5</v>
      </c>
      <c r="GL82" s="56">
        <v>1472.2</v>
      </c>
      <c r="GM82" s="56">
        <v>1479.6</v>
      </c>
      <c r="GN82" s="56">
        <v>1499.9</v>
      </c>
      <c r="GO82" s="56">
        <v>1529.7</v>
      </c>
      <c r="GP82" s="56">
        <v>1531.8</v>
      </c>
      <c r="GQ82" s="56">
        <v>1533.5</v>
      </c>
      <c r="GR82" s="56">
        <v>1570.1</v>
      </c>
      <c r="GS82" s="56">
        <v>1581.1</v>
      </c>
      <c r="GT82" s="56">
        <v>1577.7</v>
      </c>
      <c r="GU82" s="56">
        <v>1411.5</v>
      </c>
      <c r="GV82" s="56">
        <v>1691.6</v>
      </c>
      <c r="GW82" s="56">
        <v>1654.4</v>
      </c>
      <c r="GX82" s="56">
        <v>1650.2</v>
      </c>
      <c r="GY82" s="56">
        <v>1784.1</v>
      </c>
      <c r="GZ82" s="56">
        <v>1792.8</v>
      </c>
      <c r="HA82" s="56">
        <v>1769.2</v>
      </c>
      <c r="HB82" s="56">
        <v>1756.4</v>
      </c>
      <c r="HC82">
        <v>1774.4</v>
      </c>
      <c r="HD82">
        <v>1807.4</v>
      </c>
      <c r="HE82">
        <v>1825.3</v>
      </c>
      <c r="HF82">
        <v>1827.4</v>
      </c>
      <c r="HG82">
        <v>1824.1</v>
      </c>
      <c r="HH82">
        <v>1859.6</v>
      </c>
      <c r="HI82">
        <v>1882.6</v>
      </c>
      <c r="HJ82">
        <v>1890.4</v>
      </c>
    </row>
    <row r="83" spans="1:218" x14ac:dyDescent="0.35">
      <c r="A83" s="56" t="s">
        <v>2278</v>
      </c>
      <c r="B83" s="56">
        <v>20.399999999999999</v>
      </c>
      <c r="C83" s="56">
        <v>20.2</v>
      </c>
      <c r="D83" s="56">
        <v>20.9</v>
      </c>
      <c r="E83" s="56">
        <v>21.2</v>
      </c>
      <c r="F83" s="56">
        <v>21.1</v>
      </c>
      <c r="G83" s="56">
        <v>21.7</v>
      </c>
      <c r="H83" s="56">
        <v>22</v>
      </c>
      <c r="I83" s="56">
        <v>22.5</v>
      </c>
      <c r="J83" s="56">
        <v>23.1</v>
      </c>
      <c r="K83" s="56">
        <v>20.2</v>
      </c>
      <c r="L83" s="56">
        <v>23.9</v>
      </c>
      <c r="M83" s="56">
        <v>23.8</v>
      </c>
      <c r="N83" s="56">
        <v>23.5</v>
      </c>
      <c r="O83" s="56">
        <v>23.3</v>
      </c>
      <c r="P83" s="56">
        <v>22.3</v>
      </c>
      <c r="Q83" s="56">
        <v>23.3</v>
      </c>
      <c r="R83" s="56">
        <v>23.5</v>
      </c>
      <c r="S83" s="56">
        <v>22.9</v>
      </c>
      <c r="T83" s="56">
        <v>23.3</v>
      </c>
      <c r="U83" s="56">
        <v>23</v>
      </c>
      <c r="V83" s="56">
        <v>22.7</v>
      </c>
      <c r="W83" s="56">
        <v>22.4</v>
      </c>
      <c r="X83" s="56">
        <v>22.2</v>
      </c>
      <c r="Y83" s="56">
        <v>21.9</v>
      </c>
      <c r="Z83" s="56">
        <v>21.6</v>
      </c>
      <c r="AA83" s="56">
        <v>20.5</v>
      </c>
      <c r="AB83" s="56">
        <v>20</v>
      </c>
      <c r="AC83" s="56">
        <v>19.100000000000001</v>
      </c>
      <c r="AD83" s="56">
        <v>16.399999999999999</v>
      </c>
      <c r="AE83" s="56">
        <v>16.3</v>
      </c>
      <c r="AF83" s="56">
        <v>15.6</v>
      </c>
      <c r="AG83" s="56">
        <v>15.1</v>
      </c>
      <c r="AH83" s="56">
        <v>15.9</v>
      </c>
      <c r="AI83" s="56">
        <v>15.6</v>
      </c>
      <c r="AJ83" s="56">
        <v>17.100000000000001</v>
      </c>
      <c r="AK83" s="56">
        <v>17.5</v>
      </c>
      <c r="AL83" s="56">
        <v>17.3</v>
      </c>
      <c r="AM83" s="56">
        <v>15.6</v>
      </c>
      <c r="AN83" s="56">
        <v>15.4</v>
      </c>
      <c r="AO83" s="56">
        <v>16.100000000000001</v>
      </c>
      <c r="AP83" s="56">
        <v>15.8</v>
      </c>
      <c r="AQ83" s="56">
        <v>17.100000000000001</v>
      </c>
      <c r="AR83" s="56">
        <v>19.899999999999999</v>
      </c>
      <c r="AS83" s="56">
        <v>23.2</v>
      </c>
      <c r="AT83" s="56">
        <v>24</v>
      </c>
      <c r="AU83" s="56">
        <v>23.3</v>
      </c>
      <c r="AV83" s="56">
        <v>23.1</v>
      </c>
      <c r="AW83" s="56">
        <v>24.7</v>
      </c>
      <c r="AX83" s="56">
        <v>23.5</v>
      </c>
      <c r="AY83" s="56">
        <v>21.1</v>
      </c>
      <c r="AZ83" s="56">
        <v>24.4</v>
      </c>
      <c r="BA83" s="56">
        <v>26.3</v>
      </c>
      <c r="BB83" s="56">
        <v>25.8</v>
      </c>
      <c r="BC83" s="56">
        <v>24.7</v>
      </c>
      <c r="BD83" s="56">
        <v>23.7</v>
      </c>
      <c r="BE83" s="56">
        <v>23.5</v>
      </c>
      <c r="BF83" s="56">
        <v>23.2</v>
      </c>
      <c r="BG83" s="56">
        <v>21.7</v>
      </c>
      <c r="BH83" s="56">
        <v>24.4</v>
      </c>
      <c r="BI83" s="56">
        <v>29.3</v>
      </c>
      <c r="BJ83" s="56">
        <v>26.9</v>
      </c>
      <c r="BK83" s="56">
        <v>25.3</v>
      </c>
      <c r="BL83" s="56">
        <v>27.1</v>
      </c>
      <c r="BM83" s="56">
        <v>25.6</v>
      </c>
      <c r="BN83" s="56">
        <v>22</v>
      </c>
      <c r="BO83" s="56">
        <v>21.1</v>
      </c>
      <c r="BP83" s="56">
        <v>16.600000000000001</v>
      </c>
      <c r="BQ83" s="56">
        <v>13.4</v>
      </c>
      <c r="BR83" s="56">
        <v>14.5</v>
      </c>
      <c r="BS83" s="56">
        <v>14.1</v>
      </c>
      <c r="BT83" s="56">
        <v>17.5</v>
      </c>
      <c r="BU83" s="56">
        <v>20.3</v>
      </c>
      <c r="BV83" s="56">
        <v>21.1</v>
      </c>
      <c r="BW83" s="56">
        <v>20.3</v>
      </c>
      <c r="BX83" s="56">
        <v>21.2</v>
      </c>
      <c r="BY83" s="56">
        <v>27.4</v>
      </c>
      <c r="BZ83" s="56">
        <v>23.1</v>
      </c>
      <c r="CA83" s="56">
        <v>21.2</v>
      </c>
      <c r="CB83" s="56">
        <v>20</v>
      </c>
      <c r="CC83" s="56">
        <v>21.8</v>
      </c>
      <c r="CD83" s="56">
        <v>23.1</v>
      </c>
      <c r="CE83" s="56">
        <v>26.7</v>
      </c>
      <c r="CF83" s="56">
        <v>31.6</v>
      </c>
      <c r="CG83" s="56">
        <v>31.3</v>
      </c>
      <c r="CH83" s="56">
        <v>33</v>
      </c>
      <c r="CI83" s="56">
        <v>35.5</v>
      </c>
      <c r="CJ83" s="56">
        <v>39.4</v>
      </c>
      <c r="CK83" s="56">
        <v>46.4</v>
      </c>
      <c r="CL83" s="56">
        <v>50</v>
      </c>
      <c r="CM83" s="56">
        <v>57.3</v>
      </c>
      <c r="CN83" s="56">
        <v>64.3</v>
      </c>
      <c r="CO83" s="56">
        <v>70.7</v>
      </c>
      <c r="CP83" s="56">
        <v>80.7</v>
      </c>
      <c r="CQ83" s="56">
        <v>86.9</v>
      </c>
      <c r="CR83" s="56">
        <v>92.5</v>
      </c>
      <c r="CS83" s="56">
        <v>100.2</v>
      </c>
      <c r="CT83" s="56">
        <v>109</v>
      </c>
      <c r="CU83" s="56">
        <v>113.5</v>
      </c>
      <c r="CV83" s="56">
        <v>116.3</v>
      </c>
      <c r="CW83" s="56">
        <v>115.9</v>
      </c>
      <c r="CX83" s="56">
        <v>118.3</v>
      </c>
      <c r="CY83" s="56">
        <v>121.6</v>
      </c>
      <c r="CZ83" s="56">
        <v>125.7</v>
      </c>
      <c r="DA83" s="56">
        <v>134</v>
      </c>
      <c r="DB83" s="56">
        <v>139.5</v>
      </c>
      <c r="DC83" s="56">
        <v>141.6</v>
      </c>
      <c r="DD83" s="56">
        <v>143.69999999999999</v>
      </c>
      <c r="DE83" s="56">
        <v>145.30000000000001</v>
      </c>
      <c r="DF83" s="56">
        <v>144.19999999999999</v>
      </c>
      <c r="DG83" s="56">
        <v>144.6</v>
      </c>
      <c r="DH83" s="56">
        <v>147.4</v>
      </c>
      <c r="DI83" s="56">
        <v>152.1</v>
      </c>
      <c r="DJ83" s="56">
        <v>156.80000000000001</v>
      </c>
      <c r="DK83" s="56">
        <v>162.6</v>
      </c>
      <c r="DL83" s="56">
        <v>168</v>
      </c>
      <c r="DM83" s="56">
        <v>173.4</v>
      </c>
      <c r="DN83" s="56">
        <v>176.1</v>
      </c>
      <c r="DO83" s="56">
        <v>179.6</v>
      </c>
      <c r="DP83" s="56">
        <v>179.4</v>
      </c>
      <c r="DQ83" s="56">
        <v>178.9</v>
      </c>
      <c r="DR83" s="56">
        <v>179.8</v>
      </c>
      <c r="DS83" s="56">
        <v>180.2</v>
      </c>
      <c r="DT83" s="56">
        <v>182.9</v>
      </c>
      <c r="DU83" s="56">
        <v>191</v>
      </c>
      <c r="DV83" s="56">
        <v>197.1</v>
      </c>
      <c r="DW83" s="56">
        <v>202.6</v>
      </c>
      <c r="DX83" s="56">
        <v>204.8</v>
      </c>
      <c r="DY83" s="56">
        <v>205.1</v>
      </c>
      <c r="DZ83" s="56">
        <v>207.3</v>
      </c>
      <c r="EA83" s="56">
        <v>208.9</v>
      </c>
      <c r="EB83" s="56">
        <v>207.7</v>
      </c>
      <c r="EC83" s="56">
        <v>209.9</v>
      </c>
      <c r="ED83" s="56">
        <v>218.7</v>
      </c>
      <c r="EE83" s="56">
        <v>223.2</v>
      </c>
      <c r="EF83" s="56">
        <v>227.5</v>
      </c>
      <c r="EG83" s="56">
        <v>239</v>
      </c>
      <c r="EH83" s="56">
        <v>243</v>
      </c>
      <c r="EI83" s="56">
        <v>243.4</v>
      </c>
      <c r="EJ83" s="56">
        <v>241.8</v>
      </c>
      <c r="EK83" s="56">
        <v>242.9</v>
      </c>
      <c r="EL83" s="56">
        <v>233.7</v>
      </c>
      <c r="EM83" s="56">
        <v>231.2</v>
      </c>
      <c r="EN83" s="56">
        <v>213.6</v>
      </c>
      <c r="EO83" s="56">
        <v>206</v>
      </c>
      <c r="EP83" s="56">
        <v>194.5</v>
      </c>
      <c r="EQ83" s="56">
        <v>183.4</v>
      </c>
      <c r="ER83" s="56">
        <v>177.8</v>
      </c>
      <c r="ES83" s="56">
        <v>168.7</v>
      </c>
      <c r="ET83" s="56">
        <v>162.5</v>
      </c>
      <c r="EU83" s="56">
        <v>180.3</v>
      </c>
      <c r="EV83" s="56">
        <v>193.6</v>
      </c>
      <c r="EW83" s="56">
        <v>208.7</v>
      </c>
      <c r="EX83" s="56">
        <v>249.2</v>
      </c>
      <c r="EY83" s="56">
        <v>281</v>
      </c>
      <c r="EZ83" s="56">
        <v>305.2</v>
      </c>
      <c r="FA83" s="56">
        <v>325.60000000000002</v>
      </c>
      <c r="FB83" s="56">
        <v>326.5</v>
      </c>
      <c r="FC83" s="56">
        <v>335.9</v>
      </c>
      <c r="FD83" s="56">
        <v>355.9</v>
      </c>
      <c r="FE83" s="56">
        <v>372</v>
      </c>
      <c r="FF83" s="56">
        <v>404.9</v>
      </c>
      <c r="FG83" s="56">
        <v>428.9</v>
      </c>
      <c r="FH83" s="56">
        <v>442.6</v>
      </c>
      <c r="FI83" s="56">
        <v>458.3</v>
      </c>
      <c r="FJ83" s="56">
        <v>489.1</v>
      </c>
      <c r="FK83" s="56">
        <v>501.4</v>
      </c>
      <c r="FL83" s="56">
        <v>510.1</v>
      </c>
      <c r="FM83" s="56">
        <v>525.6</v>
      </c>
      <c r="FN83" s="56">
        <v>526.79999999999995</v>
      </c>
      <c r="FO83" s="56">
        <v>532.5</v>
      </c>
      <c r="FP83" s="56">
        <v>536.1</v>
      </c>
      <c r="FQ83" s="56">
        <v>542.6</v>
      </c>
      <c r="FR83" s="56">
        <v>562.29999999999995</v>
      </c>
      <c r="FS83" s="56">
        <v>576.29999999999995</v>
      </c>
      <c r="FT83" s="56">
        <v>588.6</v>
      </c>
      <c r="FU83" s="56">
        <v>587.6</v>
      </c>
      <c r="FV83" s="56">
        <v>595</v>
      </c>
      <c r="FW83" s="56">
        <v>599.1</v>
      </c>
      <c r="FX83" s="56">
        <v>600.29999999999995</v>
      </c>
      <c r="FY83" s="56">
        <v>599.70000000000005</v>
      </c>
      <c r="FZ83" s="56">
        <v>588.79999999999995</v>
      </c>
      <c r="GA83" s="56">
        <v>603.1</v>
      </c>
      <c r="GB83" s="56">
        <v>606.4</v>
      </c>
      <c r="GC83" s="56">
        <v>607.20000000000005</v>
      </c>
      <c r="GD83" s="56">
        <v>612</v>
      </c>
      <c r="GE83" s="56">
        <v>619.1</v>
      </c>
      <c r="GF83" s="56">
        <v>619.9</v>
      </c>
      <c r="GG83" s="56">
        <v>623.9</v>
      </c>
      <c r="GH83" s="56">
        <v>633.9</v>
      </c>
      <c r="GI83" s="56">
        <v>634.29999999999995</v>
      </c>
      <c r="GJ83" s="56">
        <v>643.79999999999995</v>
      </c>
      <c r="GK83" s="56">
        <v>656.2</v>
      </c>
      <c r="GL83" s="56">
        <v>663.5</v>
      </c>
      <c r="GM83" s="56">
        <v>669</v>
      </c>
      <c r="GN83" s="56">
        <v>679.8</v>
      </c>
      <c r="GO83" s="56">
        <v>673.6</v>
      </c>
      <c r="GP83" s="56">
        <v>667.8</v>
      </c>
      <c r="GQ83" s="56">
        <v>674.7</v>
      </c>
      <c r="GR83" s="56">
        <v>685.7</v>
      </c>
      <c r="GS83" s="56">
        <v>709.8</v>
      </c>
      <c r="GT83" s="56">
        <v>740.9</v>
      </c>
      <c r="GU83" s="56">
        <v>738.2</v>
      </c>
      <c r="GV83" s="56">
        <v>765.2</v>
      </c>
      <c r="GW83" s="56">
        <v>780.3</v>
      </c>
      <c r="GX83" s="56">
        <v>791.6</v>
      </c>
      <c r="GY83" s="56">
        <v>807.2</v>
      </c>
      <c r="GZ83" s="56">
        <v>822.4</v>
      </c>
      <c r="HA83" s="56">
        <v>835.5</v>
      </c>
      <c r="HB83" s="56">
        <v>837.2</v>
      </c>
      <c r="HC83">
        <v>875.3</v>
      </c>
      <c r="HD83">
        <v>893.1</v>
      </c>
      <c r="HE83">
        <v>907.5</v>
      </c>
      <c r="HF83">
        <v>945.8</v>
      </c>
      <c r="HG83">
        <v>961.1</v>
      </c>
      <c r="HH83">
        <v>974.4</v>
      </c>
      <c r="HI83">
        <v>988.1</v>
      </c>
      <c r="HJ83">
        <v>1023.9</v>
      </c>
    </row>
    <row r="84" spans="1:218" x14ac:dyDescent="0.35">
      <c r="A84" s="56" t="s">
        <v>2279</v>
      </c>
      <c r="B84" s="56">
        <v>109.2</v>
      </c>
      <c r="C84" s="56">
        <v>113.1</v>
      </c>
      <c r="D84" s="56">
        <v>117.5</v>
      </c>
      <c r="E84" s="56">
        <v>120</v>
      </c>
      <c r="F84" s="56">
        <v>122.8</v>
      </c>
      <c r="G84" s="56">
        <v>124.2</v>
      </c>
      <c r="H84" s="56">
        <v>126.1</v>
      </c>
      <c r="I84" s="56">
        <v>127.4</v>
      </c>
      <c r="J84" s="56">
        <v>131</v>
      </c>
      <c r="K84" s="56">
        <v>134.1</v>
      </c>
      <c r="L84" s="56">
        <v>138.4</v>
      </c>
      <c r="M84" s="56">
        <v>142.80000000000001</v>
      </c>
      <c r="N84" s="56">
        <v>146.6</v>
      </c>
      <c r="O84" s="56">
        <v>151.6</v>
      </c>
      <c r="P84" s="56">
        <v>158.80000000000001</v>
      </c>
      <c r="Q84" s="56">
        <v>164.6</v>
      </c>
      <c r="R84" s="56">
        <v>170.5</v>
      </c>
      <c r="S84" s="56">
        <v>177.6</v>
      </c>
      <c r="T84" s="56">
        <v>183.9</v>
      </c>
      <c r="U84" s="56">
        <v>190.4</v>
      </c>
      <c r="V84" s="56">
        <v>196.4</v>
      </c>
      <c r="W84" s="56">
        <v>198.5</v>
      </c>
      <c r="X84" s="56">
        <v>202.5</v>
      </c>
      <c r="Y84" s="56">
        <v>206.5</v>
      </c>
      <c r="Z84" s="56">
        <v>210.5</v>
      </c>
      <c r="AA84" s="56">
        <v>217.1</v>
      </c>
      <c r="AB84" s="56">
        <v>222.8</v>
      </c>
      <c r="AC84" s="56">
        <v>229.7</v>
      </c>
      <c r="AD84" s="56">
        <v>238.8</v>
      </c>
      <c r="AE84" s="56">
        <v>246.6</v>
      </c>
      <c r="AF84" s="56">
        <v>255.4</v>
      </c>
      <c r="AG84" s="56">
        <v>265.5</v>
      </c>
      <c r="AH84" s="56">
        <v>273.3</v>
      </c>
      <c r="AI84" s="56">
        <v>281.3</v>
      </c>
      <c r="AJ84" s="56">
        <v>289.8</v>
      </c>
      <c r="AK84" s="56">
        <v>298.89999999999998</v>
      </c>
      <c r="AL84" s="56">
        <v>308.60000000000002</v>
      </c>
      <c r="AM84" s="56">
        <v>318.60000000000002</v>
      </c>
      <c r="AN84" s="56">
        <v>330.4</v>
      </c>
      <c r="AO84" s="56">
        <v>351</v>
      </c>
      <c r="AP84" s="56">
        <v>378.8</v>
      </c>
      <c r="AQ84" s="56">
        <v>392.5</v>
      </c>
      <c r="AR84" s="56">
        <v>397.7</v>
      </c>
      <c r="AS84" s="56">
        <v>421.8</v>
      </c>
      <c r="AT84" s="56">
        <v>439.6</v>
      </c>
      <c r="AU84" s="56">
        <v>467.3</v>
      </c>
      <c r="AV84" s="56">
        <v>506.4</v>
      </c>
      <c r="AW84" s="56">
        <v>522.4</v>
      </c>
      <c r="AX84" s="56">
        <v>541</v>
      </c>
      <c r="AY84" s="56">
        <v>557.20000000000005</v>
      </c>
      <c r="AZ84" s="56">
        <v>558.79999999999995</v>
      </c>
      <c r="BA84" s="56">
        <v>562.5</v>
      </c>
      <c r="BB84" s="56">
        <v>575.1</v>
      </c>
      <c r="BC84" s="56">
        <v>585.79999999999995</v>
      </c>
      <c r="BD84" s="56">
        <v>610.20000000000005</v>
      </c>
      <c r="BE84" s="56">
        <v>629.79999999999995</v>
      </c>
      <c r="BF84" s="56">
        <v>642.79999999999995</v>
      </c>
      <c r="BG84" s="56">
        <v>667.2</v>
      </c>
      <c r="BH84" s="56">
        <v>693.7</v>
      </c>
      <c r="BI84" s="56">
        <v>703.2</v>
      </c>
      <c r="BJ84" s="56">
        <v>714.7</v>
      </c>
      <c r="BK84" s="56">
        <v>721.2</v>
      </c>
      <c r="BL84" s="56">
        <v>722.7</v>
      </c>
      <c r="BM84" s="56">
        <v>738.6</v>
      </c>
      <c r="BN84" s="56">
        <v>763.4</v>
      </c>
      <c r="BO84" s="56">
        <v>770.6</v>
      </c>
      <c r="BP84" s="56">
        <v>768.1</v>
      </c>
      <c r="BQ84" s="56">
        <v>763</v>
      </c>
      <c r="BR84" s="56">
        <v>758.1</v>
      </c>
      <c r="BS84" s="56">
        <v>764.7</v>
      </c>
      <c r="BT84" s="56">
        <v>780.5</v>
      </c>
      <c r="BU84" s="56">
        <v>801.9</v>
      </c>
      <c r="BV84" s="56">
        <v>816.5</v>
      </c>
      <c r="BW84" s="56">
        <v>830.3</v>
      </c>
      <c r="BX84" s="56">
        <v>859</v>
      </c>
      <c r="BY84" s="56">
        <v>886.3</v>
      </c>
      <c r="BZ84" s="56">
        <v>930.1</v>
      </c>
      <c r="CA84" s="56">
        <v>956.6</v>
      </c>
      <c r="CB84" s="56">
        <v>970.4</v>
      </c>
      <c r="CC84" s="56">
        <v>981.9</v>
      </c>
      <c r="CD84" s="56">
        <v>996.1</v>
      </c>
      <c r="CE84" s="56">
        <v>1001.4</v>
      </c>
      <c r="CF84" s="56">
        <v>1010.4</v>
      </c>
      <c r="CG84" s="56">
        <v>1011.5</v>
      </c>
      <c r="CH84" s="56">
        <v>1009.2</v>
      </c>
      <c r="CI84" s="56">
        <v>1010.5</v>
      </c>
      <c r="CJ84" s="56">
        <v>1012</v>
      </c>
      <c r="CK84" s="56">
        <v>1003.1</v>
      </c>
      <c r="CL84" s="56">
        <v>996.3</v>
      </c>
      <c r="CM84" s="56">
        <v>997.3</v>
      </c>
      <c r="CN84" s="56">
        <v>992.5</v>
      </c>
      <c r="CO84" s="56">
        <v>995.7</v>
      </c>
      <c r="CP84" s="56">
        <v>1002.7</v>
      </c>
      <c r="CQ84" s="56">
        <v>1002.4</v>
      </c>
      <c r="CR84" s="56">
        <v>1001.2</v>
      </c>
      <c r="CS84" s="56">
        <v>1001.5</v>
      </c>
      <c r="CT84" s="56">
        <v>1009.5</v>
      </c>
      <c r="CU84" s="56">
        <v>1029.5</v>
      </c>
      <c r="CV84" s="56">
        <v>1051.5999999999999</v>
      </c>
      <c r="CW84" s="56">
        <v>1084</v>
      </c>
      <c r="CX84" s="56">
        <v>1105.5999999999999</v>
      </c>
      <c r="CY84" s="56">
        <v>1123.3</v>
      </c>
      <c r="CZ84" s="56">
        <v>1136.0999999999999</v>
      </c>
      <c r="DA84" s="56">
        <v>1149.2</v>
      </c>
      <c r="DB84" s="56">
        <v>1160.5</v>
      </c>
      <c r="DC84" s="56">
        <v>1177.3</v>
      </c>
      <c r="DD84" s="56">
        <v>1197.7</v>
      </c>
      <c r="DE84" s="56">
        <v>1219.9000000000001</v>
      </c>
      <c r="DF84" s="56">
        <v>1234.2</v>
      </c>
      <c r="DG84" s="56">
        <v>1255.5</v>
      </c>
      <c r="DH84" s="56">
        <v>1276</v>
      </c>
      <c r="DI84" s="56">
        <v>1300.4000000000001</v>
      </c>
      <c r="DJ84" s="56">
        <v>1335.9</v>
      </c>
      <c r="DK84" s="56">
        <v>1361.9</v>
      </c>
      <c r="DL84" s="56">
        <v>1367.1</v>
      </c>
      <c r="DM84" s="56">
        <v>1345.1</v>
      </c>
      <c r="DN84" s="56">
        <v>1326.7</v>
      </c>
      <c r="DO84" s="56">
        <v>1321</v>
      </c>
      <c r="DP84" s="56">
        <v>1337.2</v>
      </c>
      <c r="DQ84" s="56">
        <v>1359.8</v>
      </c>
      <c r="DR84" s="56">
        <v>1398.1</v>
      </c>
      <c r="DS84" s="56">
        <v>1441.8</v>
      </c>
      <c r="DT84" s="56">
        <v>1478.2</v>
      </c>
      <c r="DU84" s="56">
        <v>1504.5</v>
      </c>
      <c r="DV84" s="56">
        <v>1494.8</v>
      </c>
      <c r="DW84" s="56">
        <v>1486.8</v>
      </c>
      <c r="DX84" s="56">
        <v>1462.4</v>
      </c>
      <c r="DY84" s="56">
        <v>1403.7</v>
      </c>
      <c r="DZ84" s="56">
        <v>1388</v>
      </c>
      <c r="EA84" s="56">
        <v>1398.7</v>
      </c>
      <c r="EB84" s="56">
        <v>1401.3</v>
      </c>
      <c r="EC84" s="56">
        <v>1422.5</v>
      </c>
      <c r="ED84" s="56">
        <v>1437.6</v>
      </c>
      <c r="EE84" s="56">
        <v>1419.2</v>
      </c>
      <c r="EF84" s="56">
        <v>1434</v>
      </c>
      <c r="EG84" s="56">
        <v>1451.5</v>
      </c>
      <c r="EH84" s="56">
        <v>1452.2</v>
      </c>
      <c r="EI84" s="56">
        <v>1467.5</v>
      </c>
      <c r="EJ84" s="56">
        <v>1477.8</v>
      </c>
      <c r="EK84" s="56">
        <v>1597.3</v>
      </c>
      <c r="EL84" s="56">
        <v>1545.5</v>
      </c>
      <c r="EM84" s="56">
        <v>1611.1</v>
      </c>
      <c r="EN84" s="56">
        <v>1648.9</v>
      </c>
      <c r="EO84" s="56">
        <v>1740</v>
      </c>
      <c r="EP84" s="56">
        <v>1805.5</v>
      </c>
      <c r="EQ84" s="56">
        <v>1909.5</v>
      </c>
      <c r="ER84" s="56">
        <v>1931.4</v>
      </c>
      <c r="ES84" s="56">
        <v>1949.7</v>
      </c>
      <c r="ET84" s="56">
        <v>1997.6</v>
      </c>
      <c r="EU84" s="56">
        <v>2125</v>
      </c>
      <c r="EV84" s="56">
        <v>2143.4</v>
      </c>
      <c r="EW84" s="56">
        <v>2155.3000000000002</v>
      </c>
      <c r="EX84" s="56">
        <v>2181.1</v>
      </c>
      <c r="EY84" s="56">
        <v>2148.6999999999998</v>
      </c>
      <c r="EZ84" s="56">
        <v>2175.1999999999998</v>
      </c>
      <c r="FA84" s="56">
        <v>2101</v>
      </c>
      <c r="FB84" s="56">
        <v>1982.2</v>
      </c>
      <c r="FC84" s="56">
        <v>1865.1</v>
      </c>
      <c r="FD84" s="56">
        <v>1773.6</v>
      </c>
      <c r="FE84" s="56">
        <v>1733</v>
      </c>
      <c r="FF84" s="56">
        <v>1729.5</v>
      </c>
      <c r="FG84" s="56">
        <v>1742.5</v>
      </c>
      <c r="FH84" s="56">
        <v>1735.7</v>
      </c>
      <c r="FI84" s="56">
        <v>1783</v>
      </c>
      <c r="FJ84" s="56">
        <v>1847.8</v>
      </c>
      <c r="FK84" s="56">
        <v>1882.4</v>
      </c>
      <c r="FL84" s="56">
        <v>1913.9</v>
      </c>
      <c r="FM84" s="56">
        <v>1981.8</v>
      </c>
      <c r="FN84" s="56">
        <v>2039.5</v>
      </c>
      <c r="FO84" s="56">
        <v>2088.9</v>
      </c>
      <c r="FP84" s="56">
        <v>2025.8</v>
      </c>
      <c r="FQ84" s="56">
        <v>2260</v>
      </c>
      <c r="FR84" s="56">
        <v>1957.5</v>
      </c>
      <c r="FS84" s="56">
        <v>1963.9</v>
      </c>
      <c r="FT84" s="56">
        <v>1998.1</v>
      </c>
      <c r="FU84" s="56">
        <v>2013.4</v>
      </c>
      <c r="FV84" s="56">
        <v>2067.1999999999998</v>
      </c>
      <c r="FW84" s="56">
        <v>2160.8000000000002</v>
      </c>
      <c r="FX84" s="56">
        <v>2214</v>
      </c>
      <c r="FY84" s="56">
        <v>2267.6</v>
      </c>
      <c r="FZ84" s="56">
        <v>2322.1999999999998</v>
      </c>
      <c r="GA84" s="56">
        <v>2341.1999999999998</v>
      </c>
      <c r="GB84" s="56">
        <v>2347.8000000000002</v>
      </c>
      <c r="GC84" s="56">
        <v>2367.1999999999998</v>
      </c>
      <c r="GD84" s="56">
        <v>2388.1</v>
      </c>
      <c r="GE84" s="56">
        <v>2391.1999999999998</v>
      </c>
      <c r="GF84" s="56">
        <v>2421.8000000000002</v>
      </c>
      <c r="GG84" s="56">
        <v>2460.5</v>
      </c>
      <c r="GH84" s="56">
        <v>2535.6</v>
      </c>
      <c r="GI84" s="56">
        <v>2612.6999999999998</v>
      </c>
      <c r="GJ84" s="56">
        <v>2636.3</v>
      </c>
      <c r="GK84" s="56">
        <v>2659.4</v>
      </c>
      <c r="GL84" s="56">
        <v>2690.3</v>
      </c>
      <c r="GM84" s="56">
        <v>2755.1</v>
      </c>
      <c r="GN84" s="56">
        <v>2808</v>
      </c>
      <c r="GO84" s="56">
        <v>2904.2</v>
      </c>
      <c r="GP84" s="56">
        <v>2921.6</v>
      </c>
      <c r="GQ84" s="56">
        <v>2963.1</v>
      </c>
      <c r="GR84" s="56">
        <v>2962.3</v>
      </c>
      <c r="GS84" s="56">
        <v>2952.8</v>
      </c>
      <c r="GT84" s="56">
        <v>2926.1</v>
      </c>
      <c r="GU84" s="56">
        <v>2869.8</v>
      </c>
      <c r="GV84" s="56">
        <v>2865</v>
      </c>
      <c r="GW84" s="56">
        <v>2994</v>
      </c>
      <c r="GX84" s="56">
        <v>3079.2</v>
      </c>
      <c r="GY84" s="56">
        <v>3198.3</v>
      </c>
      <c r="GZ84" s="56">
        <v>3262.6</v>
      </c>
      <c r="HA84" s="56">
        <v>3318.6</v>
      </c>
      <c r="HB84" s="56">
        <v>3342.2</v>
      </c>
      <c r="HC84">
        <v>3407</v>
      </c>
      <c r="HD84">
        <v>3453.4</v>
      </c>
      <c r="HE84">
        <v>3525.4</v>
      </c>
      <c r="HF84">
        <v>3577</v>
      </c>
      <c r="HG84">
        <v>3602.6</v>
      </c>
      <c r="HH84">
        <v>3606.5</v>
      </c>
      <c r="HI84">
        <v>3667.3</v>
      </c>
      <c r="HJ84">
        <v>3699.5</v>
      </c>
    </row>
    <row r="85" spans="1:218" x14ac:dyDescent="0.35">
      <c r="A85" s="56" t="s">
        <v>2280</v>
      </c>
      <c r="B85" s="56">
        <v>77.5</v>
      </c>
      <c r="C85" s="56">
        <v>81.099999999999994</v>
      </c>
      <c r="D85" s="56">
        <v>81.099999999999994</v>
      </c>
      <c r="E85" s="56">
        <v>76.900000000000006</v>
      </c>
      <c r="F85" s="56">
        <v>89.1</v>
      </c>
      <c r="G85" s="56">
        <v>90.8</v>
      </c>
      <c r="H85" s="56">
        <v>93.7</v>
      </c>
      <c r="I85" s="56">
        <v>97.6</v>
      </c>
      <c r="J85" s="56">
        <v>102.7</v>
      </c>
      <c r="K85" s="56">
        <v>104.3</v>
      </c>
      <c r="L85" s="56">
        <v>108.2</v>
      </c>
      <c r="M85" s="56">
        <v>115.5</v>
      </c>
      <c r="N85" s="56">
        <v>121</v>
      </c>
      <c r="O85" s="56">
        <v>117.2</v>
      </c>
      <c r="P85" s="56">
        <v>116.6</v>
      </c>
      <c r="Q85" s="56">
        <v>119.1</v>
      </c>
      <c r="R85" s="56">
        <v>111.1</v>
      </c>
      <c r="S85" s="56">
        <v>110.8</v>
      </c>
      <c r="T85" s="56">
        <v>107.3</v>
      </c>
      <c r="U85" s="56">
        <v>103.8</v>
      </c>
      <c r="V85" s="56">
        <v>103.9</v>
      </c>
      <c r="W85" s="56">
        <v>115.6</v>
      </c>
      <c r="X85" s="56">
        <v>135.4</v>
      </c>
      <c r="Y85" s="56">
        <v>142</v>
      </c>
      <c r="Z85" s="56">
        <v>159.1</v>
      </c>
      <c r="AA85" s="56">
        <v>156.6</v>
      </c>
      <c r="AB85" s="56">
        <v>158.4</v>
      </c>
      <c r="AC85" s="56">
        <v>157.1</v>
      </c>
      <c r="AD85" s="56">
        <v>165</v>
      </c>
      <c r="AE85" s="56">
        <v>185.7</v>
      </c>
      <c r="AF85" s="56">
        <v>199.9</v>
      </c>
      <c r="AG85" s="56">
        <v>196.1</v>
      </c>
      <c r="AH85" s="56">
        <v>187.5</v>
      </c>
      <c r="AI85" s="56">
        <v>220</v>
      </c>
      <c r="AJ85" s="56">
        <v>223.8</v>
      </c>
      <c r="AK85" s="56">
        <v>231.5</v>
      </c>
      <c r="AL85" s="56">
        <v>222.3</v>
      </c>
      <c r="AM85" s="56">
        <v>219.7</v>
      </c>
      <c r="AN85" s="56">
        <v>211.3</v>
      </c>
      <c r="AO85" s="56">
        <v>205.2</v>
      </c>
      <c r="AP85" s="56">
        <v>197.2</v>
      </c>
      <c r="AQ85" s="56">
        <v>169.9</v>
      </c>
      <c r="AR85" s="56">
        <v>179.2</v>
      </c>
      <c r="AS85" s="56">
        <v>204.4</v>
      </c>
      <c r="AT85" s="56">
        <v>213</v>
      </c>
      <c r="AU85" s="56">
        <v>211.8</v>
      </c>
      <c r="AV85" s="56">
        <v>228.6</v>
      </c>
      <c r="AW85" s="56">
        <v>211.4</v>
      </c>
      <c r="AX85" s="56">
        <v>188.2</v>
      </c>
      <c r="AY85" s="56">
        <v>200.5</v>
      </c>
      <c r="AZ85" s="56">
        <v>200.4</v>
      </c>
      <c r="BA85" s="56">
        <v>191.5</v>
      </c>
      <c r="BB85" s="56">
        <v>209.5</v>
      </c>
      <c r="BC85" s="56">
        <v>238.3</v>
      </c>
      <c r="BD85" s="56">
        <v>254.4</v>
      </c>
      <c r="BE85" s="56">
        <v>269.2</v>
      </c>
      <c r="BF85" s="56">
        <v>301.10000000000002</v>
      </c>
      <c r="BG85" s="56">
        <v>301.2</v>
      </c>
      <c r="BH85" s="56">
        <v>295.3</v>
      </c>
      <c r="BI85" s="56">
        <v>305.2</v>
      </c>
      <c r="BJ85" s="56">
        <v>311.39999999999998</v>
      </c>
      <c r="BK85" s="56">
        <v>310.3</v>
      </c>
      <c r="BL85" s="56">
        <v>331.5</v>
      </c>
      <c r="BM85" s="56">
        <v>306.60000000000002</v>
      </c>
      <c r="BN85" s="56">
        <v>296.7</v>
      </c>
      <c r="BO85" s="56">
        <v>286.39999999999998</v>
      </c>
      <c r="BP85" s="56">
        <v>275.60000000000002</v>
      </c>
      <c r="BQ85" s="56">
        <v>277.7</v>
      </c>
      <c r="BR85" s="56">
        <v>288.39999999999998</v>
      </c>
      <c r="BS85" s="56">
        <v>319.7</v>
      </c>
      <c r="BT85" s="56">
        <v>344.2</v>
      </c>
      <c r="BU85" s="56">
        <v>338.9</v>
      </c>
      <c r="BV85" s="56">
        <v>344.1</v>
      </c>
      <c r="BW85" s="56">
        <v>352.3</v>
      </c>
      <c r="BX85" s="56">
        <v>359.3</v>
      </c>
      <c r="BY85" s="56">
        <v>381.4</v>
      </c>
      <c r="BZ85" s="56">
        <v>363.2</v>
      </c>
      <c r="CA85" s="56">
        <v>356.4</v>
      </c>
      <c r="CB85" s="56">
        <v>355</v>
      </c>
      <c r="CC85" s="56">
        <v>331.8</v>
      </c>
      <c r="CD85" s="56">
        <v>344.4</v>
      </c>
      <c r="CE85" s="56">
        <v>361.4</v>
      </c>
      <c r="CF85" s="56">
        <v>337.8</v>
      </c>
      <c r="CG85" s="56">
        <v>329.4</v>
      </c>
      <c r="CH85" s="56">
        <v>367</v>
      </c>
      <c r="CI85" s="56">
        <v>373.1</v>
      </c>
      <c r="CJ85" s="56">
        <v>376.3</v>
      </c>
      <c r="CK85" s="56">
        <v>372.6</v>
      </c>
      <c r="CL85" s="56">
        <v>400.9</v>
      </c>
      <c r="CM85" s="56">
        <v>407.8</v>
      </c>
      <c r="CN85" s="56">
        <v>399.3</v>
      </c>
      <c r="CO85" s="56">
        <v>424.7</v>
      </c>
      <c r="CP85" s="56">
        <v>406.5</v>
      </c>
      <c r="CQ85" s="56">
        <v>444.7</v>
      </c>
      <c r="CR85" s="56">
        <v>452.4</v>
      </c>
      <c r="CS85" s="56">
        <v>511.6</v>
      </c>
      <c r="CT85" s="56">
        <v>517.5</v>
      </c>
      <c r="CU85" s="56">
        <v>539.20000000000005</v>
      </c>
      <c r="CV85" s="56">
        <v>571.9</v>
      </c>
      <c r="CW85" s="56">
        <v>595.79999999999995</v>
      </c>
      <c r="CX85" s="56">
        <v>588.9</v>
      </c>
      <c r="CY85" s="56">
        <v>605.79999999999995</v>
      </c>
      <c r="CZ85" s="56">
        <v>649.9</v>
      </c>
      <c r="DA85" s="56">
        <v>650.29999999999995</v>
      </c>
      <c r="DB85" s="56">
        <v>683.8</v>
      </c>
      <c r="DC85" s="56">
        <v>700.2</v>
      </c>
      <c r="DD85" s="56">
        <v>706</v>
      </c>
      <c r="DE85" s="56">
        <v>716.3</v>
      </c>
      <c r="DF85" s="56">
        <v>753.3</v>
      </c>
      <c r="DG85" s="56">
        <v>767.9</v>
      </c>
      <c r="DH85" s="56">
        <v>808.1</v>
      </c>
      <c r="DI85" s="56">
        <v>799.9</v>
      </c>
      <c r="DJ85" s="56">
        <v>728.6</v>
      </c>
      <c r="DK85" s="56">
        <v>729.6</v>
      </c>
      <c r="DL85" s="56">
        <v>749.1</v>
      </c>
      <c r="DM85" s="56">
        <v>722.4</v>
      </c>
      <c r="DN85" s="56">
        <v>761.9</v>
      </c>
      <c r="DO85" s="56">
        <v>754.1</v>
      </c>
      <c r="DP85" s="56">
        <v>737.7</v>
      </c>
      <c r="DQ85" s="56">
        <v>726.5</v>
      </c>
      <c r="DR85" s="56">
        <v>714.8</v>
      </c>
      <c r="DS85" s="56">
        <v>699.1</v>
      </c>
      <c r="DT85" s="56">
        <v>677.6</v>
      </c>
      <c r="DU85" s="56">
        <v>631.5</v>
      </c>
      <c r="DV85" s="56">
        <v>622.6</v>
      </c>
      <c r="DW85" s="56">
        <v>638</v>
      </c>
      <c r="DX85" s="56">
        <v>627.70000000000005</v>
      </c>
      <c r="DY85" s="56">
        <v>585.20000000000005</v>
      </c>
      <c r="DZ85" s="56">
        <v>711.7</v>
      </c>
      <c r="EA85" s="56">
        <v>756</v>
      </c>
      <c r="EB85" s="56">
        <v>778.5</v>
      </c>
      <c r="EC85" s="56">
        <v>848.2</v>
      </c>
      <c r="ED85" s="56">
        <v>862.8</v>
      </c>
      <c r="EE85" s="56">
        <v>891.4</v>
      </c>
      <c r="EF85" s="56">
        <v>941.8</v>
      </c>
      <c r="EG85" s="56">
        <v>976.6</v>
      </c>
      <c r="EH85" s="56">
        <v>1064.5999999999999</v>
      </c>
      <c r="EI85" s="56">
        <v>1113.5</v>
      </c>
      <c r="EJ85" s="56">
        <v>1158.9000000000001</v>
      </c>
      <c r="EK85" s="56">
        <v>1164.7</v>
      </c>
      <c r="EL85" s="56">
        <v>1257.9000000000001</v>
      </c>
      <c r="EM85" s="56">
        <v>1276.9000000000001</v>
      </c>
      <c r="EN85" s="56">
        <v>1287.2</v>
      </c>
      <c r="EO85" s="56">
        <v>1395.3</v>
      </c>
      <c r="EP85" s="56">
        <v>1445.4</v>
      </c>
      <c r="EQ85" s="56">
        <v>1453.1</v>
      </c>
      <c r="ER85" s="56">
        <v>1505.8</v>
      </c>
      <c r="ES85" s="56">
        <v>1421.3</v>
      </c>
      <c r="ET85" s="56">
        <v>1316.3</v>
      </c>
      <c r="EU85" s="56">
        <v>1347.7</v>
      </c>
      <c r="EV85" s="56">
        <v>1229.2</v>
      </c>
      <c r="EW85" s="56">
        <v>1138.9000000000001</v>
      </c>
      <c r="EX85" s="56">
        <v>1053.8</v>
      </c>
      <c r="EY85" s="56">
        <v>1027</v>
      </c>
      <c r="EZ85" s="56">
        <v>1008.2</v>
      </c>
      <c r="FA85" s="56">
        <v>732.8</v>
      </c>
      <c r="FB85" s="56">
        <v>953.5</v>
      </c>
      <c r="FC85" s="56">
        <v>1003.3</v>
      </c>
      <c r="FD85" s="56">
        <v>1123.2</v>
      </c>
      <c r="FE85" s="56">
        <v>1227.5</v>
      </c>
      <c r="FF85" s="56">
        <v>1295.5</v>
      </c>
      <c r="FG85" s="56">
        <v>1300</v>
      </c>
      <c r="FH85" s="56">
        <v>1475.5</v>
      </c>
      <c r="FI85" s="56">
        <v>1483.8</v>
      </c>
      <c r="FJ85" s="56">
        <v>1323.4</v>
      </c>
      <c r="FK85" s="56">
        <v>1443.9</v>
      </c>
      <c r="FL85" s="56">
        <v>1447.1</v>
      </c>
      <c r="FM85" s="56">
        <v>1585</v>
      </c>
      <c r="FN85" s="56">
        <v>1660</v>
      </c>
      <c r="FO85" s="56">
        <v>1662.6</v>
      </c>
      <c r="FP85" s="56">
        <v>1644.6</v>
      </c>
      <c r="FQ85" s="56">
        <v>1642.3</v>
      </c>
      <c r="FR85" s="56">
        <v>1672.8</v>
      </c>
      <c r="FS85" s="56">
        <v>1665.6</v>
      </c>
      <c r="FT85" s="56">
        <v>1676.1</v>
      </c>
      <c r="FU85" s="56">
        <v>1714.8</v>
      </c>
      <c r="FV85" s="56">
        <v>1650.3</v>
      </c>
      <c r="FW85" s="56">
        <v>1832.1</v>
      </c>
      <c r="FX85" s="56">
        <v>1864.9</v>
      </c>
      <c r="FY85" s="56">
        <v>1884.5</v>
      </c>
      <c r="FZ85" s="56">
        <v>1847.9</v>
      </c>
      <c r="GA85" s="56">
        <v>1831.7</v>
      </c>
      <c r="GB85" s="56">
        <v>1779</v>
      </c>
      <c r="GC85" s="56">
        <v>1653</v>
      </c>
      <c r="GD85" s="56">
        <v>1757.8</v>
      </c>
      <c r="GE85" s="56">
        <v>1708.7</v>
      </c>
      <c r="GF85" s="56">
        <v>1731</v>
      </c>
      <c r="GG85" s="56">
        <v>1700.1</v>
      </c>
      <c r="GH85" s="56">
        <v>1721.1</v>
      </c>
      <c r="GI85" s="56">
        <v>1723.6</v>
      </c>
      <c r="GJ85" s="56">
        <v>1718</v>
      </c>
      <c r="GK85" s="56">
        <v>1742.7</v>
      </c>
      <c r="GL85" s="56">
        <v>1772.4</v>
      </c>
      <c r="GM85" s="56">
        <v>1846</v>
      </c>
      <c r="GN85" s="56">
        <v>1868.8</v>
      </c>
      <c r="GO85" s="56">
        <v>1891.1</v>
      </c>
      <c r="GP85" s="56">
        <v>1871</v>
      </c>
      <c r="GQ85" s="56">
        <v>1896.6</v>
      </c>
      <c r="GR85" s="56">
        <v>1975</v>
      </c>
      <c r="GS85" s="56">
        <v>2006.6</v>
      </c>
      <c r="GT85" s="56">
        <v>1751.4</v>
      </c>
      <c r="GU85" s="56">
        <v>1644.9</v>
      </c>
      <c r="GV85" s="56">
        <v>2284</v>
      </c>
      <c r="GW85" s="56">
        <v>2059.6</v>
      </c>
      <c r="GX85" s="56">
        <v>2280.4</v>
      </c>
      <c r="GY85" s="56">
        <v>2580</v>
      </c>
      <c r="GZ85" s="56">
        <v>2541.1</v>
      </c>
      <c r="HA85" s="56">
        <v>2555</v>
      </c>
      <c r="HB85">
        <v>2604.4</v>
      </c>
      <c r="HC85">
        <v>2781.5</v>
      </c>
      <c r="HD85">
        <v>2809</v>
      </c>
      <c r="HE85">
        <v>2748.4</v>
      </c>
      <c r="HF85">
        <v>2673.1</v>
      </c>
      <c r="HG85">
        <v>2658</v>
      </c>
      <c r="HH85">
        <v>2757.8</v>
      </c>
      <c r="HI85">
        <v>2900.3</v>
      </c>
      <c r="HJ85">
        <v>2850.8</v>
      </c>
    </row>
    <row r="86" spans="1:218" x14ac:dyDescent="0.35">
      <c r="A86" s="56" t="s">
        <v>2281</v>
      </c>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c r="BM86" s="56"/>
      <c r="BN86" s="56"/>
      <c r="BO86" s="56"/>
      <c r="BP86" s="56"/>
      <c r="BQ86" s="56"/>
      <c r="BR86" s="56"/>
      <c r="BS86" s="56"/>
      <c r="BT86" s="56"/>
      <c r="BU86" s="56"/>
      <c r="BV86" s="56"/>
      <c r="BW86" s="56"/>
      <c r="BX86" s="56"/>
      <c r="BY86" s="56"/>
      <c r="BZ86" s="56"/>
      <c r="CA86" s="56"/>
      <c r="CB86" s="56"/>
      <c r="CC86" s="56"/>
      <c r="CD86" s="56"/>
      <c r="CE86" s="56"/>
      <c r="CF86" s="56"/>
      <c r="CG86" s="56"/>
      <c r="CH86" s="56"/>
      <c r="CI86" s="56"/>
      <c r="CJ86" s="56"/>
      <c r="CK86" s="56"/>
      <c r="CL86" s="56"/>
      <c r="CM86" s="56"/>
      <c r="CN86" s="56"/>
      <c r="CO86" s="56"/>
      <c r="CP86" s="56"/>
      <c r="CQ86" s="56"/>
      <c r="CR86" s="56"/>
      <c r="CS86" s="56"/>
      <c r="CT86" s="56"/>
      <c r="CU86" s="56"/>
      <c r="CV86" s="56"/>
      <c r="CW86" s="56"/>
      <c r="CX86" s="56"/>
      <c r="CY86" s="56"/>
      <c r="CZ86" s="56"/>
      <c r="DA86" s="56"/>
      <c r="DB86" s="56"/>
      <c r="DC86" s="56"/>
      <c r="DD86" s="56"/>
      <c r="DE86" s="56"/>
      <c r="DF86" s="56"/>
      <c r="DG86" s="56"/>
      <c r="DH86" s="56"/>
      <c r="DI86" s="56"/>
      <c r="DJ86" s="56"/>
      <c r="DK86" s="56"/>
      <c r="DL86" s="56"/>
      <c r="DM86" s="56"/>
      <c r="DN86" s="56"/>
      <c r="DO86" s="56"/>
      <c r="DP86" s="56"/>
      <c r="DQ86" s="56"/>
      <c r="DR86" s="56"/>
      <c r="DS86" s="56"/>
      <c r="DT86" s="56"/>
      <c r="DU86" s="56"/>
      <c r="DV86" s="56"/>
      <c r="DW86" s="56"/>
      <c r="DX86" s="56"/>
      <c r="DY86" s="56"/>
      <c r="DZ86" s="56"/>
      <c r="EA86" s="56"/>
      <c r="EB86" s="56"/>
      <c r="EC86" s="56"/>
      <c r="ED86" s="56"/>
      <c r="EE86" s="56"/>
      <c r="EF86" s="56"/>
      <c r="EG86" s="56"/>
      <c r="EH86" s="56"/>
      <c r="EI86" s="56"/>
      <c r="EJ86" s="56"/>
      <c r="EK86" s="56"/>
      <c r="EL86" s="56"/>
      <c r="EM86" s="56"/>
      <c r="EN86" s="56"/>
      <c r="EO86" s="56"/>
      <c r="EP86" s="56"/>
      <c r="EQ86" s="56"/>
      <c r="ER86" s="56"/>
      <c r="ES86" s="56"/>
      <c r="ET86" s="56"/>
      <c r="EU86" s="56"/>
      <c r="EV86" s="56"/>
      <c r="EW86" s="56"/>
      <c r="EX86" s="56"/>
      <c r="EY86" s="56"/>
      <c r="EZ86" s="56"/>
      <c r="FA86" s="56"/>
      <c r="FB86" s="56"/>
      <c r="FC86" s="56"/>
      <c r="FD86" s="56"/>
      <c r="FE86" s="56"/>
      <c r="FF86" s="56"/>
      <c r="FG86" s="56"/>
      <c r="FH86" s="56"/>
      <c r="FI86" s="56"/>
      <c r="FJ86" s="56"/>
      <c r="FK86" s="56"/>
      <c r="FL86" s="56"/>
      <c r="FM86" s="56"/>
      <c r="FN86" s="56"/>
      <c r="FO86" s="56"/>
      <c r="FP86" s="56"/>
      <c r="FQ86" s="56"/>
      <c r="FR86" s="56"/>
      <c r="FS86" s="56"/>
      <c r="FT86" s="56"/>
      <c r="FU86" s="56"/>
      <c r="FV86" s="56"/>
      <c r="FW86" s="56"/>
      <c r="FX86" s="56"/>
      <c r="FY86" s="56"/>
      <c r="FZ86" s="56"/>
      <c r="GA86" s="56"/>
      <c r="GB86" s="56"/>
      <c r="GC86" s="56"/>
      <c r="GD86" s="56"/>
      <c r="GE86" s="56"/>
      <c r="GF86" s="56"/>
      <c r="GG86" s="56"/>
      <c r="GH86" s="56"/>
      <c r="GI86" s="56"/>
      <c r="GJ86" s="56"/>
      <c r="GK86" s="56"/>
      <c r="GL86" s="56"/>
      <c r="GM86" s="56"/>
      <c r="GN86" s="56"/>
      <c r="GO86" s="56"/>
      <c r="GP86" s="56"/>
      <c r="GQ86" s="56"/>
      <c r="GR86" s="56"/>
      <c r="GS86" s="56"/>
      <c r="GT86" s="56"/>
      <c r="GU86" s="56"/>
      <c r="GV86" s="56"/>
      <c r="GW86" s="56"/>
      <c r="GX86" s="56">
        <v>0</v>
      </c>
      <c r="GY86" s="56">
        <v>21.4</v>
      </c>
      <c r="GZ86" s="56">
        <v>57</v>
      </c>
      <c r="HA86" s="56">
        <v>35.5</v>
      </c>
      <c r="HB86" s="56">
        <v>0</v>
      </c>
      <c r="HC86">
        <v>0</v>
      </c>
      <c r="HD86">
        <v>0</v>
      </c>
      <c r="HE86">
        <v>0</v>
      </c>
    </row>
    <row r="87" spans="1:218" x14ac:dyDescent="0.35">
      <c r="A87" s="56" t="s">
        <v>2282</v>
      </c>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c r="BO87" s="56"/>
      <c r="BP87" s="56"/>
      <c r="BQ87" s="56"/>
      <c r="BR87" s="56"/>
      <c r="BS87" s="56"/>
      <c r="BT87" s="56"/>
      <c r="BU87" s="56"/>
      <c r="BV87" s="56"/>
      <c r="BW87" s="56"/>
      <c r="BX87" s="56"/>
      <c r="BY87" s="56"/>
      <c r="BZ87" s="56"/>
      <c r="CA87" s="56"/>
      <c r="CB87" s="56"/>
      <c r="CC87" s="56"/>
      <c r="CD87" s="56"/>
      <c r="CE87" s="56"/>
      <c r="CF87" s="56"/>
      <c r="CG87" s="56"/>
      <c r="CH87" s="56"/>
      <c r="CI87" s="56"/>
      <c r="CJ87" s="56"/>
      <c r="CK87" s="56"/>
      <c r="CL87" s="56"/>
      <c r="CM87" s="56"/>
      <c r="CN87" s="56"/>
      <c r="CO87" s="56"/>
      <c r="CP87" s="56"/>
      <c r="CQ87" s="56"/>
      <c r="CR87" s="56"/>
      <c r="CS87" s="56"/>
      <c r="CT87" s="56"/>
      <c r="CU87" s="56"/>
      <c r="CV87" s="56"/>
      <c r="CW87" s="56"/>
      <c r="CX87" s="56"/>
      <c r="CY87" s="56"/>
      <c r="CZ87" s="56"/>
      <c r="DA87" s="56"/>
      <c r="DB87" s="56"/>
      <c r="DC87" s="56"/>
      <c r="DD87" s="56"/>
      <c r="DE87" s="56"/>
      <c r="DF87" s="56"/>
      <c r="DG87" s="56"/>
      <c r="DH87" s="56"/>
      <c r="DI87" s="56"/>
      <c r="DJ87" s="56"/>
      <c r="DK87" s="56"/>
      <c r="DL87" s="56"/>
      <c r="DM87" s="56"/>
      <c r="DN87" s="56"/>
      <c r="DO87" s="56"/>
      <c r="DP87" s="56"/>
      <c r="DQ87" s="56"/>
      <c r="DR87" s="56"/>
      <c r="DS87" s="56"/>
      <c r="DT87" s="56"/>
      <c r="DU87" s="56"/>
      <c r="DV87" s="56"/>
      <c r="DW87" s="56"/>
      <c r="DX87" s="56"/>
      <c r="DY87" s="56"/>
      <c r="DZ87" s="56"/>
      <c r="EA87" s="56"/>
      <c r="EB87" s="56"/>
      <c r="EC87" s="56"/>
      <c r="ED87" s="56"/>
      <c r="EE87" s="56"/>
      <c r="EF87" s="56"/>
      <c r="EG87" s="56"/>
      <c r="EH87" s="56"/>
      <c r="EI87" s="56"/>
      <c r="EJ87" s="56"/>
      <c r="EK87" s="56"/>
      <c r="EL87" s="56"/>
      <c r="EM87" s="56"/>
      <c r="EN87" s="56"/>
      <c r="EO87" s="56"/>
      <c r="EP87" s="56"/>
      <c r="EQ87" s="56"/>
      <c r="ER87" s="56"/>
      <c r="ES87" s="56"/>
      <c r="ET87" s="56"/>
      <c r="EU87" s="56"/>
      <c r="EV87" s="56"/>
      <c r="EW87" s="56"/>
      <c r="EX87" s="56"/>
      <c r="EY87" s="56"/>
      <c r="EZ87" s="56"/>
      <c r="FA87" s="56"/>
      <c r="FB87" s="56"/>
      <c r="FC87" s="56"/>
      <c r="FD87" s="56"/>
      <c r="FE87" s="56"/>
      <c r="FF87" s="56"/>
      <c r="FG87" s="56"/>
      <c r="FH87" s="56"/>
      <c r="FI87" s="56"/>
      <c r="FJ87" s="56"/>
      <c r="FK87" s="56"/>
      <c r="FL87" s="56"/>
      <c r="FM87" s="56"/>
      <c r="FN87" s="56"/>
      <c r="FO87" s="56"/>
      <c r="FP87" s="56"/>
      <c r="FQ87" s="56"/>
      <c r="FR87" s="56"/>
      <c r="FS87" s="56"/>
      <c r="FT87" s="56"/>
      <c r="FU87" s="56"/>
      <c r="FV87" s="56"/>
      <c r="FW87" s="56"/>
      <c r="FX87" s="56"/>
      <c r="FY87" s="56"/>
      <c r="FZ87" s="56"/>
      <c r="GA87" s="56"/>
      <c r="GB87" s="56"/>
      <c r="GC87" s="56"/>
      <c r="GD87" s="56"/>
      <c r="GE87" s="56"/>
      <c r="GF87" s="56"/>
      <c r="GG87" s="56"/>
      <c r="GH87" s="56"/>
      <c r="GI87" s="56"/>
      <c r="GJ87" s="56"/>
      <c r="GK87" s="56"/>
      <c r="GL87" s="56"/>
      <c r="GM87" s="56"/>
      <c r="GN87" s="56"/>
      <c r="GO87" s="56"/>
      <c r="GP87" s="56"/>
      <c r="GQ87" s="56"/>
      <c r="GR87" s="56"/>
      <c r="GS87" s="56"/>
      <c r="GT87" s="56"/>
      <c r="GU87" s="56">
        <v>60.3</v>
      </c>
      <c r="GV87" s="56">
        <v>18.5</v>
      </c>
      <c r="GW87" s="56">
        <v>0</v>
      </c>
      <c r="GX87" s="56">
        <v>0.3</v>
      </c>
      <c r="GY87" s="56">
        <v>11.3</v>
      </c>
      <c r="GZ87" s="56">
        <v>10.4</v>
      </c>
      <c r="HA87" s="56">
        <v>5.3</v>
      </c>
      <c r="HB87" s="56">
        <v>2.4</v>
      </c>
      <c r="HC87">
        <v>0.3</v>
      </c>
      <c r="HD87">
        <v>0</v>
      </c>
      <c r="HE87">
        <v>0</v>
      </c>
    </row>
    <row r="88" spans="1:218" ht="19.399999999999999" customHeight="1" x14ac:dyDescent="0.35">
      <c r="A88" s="56" t="s">
        <v>2283</v>
      </c>
      <c r="B88" s="56">
        <v>27088</v>
      </c>
      <c r="C88" s="56">
        <v>34148</v>
      </c>
      <c r="D88" s="56">
        <v>31952</v>
      </c>
      <c r="E88" s="56">
        <v>32332</v>
      </c>
      <c r="F88" s="56">
        <v>32820</v>
      </c>
      <c r="G88" s="56">
        <v>38700</v>
      </c>
      <c r="H88" s="56">
        <v>37216</v>
      </c>
      <c r="I88" s="56">
        <v>37732</v>
      </c>
      <c r="J88" s="56">
        <v>38284</v>
      </c>
      <c r="K88" s="56">
        <v>38748</v>
      </c>
      <c r="L88" s="56">
        <v>39284</v>
      </c>
      <c r="M88" s="56">
        <v>47476</v>
      </c>
      <c r="N88" s="56">
        <v>49096</v>
      </c>
      <c r="O88" s="56">
        <v>50332</v>
      </c>
      <c r="P88" s="56">
        <v>51216</v>
      </c>
      <c r="Q88" s="56">
        <v>52016</v>
      </c>
      <c r="R88" s="56">
        <v>52464</v>
      </c>
      <c r="S88" s="56">
        <v>56916</v>
      </c>
      <c r="T88" s="56">
        <v>59804</v>
      </c>
      <c r="U88" s="56">
        <v>61244</v>
      </c>
      <c r="V88" s="56">
        <v>62000</v>
      </c>
      <c r="W88" s="56">
        <v>62888</v>
      </c>
      <c r="X88" s="56">
        <v>69012</v>
      </c>
      <c r="Y88" s="56">
        <v>69680</v>
      </c>
      <c r="Z88" s="56">
        <v>70960</v>
      </c>
      <c r="AA88" s="56">
        <v>71416</v>
      </c>
      <c r="AB88" s="56">
        <v>76996</v>
      </c>
      <c r="AC88" s="56">
        <v>78632</v>
      </c>
      <c r="AD88" s="56">
        <v>79228</v>
      </c>
      <c r="AE88" s="56">
        <v>80364</v>
      </c>
      <c r="AF88" s="56">
        <v>86256</v>
      </c>
      <c r="AG88" s="56">
        <v>87108</v>
      </c>
      <c r="AH88" s="56">
        <v>87776</v>
      </c>
      <c r="AI88" s="56">
        <v>87912</v>
      </c>
      <c r="AJ88" s="56">
        <v>94276</v>
      </c>
      <c r="AK88" s="56">
        <v>95556</v>
      </c>
      <c r="AL88" s="56">
        <v>96528</v>
      </c>
      <c r="AM88" s="56">
        <v>97848</v>
      </c>
      <c r="AN88" s="56">
        <v>107624</v>
      </c>
      <c r="AO88" s="56">
        <v>108324</v>
      </c>
      <c r="AP88" s="56">
        <v>109348</v>
      </c>
      <c r="AQ88" s="56">
        <v>109988</v>
      </c>
      <c r="AR88" s="56">
        <v>126932</v>
      </c>
      <c r="AS88" s="56">
        <v>128076</v>
      </c>
      <c r="AT88" s="56">
        <v>130716</v>
      </c>
      <c r="AU88" s="56">
        <v>131096</v>
      </c>
      <c r="AV88" s="56">
        <v>146284</v>
      </c>
      <c r="AW88" s="56">
        <v>146480</v>
      </c>
      <c r="AX88" s="56">
        <v>146772</v>
      </c>
      <c r="AY88" s="56">
        <v>147528</v>
      </c>
      <c r="AZ88" s="56">
        <v>157636</v>
      </c>
      <c r="BA88" s="56">
        <v>162896</v>
      </c>
      <c r="BB88" s="56">
        <v>162144</v>
      </c>
      <c r="BC88" s="56">
        <v>164008</v>
      </c>
      <c r="BD88" s="56">
        <v>163980</v>
      </c>
      <c r="BE88" s="56">
        <v>167572</v>
      </c>
      <c r="BF88" s="56">
        <v>170936</v>
      </c>
      <c r="BG88" s="56">
        <v>172680</v>
      </c>
      <c r="BH88" s="56">
        <v>172444</v>
      </c>
      <c r="BI88" s="56">
        <v>176048</v>
      </c>
      <c r="BJ88" s="56">
        <v>181540</v>
      </c>
      <c r="BK88" s="56">
        <v>181976</v>
      </c>
      <c r="BL88" s="56">
        <v>185252</v>
      </c>
      <c r="BM88" s="56">
        <v>184332</v>
      </c>
      <c r="BN88" s="56">
        <v>191100</v>
      </c>
      <c r="BO88" s="56">
        <v>192104</v>
      </c>
      <c r="BP88" s="56">
        <v>195880</v>
      </c>
      <c r="BQ88" s="56">
        <v>195440</v>
      </c>
      <c r="BR88" s="56">
        <v>198912</v>
      </c>
      <c r="BS88" s="56">
        <v>201652</v>
      </c>
      <c r="BT88" s="56">
        <v>201436</v>
      </c>
      <c r="BU88" s="56">
        <v>201980</v>
      </c>
      <c r="BV88" s="56">
        <v>213484</v>
      </c>
      <c r="BW88" s="56">
        <v>213536</v>
      </c>
      <c r="BX88" s="56">
        <v>214156</v>
      </c>
      <c r="BY88" s="56">
        <v>214488</v>
      </c>
      <c r="BZ88" s="56">
        <v>225904</v>
      </c>
      <c r="CA88" s="56">
        <v>226768</v>
      </c>
      <c r="CB88" s="56">
        <v>227804</v>
      </c>
      <c r="CC88" s="56">
        <v>229044</v>
      </c>
      <c r="CD88" s="56">
        <v>241024</v>
      </c>
      <c r="CE88" s="56">
        <v>243792</v>
      </c>
      <c r="CF88" s="56">
        <v>244712</v>
      </c>
      <c r="CG88" s="56">
        <v>247012</v>
      </c>
      <c r="CH88" s="56">
        <v>261292</v>
      </c>
      <c r="CI88" s="56">
        <v>263620</v>
      </c>
      <c r="CJ88" s="56">
        <v>265076</v>
      </c>
      <c r="CK88" s="56">
        <v>266828</v>
      </c>
      <c r="CL88" s="56">
        <v>278568</v>
      </c>
      <c r="CM88" s="56">
        <v>281744</v>
      </c>
      <c r="CN88" s="56">
        <v>282848</v>
      </c>
      <c r="CO88" s="56">
        <v>283944</v>
      </c>
      <c r="CP88" s="56">
        <v>295568</v>
      </c>
      <c r="CQ88" s="56">
        <v>297064</v>
      </c>
      <c r="CR88" s="56">
        <v>298552</v>
      </c>
      <c r="CS88" s="56">
        <v>300556</v>
      </c>
      <c r="CT88" s="56">
        <v>308800</v>
      </c>
      <c r="CU88" s="56">
        <v>311776</v>
      </c>
      <c r="CV88" s="56">
        <v>312956</v>
      </c>
      <c r="CW88" s="56">
        <v>315112</v>
      </c>
      <c r="CX88" s="56">
        <v>324784</v>
      </c>
      <c r="CY88" s="56">
        <v>327504</v>
      </c>
      <c r="CZ88" s="56">
        <v>328632</v>
      </c>
      <c r="DA88" s="56">
        <v>329780</v>
      </c>
      <c r="DB88" s="56">
        <v>339100</v>
      </c>
      <c r="DC88" s="56">
        <v>341412</v>
      </c>
      <c r="DD88" s="56">
        <v>342632</v>
      </c>
      <c r="DE88" s="56">
        <v>344876</v>
      </c>
      <c r="DF88" s="56">
        <v>353920</v>
      </c>
      <c r="DG88" s="56">
        <v>355872</v>
      </c>
      <c r="DH88" s="56">
        <v>357524</v>
      </c>
      <c r="DI88" s="56">
        <v>359052</v>
      </c>
      <c r="DJ88" s="56">
        <v>366632</v>
      </c>
      <c r="DK88" s="56">
        <v>368208</v>
      </c>
      <c r="DL88" s="56">
        <v>370704</v>
      </c>
      <c r="DM88" s="56">
        <v>371184</v>
      </c>
      <c r="DN88" s="56">
        <v>376964</v>
      </c>
      <c r="DO88" s="56">
        <v>378944</v>
      </c>
      <c r="DP88" s="56">
        <v>380800</v>
      </c>
      <c r="DQ88" s="56">
        <v>382748</v>
      </c>
      <c r="DR88" s="56">
        <v>392512</v>
      </c>
      <c r="DS88" s="56">
        <v>404664</v>
      </c>
      <c r="DT88" s="56">
        <v>403872</v>
      </c>
      <c r="DU88" s="56">
        <v>404524</v>
      </c>
      <c r="DV88" s="56">
        <v>420812</v>
      </c>
      <c r="DW88" s="56">
        <v>422668</v>
      </c>
      <c r="DX88" s="56">
        <v>428384</v>
      </c>
      <c r="DY88" s="56">
        <v>428472</v>
      </c>
      <c r="DZ88" s="56">
        <v>442872</v>
      </c>
      <c r="EA88" s="56">
        <v>445487</v>
      </c>
      <c r="EB88" s="56">
        <v>448080</v>
      </c>
      <c r="EC88" s="56">
        <v>451196</v>
      </c>
      <c r="ED88" s="56">
        <v>458142</v>
      </c>
      <c r="EE88" s="56">
        <v>463083</v>
      </c>
      <c r="EF88" s="56">
        <v>464765</v>
      </c>
      <c r="EG88" s="56">
        <v>468133</v>
      </c>
      <c r="EH88" s="56">
        <v>479685</v>
      </c>
      <c r="EI88" s="56">
        <v>484798</v>
      </c>
      <c r="EJ88" s="56">
        <v>486184</v>
      </c>
      <c r="EK88" s="56">
        <v>491380</v>
      </c>
      <c r="EL88" s="56">
        <v>506486</v>
      </c>
      <c r="EM88" s="56">
        <v>512872</v>
      </c>
      <c r="EN88" s="56">
        <v>514043</v>
      </c>
      <c r="EO88" s="56">
        <v>517512</v>
      </c>
      <c r="EP88" s="56">
        <v>538042</v>
      </c>
      <c r="EQ88" s="56">
        <v>543660</v>
      </c>
      <c r="ER88" s="56">
        <v>546105</v>
      </c>
      <c r="ES88" s="56">
        <v>548576</v>
      </c>
      <c r="ET88" s="56">
        <v>568277</v>
      </c>
      <c r="EU88" s="56">
        <v>575021</v>
      </c>
      <c r="EV88" s="56">
        <v>578227</v>
      </c>
      <c r="EW88" s="56">
        <v>581089</v>
      </c>
      <c r="EX88" s="56">
        <v>597326</v>
      </c>
      <c r="EY88" s="56">
        <v>602859</v>
      </c>
      <c r="EZ88" s="56">
        <v>608868</v>
      </c>
      <c r="FA88" s="56">
        <v>613115</v>
      </c>
      <c r="FB88" s="56">
        <v>651871</v>
      </c>
      <c r="FC88" s="56">
        <v>662422</v>
      </c>
      <c r="FD88" s="56">
        <v>667932</v>
      </c>
      <c r="FE88" s="56">
        <v>675654</v>
      </c>
      <c r="FF88" s="56">
        <v>678854</v>
      </c>
      <c r="FG88" s="56">
        <v>689251</v>
      </c>
      <c r="FH88" s="56">
        <v>693594</v>
      </c>
      <c r="FI88" s="56">
        <v>698996</v>
      </c>
      <c r="FJ88" s="56">
        <v>703143</v>
      </c>
      <c r="FK88" s="56">
        <v>712039</v>
      </c>
      <c r="FL88" s="56">
        <v>716021</v>
      </c>
      <c r="FM88" s="56">
        <v>721840</v>
      </c>
      <c r="FN88" s="56">
        <v>753212</v>
      </c>
      <c r="FO88" s="56">
        <v>759410</v>
      </c>
      <c r="FP88" s="56">
        <v>765124</v>
      </c>
      <c r="FQ88" s="56">
        <v>770811</v>
      </c>
      <c r="FR88" s="56">
        <v>789992</v>
      </c>
      <c r="FS88" s="56">
        <v>795240</v>
      </c>
      <c r="FT88" s="56">
        <v>802336</v>
      </c>
      <c r="FU88" s="56">
        <v>808608</v>
      </c>
      <c r="FV88" s="56">
        <v>824825</v>
      </c>
      <c r="FW88" s="56">
        <v>831664</v>
      </c>
      <c r="FX88" s="56">
        <v>836478</v>
      </c>
      <c r="FY88" s="56">
        <v>845592</v>
      </c>
      <c r="FZ88" s="56">
        <v>861827</v>
      </c>
      <c r="GA88" s="56">
        <v>868501</v>
      </c>
      <c r="GB88" s="56">
        <v>873921</v>
      </c>
      <c r="GC88" s="56">
        <v>882925</v>
      </c>
      <c r="GD88" s="56">
        <v>886054</v>
      </c>
      <c r="GE88" s="56">
        <v>893200</v>
      </c>
      <c r="GF88" s="56">
        <v>899396</v>
      </c>
      <c r="GG88" s="56">
        <v>907237</v>
      </c>
      <c r="GH88" s="56">
        <v>916306</v>
      </c>
      <c r="GI88" s="56">
        <v>922033</v>
      </c>
      <c r="GJ88" s="56">
        <v>929279</v>
      </c>
      <c r="GK88" s="56">
        <v>936668</v>
      </c>
      <c r="GL88" s="56">
        <v>960613</v>
      </c>
      <c r="GM88" s="56">
        <v>968342</v>
      </c>
      <c r="GN88" s="56">
        <v>976833</v>
      </c>
      <c r="GO88" s="56">
        <v>983861</v>
      </c>
      <c r="GP88" s="56">
        <v>1019170</v>
      </c>
      <c r="GQ88" s="56">
        <v>1026740</v>
      </c>
      <c r="GR88" s="56">
        <v>1034364</v>
      </c>
      <c r="GS88" s="56">
        <v>1042697</v>
      </c>
      <c r="GT88" s="56">
        <v>1068172</v>
      </c>
      <c r="GU88" s="56">
        <v>1075081</v>
      </c>
      <c r="GV88" s="56">
        <v>1080296</v>
      </c>
      <c r="GW88" s="56">
        <v>1088164</v>
      </c>
      <c r="GX88" s="56">
        <v>1105684</v>
      </c>
      <c r="GY88" s="56">
        <v>1109622</v>
      </c>
      <c r="GZ88" s="56">
        <v>1116840</v>
      </c>
      <c r="HA88" s="56">
        <v>1126254</v>
      </c>
      <c r="HB88" s="56">
        <v>1198680</v>
      </c>
      <c r="HC88">
        <v>1207049</v>
      </c>
      <c r="HD88">
        <v>1214451</v>
      </c>
      <c r="HE88">
        <v>1225835</v>
      </c>
      <c r="HF88">
        <v>1339977</v>
      </c>
      <c r="HG88">
        <v>1353758</v>
      </c>
      <c r="HH88">
        <v>1361285</v>
      </c>
      <c r="HI88">
        <v>1374247</v>
      </c>
      <c r="HJ88">
        <v>1426429</v>
      </c>
    </row>
    <row r="89" spans="1:218" x14ac:dyDescent="0.35">
      <c r="A89" s="56" t="s">
        <v>2284</v>
      </c>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c r="BN89" s="56"/>
      <c r="BO89" s="56"/>
      <c r="BP89" s="56"/>
      <c r="BQ89" s="56"/>
      <c r="BR89" s="56"/>
      <c r="BS89" s="56"/>
      <c r="BT89" s="56"/>
      <c r="BU89" s="56"/>
      <c r="BV89" s="56"/>
      <c r="BW89" s="56"/>
      <c r="BX89" s="56"/>
      <c r="BY89" s="56"/>
      <c r="BZ89" s="56"/>
      <c r="CA89" s="56"/>
      <c r="CB89" s="56"/>
      <c r="CC89" s="56"/>
      <c r="CD89" s="56"/>
      <c r="CE89" s="56"/>
      <c r="CF89" s="56"/>
      <c r="CG89" s="56"/>
      <c r="CH89" s="56"/>
      <c r="CI89" s="56"/>
      <c r="CJ89" s="56"/>
      <c r="CK89" s="56"/>
      <c r="CL89" s="56"/>
      <c r="CM89" s="56"/>
      <c r="CN89" s="56"/>
      <c r="CO89" s="56"/>
      <c r="CP89" s="56"/>
      <c r="CQ89" s="56"/>
      <c r="CR89" s="56"/>
      <c r="CS89" s="56"/>
      <c r="CT89" s="56"/>
      <c r="CU89" s="56"/>
      <c r="CV89" s="56"/>
      <c r="CW89" s="56"/>
      <c r="CX89" s="56"/>
      <c r="CY89" s="56"/>
      <c r="CZ89" s="56"/>
      <c r="DA89" s="56"/>
      <c r="DB89" s="56"/>
      <c r="DC89" s="56"/>
      <c r="DD89" s="56"/>
      <c r="DE89" s="56"/>
      <c r="DF89" s="56"/>
      <c r="DG89" s="56"/>
      <c r="DH89" s="56"/>
      <c r="DI89" s="56"/>
      <c r="DJ89" s="56"/>
      <c r="DK89" s="56"/>
      <c r="DL89" s="56"/>
      <c r="DM89" s="56"/>
      <c r="DN89" s="56"/>
      <c r="DO89" s="56"/>
      <c r="DP89" s="56"/>
      <c r="DQ89" s="56"/>
      <c r="DR89" s="56"/>
      <c r="DS89" s="56"/>
      <c r="DT89" s="56"/>
      <c r="DU89" s="56"/>
      <c r="DV89" s="56"/>
      <c r="DW89" s="56"/>
      <c r="DX89" s="56"/>
      <c r="DY89" s="56"/>
      <c r="DZ89" s="56"/>
      <c r="EA89" s="56"/>
      <c r="EB89" s="56"/>
      <c r="EC89" s="56"/>
      <c r="ED89" s="56"/>
      <c r="EE89" s="56"/>
      <c r="EF89" s="56"/>
      <c r="EG89" s="56"/>
      <c r="EH89" s="56"/>
      <c r="EI89" s="56"/>
      <c r="EJ89" s="56"/>
      <c r="EK89" s="56"/>
      <c r="EL89" s="56"/>
      <c r="EM89" s="56"/>
      <c r="EN89" s="56"/>
      <c r="EO89" s="56"/>
      <c r="EP89" s="56"/>
      <c r="EQ89" s="56"/>
      <c r="ER89" s="56"/>
      <c r="ES89" s="56"/>
      <c r="ET89" s="56"/>
      <c r="EU89" s="56"/>
      <c r="EV89" s="56"/>
      <c r="EW89" s="56"/>
      <c r="EX89" s="56"/>
      <c r="EY89" s="56"/>
      <c r="EZ89" s="56"/>
      <c r="FA89" s="56"/>
      <c r="FB89" s="56"/>
      <c r="FC89" s="56"/>
      <c r="FD89" s="56"/>
      <c r="FE89" s="56"/>
      <c r="FF89" s="56"/>
      <c r="FG89" s="56"/>
      <c r="FH89" s="56"/>
      <c r="FI89" s="56"/>
      <c r="FJ89" s="56"/>
      <c r="FK89" s="56"/>
      <c r="FL89" s="56"/>
      <c r="FM89" s="56"/>
      <c r="FN89" s="56"/>
      <c r="FO89" s="56"/>
      <c r="FP89" s="56"/>
      <c r="FQ89" s="56"/>
      <c r="FR89" s="56"/>
      <c r="FS89" s="56"/>
      <c r="FT89" s="56"/>
      <c r="FU89" s="56"/>
      <c r="FV89" s="56"/>
      <c r="FW89" s="56"/>
      <c r="FX89" s="56"/>
      <c r="FY89" s="56"/>
      <c r="FZ89" s="56"/>
      <c r="GA89" s="56"/>
      <c r="GB89" s="56"/>
      <c r="GC89" s="56"/>
      <c r="GD89" s="56"/>
      <c r="GE89" s="56"/>
      <c r="GF89" s="56"/>
      <c r="GG89" s="56"/>
      <c r="GH89" s="56"/>
      <c r="GI89" s="56"/>
      <c r="GJ89" s="56"/>
      <c r="GK89" s="56"/>
      <c r="GL89" s="56"/>
      <c r="GM89" s="56"/>
      <c r="GN89" s="56"/>
      <c r="GO89" s="56"/>
      <c r="GP89" s="56"/>
      <c r="GQ89" s="56"/>
      <c r="GR89" s="56"/>
      <c r="GS89" s="56"/>
      <c r="GT89" s="56"/>
      <c r="GU89" s="56"/>
      <c r="GV89" s="56"/>
      <c r="GW89" s="56"/>
      <c r="GX89" s="56">
        <v>34.4</v>
      </c>
      <c r="GY89" s="56">
        <v>34.4</v>
      </c>
      <c r="GZ89" s="56">
        <v>218.933333333333</v>
      </c>
      <c r="HA89" s="56">
        <v>223.13333333333301</v>
      </c>
      <c r="HB89" s="56">
        <v>94.3</v>
      </c>
      <c r="HC89">
        <v>94.3</v>
      </c>
      <c r="HD89">
        <v>94.3</v>
      </c>
      <c r="HE89">
        <v>94.3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8"/>
  <sheetViews>
    <sheetView tabSelected="1" zoomScaleNormal="100" workbookViewId="0">
      <selection activeCell="O91" sqref="O91"/>
    </sheetView>
  </sheetViews>
  <sheetFormatPr defaultColWidth="10.90625" defaultRowHeight="14.5" x14ac:dyDescent="0.35"/>
  <cols>
    <col min="2" max="2" width="39.453125" customWidth="1"/>
    <col min="3" max="3" width="20.1796875" customWidth="1"/>
    <col min="4" max="5" width="9.453125" customWidth="1"/>
    <col min="9" max="9" width="12.453125" customWidth="1"/>
  </cols>
  <sheetData>
    <row r="2" spans="2:13" x14ac:dyDescent="0.35">
      <c r="B2" s="1254" t="s">
        <v>1962</v>
      </c>
      <c r="C2" s="1254"/>
      <c r="D2" s="1254"/>
      <c r="E2" s="1254"/>
      <c r="F2" s="1254"/>
      <c r="G2" s="1254"/>
      <c r="H2" s="1254"/>
      <c r="I2" s="1254"/>
      <c r="J2" s="1254"/>
      <c r="K2" s="1254"/>
      <c r="L2" s="1254"/>
      <c r="M2" s="1254"/>
    </row>
    <row r="3" spans="2:13" x14ac:dyDescent="0.35">
      <c r="B3" t="str">
        <f>forecast!A1</f>
        <v>name</v>
      </c>
      <c r="C3" t="str">
        <f>forecast!B1</f>
        <v>variable</v>
      </c>
      <c r="D3" t="str">
        <f>forecast!C1</f>
        <v>2024 Q1</v>
      </c>
      <c r="E3" t="str">
        <f>forecast!D1</f>
        <v>2024 Q2</v>
      </c>
      <c r="F3" t="s">
        <v>175</v>
      </c>
      <c r="G3" t="s">
        <v>176</v>
      </c>
      <c r="H3" t="s">
        <v>177</v>
      </c>
      <c r="I3" t="s">
        <v>765</v>
      </c>
      <c r="J3" t="s">
        <v>766</v>
      </c>
      <c r="K3" t="s">
        <v>767</v>
      </c>
      <c r="L3" t="s">
        <v>1157</v>
      </c>
      <c r="M3" t="s">
        <v>1158</v>
      </c>
    </row>
    <row r="4" spans="2:13" x14ac:dyDescent="0.35">
      <c r="B4" t="str">
        <f>forecast!A2</f>
        <v>Consumption Grants</v>
      </c>
      <c r="C4" t="str">
        <f>forecast!B2</f>
        <v>consumption_grants</v>
      </c>
      <c r="D4" s="70">
        <f>forecast!C2</f>
        <v>427.26494400000001</v>
      </c>
      <c r="E4" s="70">
        <f>forecast!D2</f>
        <v>418.03001728324807</v>
      </c>
      <c r="F4" s="70">
        <f>forecast!E2</f>
        <v>422.5102225824408</v>
      </c>
      <c r="G4" s="70">
        <f>forecast!F2</f>
        <v>427.2815256817579</v>
      </c>
      <c r="H4" s="70">
        <f>forecast!G2</f>
        <v>410.47107700000004</v>
      </c>
      <c r="I4" s="70">
        <f>forecast!H2</f>
        <v>405.8184041145779</v>
      </c>
      <c r="J4" s="70">
        <f>forecast!I2</f>
        <v>408.36749628573835</v>
      </c>
      <c r="K4" s="70">
        <f>forecast!J2</f>
        <v>407.0560067810282</v>
      </c>
      <c r="L4" s="70">
        <f>forecast!K2</f>
        <v>409.781722</v>
      </c>
      <c r="M4" s="70">
        <f>forecast!L2</f>
        <v>0</v>
      </c>
    </row>
    <row r="5" spans="2:13" x14ac:dyDescent="0.35">
      <c r="B5" t="str">
        <f>forecast!A3</f>
        <v>Investment Grants</v>
      </c>
      <c r="C5" t="str">
        <f>forecast!B3</f>
        <v>investment_grants</v>
      </c>
      <c r="D5" s="70">
        <f>forecast!C3</f>
        <v>77.707285714285717</v>
      </c>
      <c r="E5" s="70">
        <f>forecast!D3</f>
        <v>77.707285714285717</v>
      </c>
      <c r="F5" s="70">
        <f>forecast!E3</f>
        <v>77.707285714285717</v>
      </c>
      <c r="G5" s="70">
        <f>forecast!F3</f>
        <v>79.301285714285726</v>
      </c>
      <c r="H5" s="70">
        <f>forecast!G3</f>
        <v>79.301285714285726</v>
      </c>
      <c r="I5" s="70">
        <f>forecast!H3</f>
        <v>75.229285714285723</v>
      </c>
      <c r="J5" s="70">
        <f>forecast!I3</f>
        <v>75.229285714285723</v>
      </c>
      <c r="K5" s="70">
        <f>forecast!J3</f>
        <v>75.229285714285723</v>
      </c>
      <c r="L5" s="70">
        <f>forecast!K3</f>
        <v>75.229285714285723</v>
      </c>
      <c r="M5" s="70">
        <f>forecast!L3</f>
        <v>0</v>
      </c>
    </row>
    <row r="6" spans="2:13" x14ac:dyDescent="0.35">
      <c r="B6" t="str">
        <f>forecast!A4</f>
        <v>Federal Purchases (NIPA Consistent)</v>
      </c>
      <c r="C6" t="str">
        <f>forecast!B4</f>
        <v>federal_purchases</v>
      </c>
      <c r="D6" s="70">
        <f>forecast!C4</f>
        <v>1837.4</v>
      </c>
      <c r="E6" s="70">
        <f>forecast!D4</f>
        <v>1848.840759157905</v>
      </c>
      <c r="F6" s="70">
        <f>forecast!E4</f>
        <v>1864.6793808570437</v>
      </c>
      <c r="G6" s="70">
        <f>forecast!F4</f>
        <v>1878.7332168270141</v>
      </c>
      <c r="H6" s="70">
        <f>forecast!G4</f>
        <v>1890.2561303510229</v>
      </c>
      <c r="I6" s="70">
        <f>forecast!H4</f>
        <v>1902.4108784838113</v>
      </c>
      <c r="J6" s="70">
        <f>forecast!I4</f>
        <v>1915.3804996580586</v>
      </c>
      <c r="K6" s="70">
        <f>forecast!J4</f>
        <v>1929.5261263966356</v>
      </c>
      <c r="L6" s="70">
        <f>forecast!K4</f>
        <v>1943.7809410714542</v>
      </c>
      <c r="M6" s="70">
        <f>forecast!L4</f>
        <v>0</v>
      </c>
    </row>
    <row r="7" spans="2:13" x14ac:dyDescent="0.35">
      <c r="B7" t="str">
        <f>forecast!A5</f>
        <v>State Purchases (NIPA Consistent)</v>
      </c>
      <c r="C7" t="str">
        <f>forecast!B5</f>
        <v>state_purchases</v>
      </c>
      <c r="D7" s="70">
        <f>forecast!C5</f>
        <v>3103.6</v>
      </c>
      <c r="E7" s="70">
        <f>forecast!D5</f>
        <v>3134.4898845593634</v>
      </c>
      <c r="F7" s="70">
        <f>forecast!E5</f>
        <v>3163.760929193335</v>
      </c>
      <c r="G7" s="70">
        <f>forecast!F5</f>
        <v>3193.5898798949074</v>
      </c>
      <c r="H7" s="70">
        <f>forecast!G5</f>
        <v>3223.1953968528278</v>
      </c>
      <c r="I7" s="70">
        <f>forecast!H5</f>
        <v>3253.2791339983396</v>
      </c>
      <c r="J7" s="70">
        <f>forecast!I5</f>
        <v>3284.1971936083419</v>
      </c>
      <c r="K7" s="70">
        <f>forecast!J5</f>
        <v>3315.0019930100752</v>
      </c>
      <c r="L7" s="70">
        <f>forecast!K5</f>
        <v>3347.4004637052426</v>
      </c>
      <c r="M7" s="70">
        <f>forecast!L5</f>
        <v>0</v>
      </c>
    </row>
    <row r="8" spans="2:13" x14ac:dyDescent="0.35">
      <c r="B8" t="str">
        <f>forecast!A6</f>
        <v>Non-ARP Subsidies + ARP Provider Relief and PPP</v>
      </c>
      <c r="C8" t="str">
        <f>forecast!B6</f>
        <v>federal_subsidies</v>
      </c>
      <c r="D8" s="70">
        <f>forecast!C6</f>
        <v>95.135000000000005</v>
      </c>
      <c r="E8" s="70">
        <f>forecast!D6</f>
        <v>95.135000000000005</v>
      </c>
      <c r="F8" s="70">
        <f>forecast!E6</f>
        <v>95.135000000000005</v>
      </c>
      <c r="G8" s="70">
        <f>forecast!F6</f>
        <v>102.23399999999999</v>
      </c>
      <c r="H8" s="70">
        <f>forecast!G6</f>
        <v>102.23399999999999</v>
      </c>
      <c r="I8" s="70">
        <f>forecast!H6</f>
        <v>95.212000000000003</v>
      </c>
      <c r="J8" s="70">
        <f>forecast!I6</f>
        <v>96.212000000000003</v>
      </c>
      <c r="K8" s="70">
        <f>forecast!J6</f>
        <v>101.551</v>
      </c>
      <c r="L8" s="70">
        <f>forecast!K6</f>
        <v>100.401</v>
      </c>
      <c r="M8" s="70">
        <f>forecast!L6</f>
        <v>0</v>
      </c>
    </row>
    <row r="9" spans="2:13" x14ac:dyDescent="0.35">
      <c r="B9" t="str">
        <f>forecast!A7</f>
        <v>ARP Subsidies less Provider Relief and PPP</v>
      </c>
      <c r="C9" t="str">
        <f>forecast!B7</f>
        <v>federal_aid_to_small_businesses_arp</v>
      </c>
      <c r="D9" s="70">
        <f>forecast!C7</f>
        <v>1.365</v>
      </c>
      <c r="E9" s="70">
        <f>forecast!D7</f>
        <v>1.365</v>
      </c>
      <c r="F9" s="70">
        <f>forecast!E7</f>
        <v>1.365</v>
      </c>
      <c r="G9" s="70">
        <f>forecast!F7</f>
        <v>-0.90100000000000025</v>
      </c>
      <c r="H9" s="70">
        <f>forecast!G7</f>
        <v>-0.90100000000000025</v>
      </c>
      <c r="I9" s="70">
        <f>forecast!H7</f>
        <v>-0.90100000000000025</v>
      </c>
      <c r="J9" s="70">
        <f>forecast!I7</f>
        <v>-0.90100000000000025</v>
      </c>
      <c r="K9" s="70">
        <f>forecast!J7</f>
        <v>-2.1500000000000004</v>
      </c>
      <c r="L9" s="70">
        <f>forecast!K7</f>
        <v>0</v>
      </c>
      <c r="M9" s="70">
        <f>forecast!L7</f>
        <v>0</v>
      </c>
    </row>
    <row r="10" spans="2:13" x14ac:dyDescent="0.35">
      <c r="B10" t="str">
        <f>forecast!A8</f>
        <v>Federal UI</v>
      </c>
      <c r="C10" t="str">
        <f>forecast!B8</f>
        <v>federal_ui</v>
      </c>
      <c r="D10" s="70">
        <f>forecast!C8</f>
        <v>-0.55714285714286049</v>
      </c>
      <c r="E10" s="70">
        <f>forecast!D8</f>
        <v>0</v>
      </c>
      <c r="F10" s="70">
        <f>forecast!E8</f>
        <v>0</v>
      </c>
      <c r="G10" s="70">
        <f>forecast!F8</f>
        <v>0</v>
      </c>
      <c r="H10" s="70">
        <f>forecast!G8</f>
        <v>0</v>
      </c>
      <c r="I10" s="70">
        <f>forecast!H8</f>
        <v>0</v>
      </c>
      <c r="J10" s="70">
        <f>forecast!I8</f>
        <v>0</v>
      </c>
      <c r="K10" s="70">
        <f>forecast!J8</f>
        <v>0</v>
      </c>
      <c r="L10" s="70">
        <f>forecast!K8</f>
        <v>0</v>
      </c>
      <c r="M10" s="70">
        <f>forecast!L8</f>
        <v>0</v>
      </c>
    </row>
    <row r="11" spans="2:13" x14ac:dyDescent="0.35">
      <c r="B11" t="str">
        <f>forecast!A9</f>
        <v>State UI</v>
      </c>
      <c r="C11" t="str">
        <f>forecast!B9</f>
        <v>state_ui</v>
      </c>
      <c r="D11" s="70">
        <f>forecast!C9</f>
        <v>23.25714285714286</v>
      </c>
      <c r="E11" s="70">
        <f>forecast!D9</f>
        <v>22.5</v>
      </c>
      <c r="F11" s="70">
        <f>forecast!E9</f>
        <v>22.5</v>
      </c>
      <c r="G11" s="70">
        <f>forecast!F9</f>
        <v>22.5</v>
      </c>
      <c r="H11" s="70">
        <f>forecast!G9</f>
        <v>22.5</v>
      </c>
      <c r="I11" s="70">
        <f>forecast!H9</f>
        <v>22.5</v>
      </c>
      <c r="J11" s="70">
        <f>forecast!I9</f>
        <v>22.5</v>
      </c>
      <c r="K11" s="70">
        <f>forecast!J9</f>
        <v>22.5</v>
      </c>
      <c r="L11" s="70">
        <f>forecast!K9</f>
        <v>22.5</v>
      </c>
      <c r="M11" s="70">
        <f>forecast!L9</f>
        <v>0</v>
      </c>
    </row>
    <row r="12" spans="2:13" x14ac:dyDescent="0.35">
      <c r="B12" t="str">
        <f>forecast!A10</f>
        <v>Federal Medicaid</v>
      </c>
      <c r="C12" t="str">
        <f>forecast!B10</f>
        <v>medicaid_grants</v>
      </c>
      <c r="D12" s="70">
        <f>forecast!C10</f>
        <v>613.56899999999996</v>
      </c>
      <c r="E12" s="70">
        <f>forecast!D10</f>
        <v>651.82462020360026</v>
      </c>
      <c r="F12" s="70">
        <f>forecast!E10</f>
        <v>665.66146299879847</v>
      </c>
      <c r="G12" s="70">
        <f>forecast!F10</f>
        <v>670.38604487784482</v>
      </c>
      <c r="H12" s="70">
        <f>forecast!G10</f>
        <v>675.14415982913965</v>
      </c>
      <c r="I12" s="70">
        <f>forecast!H10</f>
        <v>679.93604585616424</v>
      </c>
      <c r="J12" s="70">
        <f>forecast!I10</f>
        <v>684.76194265164725</v>
      </c>
      <c r="K12" s="70">
        <f>forecast!J10</f>
        <v>688.7138591869724</v>
      </c>
      <c r="L12" s="70">
        <f>forecast!K10</f>
        <v>692.68858312926568</v>
      </c>
      <c r="M12" s="70">
        <f>forecast!L10</f>
        <v>0</v>
      </c>
    </row>
    <row r="13" spans="2:13" x14ac:dyDescent="0.35">
      <c r="B13" t="str">
        <f>forecast!A11</f>
        <v>Total Medicaid</v>
      </c>
      <c r="C13" t="str">
        <f>forecast!B11</f>
        <v>medicaid</v>
      </c>
      <c r="D13" s="70">
        <f>forecast!C11</f>
        <v>916.9</v>
      </c>
      <c r="E13" s="70">
        <f>forecast!D11</f>
        <v>974.06810687091604</v>
      </c>
      <c r="F13" s="70">
        <f>forecast!E11</f>
        <v>994.74548978777989</v>
      </c>
      <c r="G13" s="70">
        <f>forecast!F11</f>
        <v>1001.8057700902358</v>
      </c>
      <c r="H13" s="70">
        <f>forecast!G11</f>
        <v>1008.9161612586981</v>
      </c>
      <c r="I13" s="70">
        <f>forecast!H11</f>
        <v>1016.0770189587756</v>
      </c>
      <c r="J13" s="70">
        <f>forecast!I11</f>
        <v>1023.2887013804402</v>
      </c>
      <c r="K13" s="70">
        <f>forecast!J11</f>
        <v>1029.1943326480559</v>
      </c>
      <c r="L13" s="70">
        <f>forecast!K11</f>
        <v>1035.1340466536342</v>
      </c>
      <c r="M13" s="70">
        <f>forecast!L11</f>
        <v>0</v>
      </c>
    </row>
    <row r="14" spans="2:13" x14ac:dyDescent="0.35">
      <c r="B14" t="str">
        <f>forecast!A12</f>
        <v>Medicare</v>
      </c>
      <c r="C14" t="str">
        <f>forecast!B12</f>
        <v>medicare</v>
      </c>
      <c r="D14" s="70">
        <f>forecast!C12</f>
        <v>965.3</v>
      </c>
      <c r="E14" s="70">
        <f>forecast!D12</f>
        <v>980.56003292022876</v>
      </c>
      <c r="F14" s="70">
        <f>forecast!E12</f>
        <v>996.18777418821298</v>
      </c>
      <c r="G14" s="70">
        <f>forecast!F12</f>
        <v>1008.812306797969</v>
      </c>
      <c r="H14" s="70">
        <f>forecast!G12</f>
        <v>1021.5968281445319</v>
      </c>
      <c r="I14" s="70">
        <f>forecast!H12</f>
        <v>1034.5433657402616</v>
      </c>
      <c r="J14" s="70">
        <f>forecast!I12</f>
        <v>1047.6539727918666</v>
      </c>
      <c r="K14" s="70">
        <f>forecast!J12</f>
        <v>1064.1436593437684</v>
      </c>
      <c r="L14" s="70">
        <f>forecast!K12</f>
        <v>1080.8928874710773</v>
      </c>
      <c r="M14" s="70">
        <f>forecast!L12</f>
        <v>0</v>
      </c>
    </row>
    <row r="15" spans="2:13"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c r="L15" s="70">
        <f>forecast!K13</f>
        <v>0</v>
      </c>
      <c r="M15" s="70">
        <f>forecast!L13</f>
        <v>0</v>
      </c>
    </row>
    <row r="16" spans="2:13"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c r="L16" s="70">
        <f>forecast!K14</f>
        <v>0</v>
      </c>
      <c r="M16" s="70">
        <f>forecast!L14</f>
        <v>0</v>
      </c>
    </row>
    <row r="17" spans="2:13" x14ac:dyDescent="0.35">
      <c r="B17" t="str">
        <f>forecast!A15</f>
        <v>ARP Other Vulnerable</v>
      </c>
      <c r="C17" t="str">
        <f>forecast!B15</f>
        <v>federal_other_vulnerable_arp</v>
      </c>
      <c r="D17" s="70">
        <f>forecast!C15</f>
        <v>4.2219999999999995</v>
      </c>
      <c r="E17" s="70">
        <f>forecast!D15</f>
        <v>4.2219999999999995</v>
      </c>
      <c r="F17" s="70">
        <f>forecast!E15</f>
        <v>4.2219999999999995</v>
      </c>
      <c r="G17" s="70">
        <f>forecast!F15</f>
        <v>2.3719999999999999</v>
      </c>
      <c r="H17" s="70">
        <f>forecast!G15</f>
        <v>2.3719999999999999</v>
      </c>
      <c r="I17" s="70">
        <f>forecast!H15</f>
        <v>2.3719999999999999</v>
      </c>
      <c r="J17" s="70">
        <f>forecast!I15</f>
        <v>2.3719999999999999</v>
      </c>
      <c r="K17" s="70">
        <f>forecast!J15</f>
        <v>0.49</v>
      </c>
      <c r="L17" s="70">
        <f>forecast!K15</f>
        <v>0</v>
      </c>
      <c r="M17" s="70">
        <f>forecast!L15</f>
        <v>0</v>
      </c>
    </row>
    <row r="18" spans="2:13" x14ac:dyDescent="0.35">
      <c r="B18" t="str">
        <f>forecast!A16</f>
        <v xml:space="preserve">ARP Other Direct Aid plus Provider Relief </v>
      </c>
      <c r="C18" t="str">
        <f>forecast!B16</f>
        <v>federal_other_direct_aid_arp</v>
      </c>
      <c r="D18" s="70">
        <f>forecast!C16</f>
        <v>1.4790000000000001</v>
      </c>
      <c r="E18" s="70">
        <f>forecast!D16</f>
        <v>1.4790000000000001</v>
      </c>
      <c r="F18" s="70">
        <f>forecast!E16</f>
        <v>1.4790000000000001</v>
      </c>
      <c r="G18" s="70">
        <f>forecast!F16</f>
        <v>1.63</v>
      </c>
      <c r="H18" s="70">
        <f>forecast!G16</f>
        <v>1.63</v>
      </c>
      <c r="I18" s="70">
        <f>forecast!H16</f>
        <v>1.63</v>
      </c>
      <c r="J18" s="70">
        <f>forecast!I16</f>
        <v>1.63</v>
      </c>
      <c r="K18" s="70">
        <f>forecast!J16</f>
        <v>1.671</v>
      </c>
      <c r="L18" s="70">
        <f>forecast!K16</f>
        <v>0</v>
      </c>
      <c r="M18" s="70">
        <f>forecast!L16</f>
        <v>0</v>
      </c>
    </row>
    <row r="19" spans="2:13" x14ac:dyDescent="0.35">
      <c r="B19" t="str">
        <f>forecast!A17</f>
        <v>Other Federal Social Benefits (including all SNAP)</v>
      </c>
      <c r="C19" t="str">
        <f>forecast!B17</f>
        <v>federal_social_benefits</v>
      </c>
      <c r="D19" s="70">
        <f>forecast!C17</f>
        <v>2046.499</v>
      </c>
      <c r="E19" s="70">
        <f>forecast!D17</f>
        <v>2053.4323333333332</v>
      </c>
      <c r="F19" s="70">
        <f>forecast!E17</f>
        <v>2060.3656666666666</v>
      </c>
      <c r="G19" s="70">
        <f>forecast!F17</f>
        <v>2068.8270000000002</v>
      </c>
      <c r="H19" s="70">
        <f>forecast!G17</f>
        <v>2110.6089412743336</v>
      </c>
      <c r="I19" s="70">
        <f>forecast!H17</f>
        <v>2117.542274607667</v>
      </c>
      <c r="J19" s="70">
        <f>forecast!I17</f>
        <v>2124.4756079410004</v>
      </c>
      <c r="K19" s="70">
        <f>forecast!J17</f>
        <v>2115.1699412743337</v>
      </c>
      <c r="L19" s="70">
        <f>forecast!K17</f>
        <v>2159.15720553131</v>
      </c>
      <c r="M19" s="70">
        <f>forecast!L17</f>
        <v>0</v>
      </c>
    </row>
    <row r="20" spans="2:13" x14ac:dyDescent="0.35">
      <c r="B20" t="str">
        <f>forecast!A18</f>
        <v>State Social Benefits ex Medicaid</v>
      </c>
      <c r="C20" t="str">
        <f>forecast!B18</f>
        <v>state_social_benefits</v>
      </c>
      <c r="D20" s="70">
        <f>forecast!C18</f>
        <v>196.29831211574134</v>
      </c>
      <c r="E20" s="70">
        <f>forecast!D18</f>
        <v>199.52477289205825</v>
      </c>
      <c r="F20" s="70">
        <f>forecast!E18</f>
        <v>202.80426544959073</v>
      </c>
      <c r="G20" s="70">
        <f>forecast!F18</f>
        <v>206.137661446175</v>
      </c>
      <c r="H20" s="70">
        <f>forecast!G18</f>
        <v>209.52584686666717</v>
      </c>
      <c r="I20" s="70">
        <f>forecast!H18</f>
        <v>212.9697222584295</v>
      </c>
      <c r="J20" s="70">
        <f>forecast!I18</f>
        <v>216.47020297068735</v>
      </c>
      <c r="K20" s="70">
        <f>forecast!J18</f>
        <v>220.02821939782032</v>
      </c>
      <c r="L20" s="70">
        <f>forecast!K18</f>
        <v>223.64471722665206</v>
      </c>
      <c r="M20" s="70">
        <f>forecast!L18</f>
        <v>0</v>
      </c>
    </row>
    <row r="21" spans="2:13" x14ac:dyDescent="0.35">
      <c r="B21" t="str">
        <f>forecast!A19</f>
        <v>Federal Non-Corporate Taxes</v>
      </c>
      <c r="C21" t="str">
        <f>forecast!B19</f>
        <v>federal_non_corporate_taxes</v>
      </c>
      <c r="D21" s="70">
        <f>forecast!C19</f>
        <v>4381.5</v>
      </c>
      <c r="E21" s="70">
        <f>forecast!D19</f>
        <v>4465.5725827905289</v>
      </c>
      <c r="F21" s="70">
        <f>forecast!E19</f>
        <v>4498.1927562766296</v>
      </c>
      <c r="G21" s="70">
        <f>forecast!F19</f>
        <v>4529.3262381783798</v>
      </c>
      <c r="H21" s="70">
        <f>forecast!G19</f>
        <v>4651.7948053444998</v>
      </c>
      <c r="I21" s="70">
        <f>forecast!H19</f>
        <v>4683.8700092139306</v>
      </c>
      <c r="J21" s="70">
        <f>forecast!I19</f>
        <v>4716.195578128466</v>
      </c>
      <c r="K21" s="70">
        <f>forecast!J19</f>
        <v>4748.7737537948406</v>
      </c>
      <c r="L21" s="70">
        <f>forecast!K19</f>
        <v>5012.5791407329698</v>
      </c>
      <c r="M21" s="70">
        <f>forecast!L19</f>
        <v>0</v>
      </c>
    </row>
    <row r="22" spans="2:13" x14ac:dyDescent="0.35">
      <c r="B22" t="str">
        <f>forecast!A20</f>
        <v>State Non-Corporate Taxes</v>
      </c>
      <c r="C22" t="str">
        <f>forecast!B20</f>
        <v>state_non_corporate_taxes</v>
      </c>
      <c r="D22" s="70">
        <f>forecast!C20</f>
        <v>2296.6999999999998</v>
      </c>
      <c r="E22" s="70">
        <f>forecast!D20</f>
        <v>2339.2235824181621</v>
      </c>
      <c r="F22" s="70">
        <f>forecast!E20</f>
        <v>2371.0677549482875</v>
      </c>
      <c r="G22" s="70">
        <f>forecast!F20</f>
        <v>2394.910285239449</v>
      </c>
      <c r="H22" s="70">
        <f>forecast!G20</f>
        <v>2419.4883941419525</v>
      </c>
      <c r="I22" s="70">
        <f>forecast!H20</f>
        <v>2444.0058245704026</v>
      </c>
      <c r="J22" s="70">
        <f>forecast!I20</f>
        <v>2467.5642635095865</v>
      </c>
      <c r="K22" s="70">
        <f>forecast!J20</f>
        <v>2490.8106652938673</v>
      </c>
      <c r="L22" s="70">
        <f>forecast!K20</f>
        <v>2511.6029479748304</v>
      </c>
      <c r="M22" s="70">
        <f>forecast!L20</f>
        <v>0</v>
      </c>
    </row>
    <row r="23" spans="2:13" x14ac:dyDescent="0.35">
      <c r="B23" t="str">
        <f>forecast!A21</f>
        <v>Federal Corporate Taxes</v>
      </c>
      <c r="C23" t="str">
        <f>forecast!B21</f>
        <v>federal_corporate_taxes</v>
      </c>
      <c r="D23" s="70">
        <f>forecast!C21</f>
        <v>453.8</v>
      </c>
      <c r="E23" s="70">
        <f>forecast!D21</f>
        <v>452.91219475403256</v>
      </c>
      <c r="F23" s="70">
        <f>forecast!E21</f>
        <v>452.02612639249605</v>
      </c>
      <c r="G23" s="70">
        <f>forecast!F21</f>
        <v>467.36315364789112</v>
      </c>
      <c r="H23" s="70">
        <f>forecast!G21</f>
        <v>483.2205588002675</v>
      </c>
      <c r="I23" s="70">
        <f>forecast!H21</f>
        <v>499.61599801930896</v>
      </c>
      <c r="J23" s="70">
        <f>forecast!I21</f>
        <v>516.56772653997427</v>
      </c>
      <c r="K23" s="70">
        <f>forecast!J21</f>
        <v>534.09461898849133</v>
      </c>
      <c r="L23" s="70">
        <f>forecast!K21</f>
        <v>552.21619039800248</v>
      </c>
      <c r="M23" s="70">
        <f>forecast!L21</f>
        <v>0</v>
      </c>
    </row>
    <row r="24" spans="2:13" x14ac:dyDescent="0.35">
      <c r="B24" t="str">
        <f>forecast!A22</f>
        <v>State Corporate Taxes</v>
      </c>
      <c r="C24" s="56" t="str">
        <f>forecast!B22</f>
        <v>state_corporate_taxes</v>
      </c>
      <c r="D24" s="70">
        <f>forecast!C22</f>
        <v>169.1</v>
      </c>
      <c r="E24" s="70">
        <f>forecast!D22</f>
        <v>172.78949768486035</v>
      </c>
      <c r="F24" s="70">
        <f>forecast!E22</f>
        <v>175.48840676301387</v>
      </c>
      <c r="G24" s="70">
        <f>forecast!F22</f>
        <v>176.81116879472424</v>
      </c>
      <c r="H24" s="70">
        <f>forecast!G22</f>
        <v>178.43051424161635</v>
      </c>
      <c r="I24" s="70">
        <f>forecast!H22</f>
        <v>180.04392802020482</v>
      </c>
      <c r="J24" s="70">
        <f>forecast!I22</f>
        <v>181.0701066367335</v>
      </c>
      <c r="K24" s="70">
        <f>forecast!J22</f>
        <v>181.15908166128801</v>
      </c>
      <c r="L24" s="70">
        <f>forecast!K22</f>
        <v>180.36423810860106</v>
      </c>
      <c r="M24" s="70">
        <f>forecast!L22</f>
        <v>0</v>
      </c>
    </row>
    <row r="25" spans="2:13" x14ac:dyDescent="0.35">
      <c r="B25" s="56" t="str">
        <f>forecast!A23</f>
        <v>Federal Student Loans</v>
      </c>
      <c r="C25" s="56" t="str">
        <f>forecast!B23</f>
        <v>federal_student_loans</v>
      </c>
      <c r="D25" s="70">
        <f>forecast!C23</f>
        <v>2.5815300000000003</v>
      </c>
      <c r="E25" s="70">
        <f>forecast!D23</f>
        <v>2.6040450000000002</v>
      </c>
      <c r="F25" s="70">
        <f>forecast!E23</f>
        <v>2.626465</v>
      </c>
      <c r="G25" s="70">
        <f>forecast!F23</f>
        <v>2.6498349999999999</v>
      </c>
      <c r="H25" s="70">
        <f>forecast!G23</f>
        <v>2.6454420000000001</v>
      </c>
      <c r="I25" s="70">
        <f>forecast!H23</f>
        <v>2.6696</v>
      </c>
      <c r="J25" s="70">
        <f>forecast!I23</f>
        <v>2.693006</v>
      </c>
      <c r="K25" s="70">
        <f>forecast!J23</f>
        <v>2.7175400000000001</v>
      </c>
      <c r="L25" s="70">
        <f>forecast!K23</f>
        <v>2.7175400000000001</v>
      </c>
      <c r="M25" s="70">
        <f>forecast!L23</f>
        <v>0</v>
      </c>
    </row>
    <row r="26" spans="2:13" x14ac:dyDescent="0.35">
      <c r="B26" s="56"/>
      <c r="C26" s="56"/>
      <c r="D26" s="70"/>
      <c r="E26" s="70"/>
      <c r="F26" s="70"/>
      <c r="G26" s="70"/>
      <c r="H26" s="70"/>
      <c r="I26" s="70"/>
    </row>
    <row r="27" spans="2:13" x14ac:dyDescent="0.35">
      <c r="B27" s="75" t="s">
        <v>1921</v>
      </c>
      <c r="C27" s="56"/>
      <c r="D27" s="70"/>
      <c r="E27" s="70"/>
      <c r="F27" s="70"/>
      <c r="G27" s="70"/>
      <c r="H27" s="70"/>
      <c r="I27" s="70"/>
    </row>
    <row r="28" spans="2:13" x14ac:dyDescent="0.35">
      <c r="B28" s="56" t="s">
        <v>1710</v>
      </c>
      <c r="C28" s="56"/>
      <c r="D28" s="76">
        <f>Deflators!Y45</f>
        <v>3.4047759971643332E-2</v>
      </c>
      <c r="E28" s="76">
        <f>Deflators!Z45</f>
        <v>4.4734749927778247E-2</v>
      </c>
      <c r="F28" s="76">
        <f>Deflators!AA45</f>
        <v>2.897464547214517E-2</v>
      </c>
      <c r="G28" s="76">
        <f>Deflators!AB45</f>
        <v>2.3485836297992498E-2</v>
      </c>
      <c r="H28" s="76">
        <f>Deflators!AC45</f>
        <v>2.1796033645922641E-2</v>
      </c>
      <c r="I28" s="76">
        <f>Deflators!AD45</f>
        <v>2.1576747995004641E-2</v>
      </c>
      <c r="J28" s="76">
        <f>Deflators!AE45</f>
        <v>2.0708760783051394E-2</v>
      </c>
      <c r="K28" s="76">
        <f>Deflators!AF45</f>
        <v>2.0110814282412459E-2</v>
      </c>
      <c r="L28" s="76">
        <f>Deflators!AG45</f>
        <v>1.9760549063349009E-2</v>
      </c>
      <c r="M28" s="76">
        <f>Deflators!AH45</f>
        <v>0</v>
      </c>
    </row>
    <row r="29" spans="2:13" x14ac:dyDescent="0.35">
      <c r="B29" s="56" t="s">
        <v>1711</v>
      </c>
      <c r="C29" s="56"/>
      <c r="D29" s="76">
        <f>Deflators!Y48</f>
        <v>4.1294742159051934E-2</v>
      </c>
      <c r="E29" s="76">
        <f>Deflators!Z48</f>
        <v>4.599385238761787E-2</v>
      </c>
      <c r="F29" s="76">
        <f>Deflators!AA48</f>
        <v>3.40058716937977E-2</v>
      </c>
      <c r="G29" s="76">
        <f>Deflators!AB48</f>
        <v>2.8438723088733627E-2</v>
      </c>
      <c r="H29" s="76">
        <f>Deflators!AC48</f>
        <v>2.4377163912874478E-2</v>
      </c>
      <c r="I29" s="76">
        <f>Deflators!AD46</f>
        <v>2.1576747995004641E-2</v>
      </c>
      <c r="J29" s="76">
        <f>Deflators!AE46</f>
        <v>2.0708760783051394E-2</v>
      </c>
      <c r="K29" s="76">
        <f>Deflators!AF46</f>
        <v>2.0110814282412459E-2</v>
      </c>
      <c r="L29" s="76">
        <f>Deflators!AG46</f>
        <v>1.9760549063349009E-2</v>
      </c>
      <c r="M29" s="76">
        <f>Deflators!AH46</f>
        <v>0</v>
      </c>
    </row>
    <row r="30" spans="2:13" x14ac:dyDescent="0.35">
      <c r="B30" s="56" t="s">
        <v>1712</v>
      </c>
      <c r="C30" s="56"/>
      <c r="D30" s="76">
        <f>Deflators!Y49</f>
        <v>3.8310837184705404E-2</v>
      </c>
      <c r="E30" s="76">
        <f>Deflators!Z49</f>
        <v>5.3269034245715038E-2</v>
      </c>
      <c r="F30" s="76">
        <f>Deflators!AA49</f>
        <v>3.1224337980433163E-2</v>
      </c>
      <c r="G30" s="76">
        <f>Deflators!AB49</f>
        <v>2.6533565330379202E-2</v>
      </c>
      <c r="H30" s="76">
        <f>Deflators!AC49</f>
        <v>2.5821649071183117E-2</v>
      </c>
      <c r="I30" s="76">
        <f>Deflators!AD47</f>
        <v>0</v>
      </c>
      <c r="J30" s="76">
        <f>Deflators!AE47</f>
        <v>0</v>
      </c>
      <c r="K30" s="76">
        <f>Deflators!AF47</f>
        <v>0</v>
      </c>
      <c r="L30" s="76">
        <f>Deflators!AG47</f>
        <v>0</v>
      </c>
      <c r="M30" s="76">
        <f>Deflators!AH47</f>
        <v>0</v>
      </c>
    </row>
    <row r="31" spans="2:13" x14ac:dyDescent="0.35">
      <c r="B31" s="56" t="s">
        <v>1713</v>
      </c>
      <c r="C31" s="56"/>
      <c r="D31" s="76">
        <f>Deflators!Y51</f>
        <v>4.1686540954535056E-2</v>
      </c>
      <c r="E31" s="76">
        <f>Deflators!Z51</f>
        <v>5.3269034245715038E-2</v>
      </c>
      <c r="F31" s="76">
        <f>Deflators!AA51</f>
        <v>3.1224337980433163E-2</v>
      </c>
      <c r="G31" s="76">
        <f>Deflators!AB51</f>
        <v>2.6533565330379202E-2</v>
      </c>
      <c r="H31" s="76">
        <f>Deflators!AC51</f>
        <v>2.5821649071183117E-2</v>
      </c>
      <c r="I31" s="76">
        <f>Deflators!AD48</f>
        <v>2.3708971853545924E-2</v>
      </c>
      <c r="J31" s="76">
        <f>Deflators!AE48</f>
        <v>2.3471980846518914E-2</v>
      </c>
      <c r="K31" s="76">
        <f>Deflators!AF48</f>
        <v>2.3530345294352939E-2</v>
      </c>
      <c r="L31" s="76">
        <f>Deflators!AG48</f>
        <v>1.7936865457563567E-2</v>
      </c>
      <c r="M31" s="76">
        <f>Deflators!AH48</f>
        <v>0</v>
      </c>
    </row>
    <row r="32" spans="2:13" x14ac:dyDescent="0.35">
      <c r="B32" s="56" t="s">
        <v>1714</v>
      </c>
      <c r="C32" s="56"/>
      <c r="D32" s="76">
        <f>Deflators!Y52</f>
        <v>2.4361298023588995E-2</v>
      </c>
      <c r="E32" s="76">
        <f>Deflators!Z52</f>
        <v>5.3269034245715038E-2</v>
      </c>
      <c r="F32" s="76">
        <f>Deflators!AA52</f>
        <v>3.1224337980433163E-2</v>
      </c>
      <c r="G32" s="76">
        <f>Deflators!AB52</f>
        <v>2.6533565330379202E-2</v>
      </c>
      <c r="H32" s="76">
        <f>Deflators!AC52</f>
        <v>2.5821649071183117E-2</v>
      </c>
      <c r="I32" s="76">
        <f>Deflators!AD49</f>
        <v>2.5493967451795996E-2</v>
      </c>
      <c r="J32" s="76">
        <f>Deflators!AE49</f>
        <v>2.5095343044312823E-2</v>
      </c>
      <c r="K32" s="76">
        <f>Deflators!AF49</f>
        <v>2.4877364391311607E-2</v>
      </c>
      <c r="L32" s="76">
        <f>Deflators!AG49</f>
        <v>2.492676444114772E-2</v>
      </c>
      <c r="M32" s="76">
        <f>Deflators!AH49</f>
        <v>0</v>
      </c>
    </row>
    <row r="34" spans="2:13" x14ac:dyDescent="0.35">
      <c r="B34" s="1254" t="s">
        <v>1946</v>
      </c>
      <c r="C34" s="1254"/>
      <c r="D34" s="1254"/>
      <c r="E34" s="1254"/>
      <c r="F34" s="1254"/>
      <c r="G34" s="1254"/>
      <c r="H34" s="1254"/>
      <c r="I34" s="1254"/>
      <c r="J34" s="1254"/>
      <c r="K34" s="1254"/>
      <c r="L34" s="1254"/>
      <c r="M34" s="1254"/>
    </row>
    <row r="35" spans="2:13" x14ac:dyDescent="0.35">
      <c r="B35" t="s">
        <v>178</v>
      </c>
      <c r="C35" t="s">
        <v>179</v>
      </c>
      <c r="D35" t="s">
        <v>190</v>
      </c>
      <c r="E35" t="s">
        <v>191</v>
      </c>
      <c r="F35" t="s">
        <v>175</v>
      </c>
      <c r="G35" t="s">
        <v>176</v>
      </c>
      <c r="H35" t="s">
        <v>177</v>
      </c>
      <c r="I35" t="s">
        <v>765</v>
      </c>
      <c r="J35" t="s">
        <v>766</v>
      </c>
      <c r="K35" t="s">
        <v>767</v>
      </c>
      <c r="L35" t="s">
        <v>1157</v>
      </c>
      <c r="M35" t="s">
        <v>1158</v>
      </c>
    </row>
    <row r="36" spans="2:13" x14ac:dyDescent="0.35">
      <c r="B36" t="s">
        <v>192</v>
      </c>
      <c r="C36" t="s">
        <v>193</v>
      </c>
      <c r="D36" s="70">
        <v>427.26494400000001</v>
      </c>
      <c r="E36" s="70">
        <v>418.03001728324807</v>
      </c>
      <c r="F36" s="70">
        <v>422.5102225824408</v>
      </c>
      <c r="G36" s="70">
        <v>427.2815256817579</v>
      </c>
      <c r="H36" s="70">
        <v>410.47107700000004</v>
      </c>
      <c r="I36" s="70">
        <v>405.8184041145779</v>
      </c>
      <c r="J36">
        <v>408.36749628573835</v>
      </c>
      <c r="K36">
        <v>407.0560067810282</v>
      </c>
      <c r="L36">
        <v>409.781722</v>
      </c>
      <c r="M36">
        <v>0</v>
      </c>
    </row>
    <row r="37" spans="2:13" x14ac:dyDescent="0.35">
      <c r="B37" t="s">
        <v>134</v>
      </c>
      <c r="C37" t="s">
        <v>194</v>
      </c>
      <c r="D37" s="70">
        <v>77.707285714285717</v>
      </c>
      <c r="E37" s="70">
        <v>77.707285714285717</v>
      </c>
      <c r="F37" s="70">
        <v>77.707285714285717</v>
      </c>
      <c r="G37" s="70">
        <v>79.301285714285726</v>
      </c>
      <c r="H37" s="70">
        <v>79.301285714285726</v>
      </c>
      <c r="I37" s="70">
        <v>75.229285714285723</v>
      </c>
      <c r="J37">
        <v>75.229285714285723</v>
      </c>
      <c r="K37">
        <v>75.229285714285723</v>
      </c>
      <c r="L37">
        <v>75.229285714285723</v>
      </c>
      <c r="M37">
        <v>0</v>
      </c>
    </row>
    <row r="38" spans="2:13" x14ac:dyDescent="0.35">
      <c r="B38" t="s">
        <v>195</v>
      </c>
      <c r="C38" t="s">
        <v>196</v>
      </c>
      <c r="D38" s="70">
        <v>1837.2</v>
      </c>
      <c r="E38" s="70">
        <v>1848.6395138374351</v>
      </c>
      <c r="F38" s="70">
        <v>1864.4764115111357</v>
      </c>
      <c r="G38" s="70">
        <v>1878.528717728633</v>
      </c>
      <c r="H38" s="70">
        <v>1890.0503769897132</v>
      </c>
      <c r="I38" s="70">
        <v>1902.2038020847165</v>
      </c>
      <c r="J38">
        <v>1915.1720115226869</v>
      </c>
      <c r="K38">
        <v>1929.3160985174152</v>
      </c>
      <c r="L38">
        <v>1943.569361563337</v>
      </c>
      <c r="M38">
        <v>0</v>
      </c>
    </row>
    <row r="39" spans="2:13" x14ac:dyDescent="0.35">
      <c r="B39" t="s">
        <v>197</v>
      </c>
      <c r="C39" t="s">
        <v>198</v>
      </c>
      <c r="D39" s="70">
        <v>3100.2</v>
      </c>
      <c r="E39" s="70">
        <v>3131.0560446291206</v>
      </c>
      <c r="F39" s="70">
        <v>3160.2950227752217</v>
      </c>
      <c r="G39" s="70">
        <v>3190.091295801712</v>
      </c>
      <c r="H39" s="70">
        <v>3219.6643798566629</v>
      </c>
      <c r="I39" s="70">
        <v>3249.7151602080339</v>
      </c>
      <c r="J39">
        <v>3280.5993490219689</v>
      </c>
      <c r="K39">
        <v>3311.3704017044197</v>
      </c>
      <c r="L39">
        <v>3343.733379810219</v>
      </c>
      <c r="M39">
        <v>0</v>
      </c>
    </row>
    <row r="40" spans="2:13" x14ac:dyDescent="0.35">
      <c r="B40" t="s">
        <v>199</v>
      </c>
      <c r="C40" t="s">
        <v>200</v>
      </c>
      <c r="D40" s="70">
        <v>95.135000000000005</v>
      </c>
      <c r="E40" s="70">
        <v>95.135000000000005</v>
      </c>
      <c r="F40" s="70">
        <v>95.135000000000005</v>
      </c>
      <c r="G40" s="70">
        <v>102.23399999999999</v>
      </c>
      <c r="H40" s="70">
        <v>102.23399999999999</v>
      </c>
      <c r="I40" s="70">
        <v>95.212000000000003</v>
      </c>
      <c r="J40">
        <v>96.212000000000003</v>
      </c>
      <c r="K40">
        <v>101.551</v>
      </c>
      <c r="L40">
        <v>100.401</v>
      </c>
      <c r="M40">
        <v>0</v>
      </c>
    </row>
    <row r="41" spans="2:13" x14ac:dyDescent="0.35">
      <c r="B41" t="s">
        <v>201</v>
      </c>
      <c r="C41" t="s">
        <v>202</v>
      </c>
      <c r="D41" s="70">
        <v>1.365</v>
      </c>
      <c r="E41" s="70">
        <v>1.365</v>
      </c>
      <c r="F41" s="70">
        <v>1.365</v>
      </c>
      <c r="G41" s="70">
        <v>-0.90100000000000025</v>
      </c>
      <c r="H41" s="70">
        <v>-0.90100000000000025</v>
      </c>
      <c r="I41" s="70">
        <v>-0.90100000000000025</v>
      </c>
      <c r="J41">
        <v>-0.90100000000000025</v>
      </c>
      <c r="K41">
        <v>-2.1500000000000004</v>
      </c>
      <c r="L41">
        <v>0</v>
      </c>
      <c r="M41">
        <v>0</v>
      </c>
    </row>
    <row r="42" spans="2:13" x14ac:dyDescent="0.35">
      <c r="B42" t="s">
        <v>203</v>
      </c>
      <c r="C42" t="s">
        <v>204</v>
      </c>
      <c r="D42" s="70">
        <v>-0.55714285714286049</v>
      </c>
      <c r="E42" s="70">
        <v>0</v>
      </c>
      <c r="F42" s="70">
        <v>0</v>
      </c>
      <c r="G42" s="70">
        <v>0</v>
      </c>
      <c r="H42" s="70">
        <v>0</v>
      </c>
      <c r="I42" s="70">
        <v>0</v>
      </c>
      <c r="J42">
        <v>0</v>
      </c>
      <c r="K42">
        <v>0</v>
      </c>
      <c r="L42">
        <v>0</v>
      </c>
      <c r="M42">
        <v>0</v>
      </c>
    </row>
    <row r="43" spans="2:13" x14ac:dyDescent="0.35">
      <c r="B43" t="s">
        <v>205</v>
      </c>
      <c r="C43" t="s">
        <v>206</v>
      </c>
      <c r="D43" s="70">
        <v>23.25714285714286</v>
      </c>
      <c r="E43" s="70">
        <v>22.5</v>
      </c>
      <c r="F43" s="70">
        <v>22.5</v>
      </c>
      <c r="G43" s="70">
        <v>22.5</v>
      </c>
      <c r="H43" s="70">
        <v>22.5</v>
      </c>
      <c r="I43" s="70">
        <v>22.5</v>
      </c>
      <c r="J43">
        <v>22.5</v>
      </c>
      <c r="K43">
        <v>22.5</v>
      </c>
      <c r="L43">
        <v>22.5</v>
      </c>
      <c r="M43">
        <v>0</v>
      </c>
    </row>
    <row r="44" spans="2:13" x14ac:dyDescent="0.35">
      <c r="B44" t="s">
        <v>207</v>
      </c>
      <c r="C44" t="s">
        <v>208</v>
      </c>
      <c r="D44" s="70">
        <v>613.56899999999996</v>
      </c>
      <c r="E44" s="70">
        <v>639.39351778125967</v>
      </c>
      <c r="F44" s="70">
        <v>640.31834989979336</v>
      </c>
      <c r="G44" s="70">
        <v>644.84247221765099</v>
      </c>
      <c r="H44" s="70">
        <v>649.39855938978803</v>
      </c>
      <c r="I44" s="70">
        <v>653.98683726153683</v>
      </c>
      <c r="J44">
        <v>658.60753327392365</v>
      </c>
      <c r="K44">
        <v>667.87046891938917</v>
      </c>
      <c r="L44">
        <v>677.26368241993089</v>
      </c>
      <c r="M44">
        <v>0</v>
      </c>
    </row>
    <row r="45" spans="2:13" x14ac:dyDescent="0.35">
      <c r="B45" t="s">
        <v>209</v>
      </c>
      <c r="C45" t="s">
        <v>210</v>
      </c>
      <c r="D45" s="70">
        <v>922.3</v>
      </c>
      <c r="E45" s="70">
        <v>961.11870294890355</v>
      </c>
      <c r="F45" s="70">
        <v>962.5088850847734</v>
      </c>
      <c r="G45" s="70">
        <v>969.30942098824983</v>
      </c>
      <c r="H45" s="70">
        <v>976.15800557916293</v>
      </c>
      <c r="I45" s="70">
        <v>983.05497834198832</v>
      </c>
      <c r="J45">
        <v>990.000681159804</v>
      </c>
      <c r="K45">
        <v>1003.9244705719366</v>
      </c>
      <c r="L45">
        <v>1018.0440900630609</v>
      </c>
      <c r="M45">
        <v>0</v>
      </c>
    </row>
    <row r="46" spans="2:13" x14ac:dyDescent="0.35">
      <c r="B46" t="s">
        <v>55</v>
      </c>
      <c r="C46" t="s">
        <v>211</v>
      </c>
      <c r="D46" s="70">
        <v>965.3</v>
      </c>
      <c r="E46" s="70">
        <v>979.66888154239325</v>
      </c>
      <c r="F46" s="70">
        <v>994.37073294816423</v>
      </c>
      <c r="G46" s="70">
        <v>1009.4444528643897</v>
      </c>
      <c r="H46" s="70">
        <v>1024.7466761190424</v>
      </c>
      <c r="I46" s="70">
        <v>1040.2808666066326</v>
      </c>
      <c r="J46">
        <v>1056.0505407310361</v>
      </c>
      <c r="K46">
        <v>1071.7916062569657</v>
      </c>
      <c r="L46">
        <v>1087.7673017881223</v>
      </c>
      <c r="M46">
        <v>0</v>
      </c>
    </row>
    <row r="47" spans="2:13" x14ac:dyDescent="0.35">
      <c r="B47" t="s">
        <v>212</v>
      </c>
      <c r="C47" t="s">
        <v>213</v>
      </c>
      <c r="D47" s="70">
        <v>0</v>
      </c>
      <c r="E47" s="70">
        <v>0</v>
      </c>
      <c r="F47" s="70">
        <v>0</v>
      </c>
      <c r="G47" s="70">
        <v>0</v>
      </c>
      <c r="H47" s="70">
        <v>0</v>
      </c>
      <c r="I47" s="70">
        <v>0</v>
      </c>
      <c r="J47">
        <v>0</v>
      </c>
      <c r="K47">
        <v>0</v>
      </c>
      <c r="L47">
        <v>0</v>
      </c>
      <c r="M47">
        <v>0</v>
      </c>
    </row>
    <row r="48" spans="2:13" x14ac:dyDescent="0.35">
      <c r="B48" t="s">
        <v>214</v>
      </c>
      <c r="C48" t="s">
        <v>215</v>
      </c>
      <c r="D48" s="70">
        <v>0</v>
      </c>
      <c r="E48" s="70">
        <v>0</v>
      </c>
      <c r="F48" s="70">
        <v>0</v>
      </c>
      <c r="G48" s="70">
        <v>0</v>
      </c>
      <c r="H48" s="70">
        <v>0</v>
      </c>
      <c r="I48" s="70">
        <v>0</v>
      </c>
      <c r="J48">
        <v>0</v>
      </c>
      <c r="K48">
        <v>0</v>
      </c>
      <c r="L48">
        <v>0</v>
      </c>
      <c r="M48">
        <v>0</v>
      </c>
    </row>
    <row r="49" spans="2:13" x14ac:dyDescent="0.35">
      <c r="B49" t="s">
        <v>216</v>
      </c>
      <c r="C49" t="s">
        <v>217</v>
      </c>
      <c r="D49" s="70">
        <v>4.2219999999999995</v>
      </c>
      <c r="E49" s="70">
        <v>4.2219999999999995</v>
      </c>
      <c r="F49" s="70">
        <v>4.2219999999999995</v>
      </c>
      <c r="G49" s="70">
        <v>2.3719999999999999</v>
      </c>
      <c r="H49" s="70">
        <v>2.3719999999999999</v>
      </c>
      <c r="I49" s="70">
        <v>2.3719999999999999</v>
      </c>
      <c r="J49">
        <v>2.3719999999999999</v>
      </c>
      <c r="K49">
        <v>0.49</v>
      </c>
      <c r="L49">
        <v>0</v>
      </c>
      <c r="M49">
        <v>0</v>
      </c>
    </row>
    <row r="50" spans="2:13" x14ac:dyDescent="0.35">
      <c r="B50" t="s">
        <v>797</v>
      </c>
      <c r="C50" t="s">
        <v>219</v>
      </c>
      <c r="D50" s="70">
        <v>1.4790000000000001</v>
      </c>
      <c r="E50" s="70">
        <v>1.4790000000000001</v>
      </c>
      <c r="F50" s="70">
        <v>1.4790000000000001</v>
      </c>
      <c r="G50" s="70">
        <v>1.63</v>
      </c>
      <c r="H50" s="70">
        <v>1.63</v>
      </c>
      <c r="I50" s="70">
        <v>1.63</v>
      </c>
      <c r="J50">
        <v>1.63</v>
      </c>
      <c r="K50">
        <v>1.671</v>
      </c>
      <c r="L50">
        <v>0</v>
      </c>
      <c r="M50">
        <v>0</v>
      </c>
    </row>
    <row r="51" spans="2:13" x14ac:dyDescent="0.35">
      <c r="B51" t="s">
        <v>220</v>
      </c>
      <c r="C51" t="s">
        <v>221</v>
      </c>
      <c r="D51" s="70">
        <v>2047.499</v>
      </c>
      <c r="E51" s="70">
        <v>2054.4323333333332</v>
      </c>
      <c r="F51" s="70">
        <v>2061.3656666666666</v>
      </c>
      <c r="G51" s="70">
        <v>2069.8270000000002</v>
      </c>
      <c r="H51" s="70">
        <v>2111.6203998973333</v>
      </c>
      <c r="I51" s="70">
        <v>2118.5537332306667</v>
      </c>
      <c r="J51">
        <v>2125.4870665640001</v>
      </c>
      <c r="K51">
        <v>2116.1813998973334</v>
      </c>
      <c r="L51">
        <v>2160.1803863256391</v>
      </c>
      <c r="M51">
        <v>0</v>
      </c>
    </row>
    <row r="52" spans="2:13" x14ac:dyDescent="0.35">
      <c r="B52" t="s">
        <v>222</v>
      </c>
      <c r="C52" t="s">
        <v>223</v>
      </c>
      <c r="D52" s="70">
        <v>196.29831211574134</v>
      </c>
      <c r="E52" s="70">
        <v>199.52477289205825</v>
      </c>
      <c r="F52" s="70">
        <v>202.80426544959073</v>
      </c>
      <c r="G52" s="70">
        <v>206.137661446175</v>
      </c>
      <c r="H52" s="70">
        <v>209.52584686666717</v>
      </c>
      <c r="I52" s="70">
        <v>212.9697222584295</v>
      </c>
      <c r="J52">
        <v>216.47020297068735</v>
      </c>
      <c r="K52">
        <v>220.02821939782032</v>
      </c>
      <c r="L52">
        <v>223.64471722665206</v>
      </c>
      <c r="M52">
        <v>0</v>
      </c>
    </row>
    <row r="53" spans="2:13" x14ac:dyDescent="0.35">
      <c r="B53" t="s">
        <v>224</v>
      </c>
      <c r="C53" t="s">
        <v>225</v>
      </c>
      <c r="D53" s="70">
        <v>4382.3999999999996</v>
      </c>
      <c r="E53" s="70">
        <v>4462.3001709808459</v>
      </c>
      <c r="F53" s="70">
        <v>4490.6645029194378</v>
      </c>
      <c r="G53" s="70">
        <v>4525.2277464010858</v>
      </c>
      <c r="H53" s="70">
        <v>4598.8774626319282</v>
      </c>
      <c r="I53" s="70">
        <v>4634.2563910913123</v>
      </c>
      <c r="J53">
        <v>4669.952644683166</v>
      </c>
      <c r="K53">
        <v>4705.9694415728409</v>
      </c>
      <c r="L53">
        <v>4771.218169055267</v>
      </c>
      <c r="M53">
        <v>0</v>
      </c>
    </row>
    <row r="54" spans="2:13" x14ac:dyDescent="0.35">
      <c r="B54" t="s">
        <v>226</v>
      </c>
      <c r="C54" t="s">
        <v>227</v>
      </c>
      <c r="D54" s="70">
        <v>2272.8999999999996</v>
      </c>
      <c r="E54" s="70">
        <v>2293.7958047457068</v>
      </c>
      <c r="F54" s="70">
        <v>2315.8110704566711</v>
      </c>
      <c r="G54" s="70">
        <v>2338.8219962967346</v>
      </c>
      <c r="H54" s="70">
        <v>2363.8417070875812</v>
      </c>
      <c r="I54" s="70">
        <v>2388.7744200410452</v>
      </c>
      <c r="J54">
        <v>2413.5111197873293</v>
      </c>
      <c r="K54">
        <v>2438.7729663610216</v>
      </c>
      <c r="L54">
        <v>2462.1264328714788</v>
      </c>
      <c r="M54">
        <v>0</v>
      </c>
    </row>
    <row r="55" spans="2:13" x14ac:dyDescent="0.35">
      <c r="B55" t="s">
        <v>228</v>
      </c>
      <c r="C55" t="s">
        <v>229</v>
      </c>
      <c r="D55" s="70">
        <v>457</v>
      </c>
      <c r="E55" s="70">
        <v>467.5306169996615</v>
      </c>
      <c r="F55" s="70">
        <v>478.30389022337891</v>
      </c>
      <c r="G55" s="70">
        <v>487.46045328834424</v>
      </c>
      <c r="H55" s="70">
        <v>496.7923079385892</v>
      </c>
      <c r="I55" s="70">
        <v>506.30280992448127</v>
      </c>
      <c r="J55">
        <v>515.99537923826529</v>
      </c>
      <c r="K55">
        <v>525.8735013438984</v>
      </c>
      <c r="L55">
        <v>535.94072843042852</v>
      </c>
      <c r="M55">
        <v>0</v>
      </c>
    </row>
    <row r="56" spans="2:13" x14ac:dyDescent="0.35">
      <c r="B56" t="s">
        <v>230</v>
      </c>
      <c r="C56" s="56" t="s">
        <v>231</v>
      </c>
      <c r="D56" s="70">
        <v>164.9</v>
      </c>
      <c r="E56" s="70">
        <v>159.10523444875696</v>
      </c>
      <c r="F56" s="70">
        <v>159.45119060106998</v>
      </c>
      <c r="G56" s="70">
        <v>160.83501521032207</v>
      </c>
      <c r="H56" s="70">
        <v>161.51539564320433</v>
      </c>
      <c r="I56" s="70">
        <v>162.87615650896888</v>
      </c>
      <c r="J56">
        <v>164.4790866813525</v>
      </c>
      <c r="K56">
        <v>166.4625686212805</v>
      </c>
      <c r="L56">
        <v>166.29535648099585</v>
      </c>
      <c r="M56">
        <v>0</v>
      </c>
    </row>
    <row r="57" spans="2:13" x14ac:dyDescent="0.35">
      <c r="B57" s="56" t="s">
        <v>1385</v>
      </c>
      <c r="C57" s="56" t="s">
        <v>1384</v>
      </c>
      <c r="D57" s="70">
        <v>2.5815300000000003</v>
      </c>
      <c r="E57" s="70">
        <v>2.6040450000000002</v>
      </c>
      <c r="F57" s="70">
        <v>2.626465</v>
      </c>
      <c r="G57" s="70">
        <v>2.6498349999999999</v>
      </c>
      <c r="H57" s="70">
        <v>2.6454420000000001</v>
      </c>
      <c r="I57" s="70">
        <v>2.6696</v>
      </c>
      <c r="J57">
        <v>2.693006</v>
      </c>
      <c r="K57">
        <v>2.7175400000000001</v>
      </c>
      <c r="L57">
        <v>2.7175400000000001</v>
      </c>
      <c r="M57">
        <v>0</v>
      </c>
    </row>
    <row r="58" spans="2:13" x14ac:dyDescent="0.35">
      <c r="B58" s="56"/>
      <c r="C58" s="56"/>
      <c r="D58" s="70"/>
      <c r="E58" s="70"/>
      <c r="F58" s="70"/>
      <c r="G58" s="70"/>
      <c r="H58" s="70"/>
    </row>
    <row r="59" spans="2:13" x14ac:dyDescent="0.35">
      <c r="B59" s="75" t="s">
        <v>1921</v>
      </c>
      <c r="C59" s="56"/>
    </row>
    <row r="60" spans="2:13" x14ac:dyDescent="0.35">
      <c r="B60" s="56" t="s">
        <v>1710</v>
      </c>
      <c r="C60" s="56"/>
      <c r="D60" s="76">
        <v>3.3236788538757667E-2</v>
      </c>
      <c r="E60" s="76">
        <v>3.4261380221050394E-2</v>
      </c>
      <c r="F60" s="76">
        <v>2.8642963947836768E-2</v>
      </c>
      <c r="G60" s="76">
        <v>2.5024345405476264E-2</v>
      </c>
      <c r="H60" s="76">
        <v>2.2420730666689481E-2</v>
      </c>
      <c r="I60" s="71">
        <v>2.219418453989408E-2</v>
      </c>
      <c r="J60" s="71">
        <v>2.193798465649599E-2</v>
      </c>
      <c r="K60" s="71">
        <v>2.1537819131734581E-2</v>
      </c>
      <c r="L60">
        <v>2.1204271082456483E-2</v>
      </c>
      <c r="M60">
        <v>0</v>
      </c>
    </row>
    <row r="61" spans="2:13" x14ac:dyDescent="0.35">
      <c r="B61" s="56" t="s">
        <v>1711</v>
      </c>
      <c r="C61" s="56"/>
      <c r="D61" s="76">
        <v>4.5585505578074503E-2</v>
      </c>
      <c r="E61" s="76">
        <v>3.8560753162319869E-2</v>
      </c>
      <c r="F61" s="76">
        <v>3.3323859858580822E-2</v>
      </c>
      <c r="G61" s="76">
        <v>3.1273165683778692E-2</v>
      </c>
      <c r="H61" s="76">
        <v>2.6045669819017236E-2</v>
      </c>
      <c r="I61" s="71">
        <v>2.219418453989408E-2</v>
      </c>
      <c r="J61" s="71">
        <v>2.193798465649599E-2</v>
      </c>
      <c r="K61" s="71">
        <v>2.1537819131734581E-2</v>
      </c>
      <c r="L61">
        <v>2.1204271082456483E-2</v>
      </c>
      <c r="M61">
        <v>0</v>
      </c>
    </row>
    <row r="62" spans="2:13" x14ac:dyDescent="0.35">
      <c r="B62" s="56" t="s">
        <v>1712</v>
      </c>
      <c r="C62" s="56"/>
      <c r="D62" s="76">
        <v>3.8278674784178346E-2</v>
      </c>
      <c r="E62" s="76">
        <v>3.5528728595983203E-2</v>
      </c>
      <c r="F62" s="76">
        <v>3.230685484106393E-2</v>
      </c>
      <c r="G62" s="76">
        <v>2.8253398906930346E-2</v>
      </c>
      <c r="H62" s="76">
        <v>2.6714706322067405E-2</v>
      </c>
      <c r="I62" s="71">
        <v>0</v>
      </c>
      <c r="J62" s="71">
        <v>0</v>
      </c>
      <c r="K62" s="71">
        <v>0</v>
      </c>
      <c r="L62">
        <v>0</v>
      </c>
      <c r="M62">
        <v>0</v>
      </c>
    </row>
    <row r="63" spans="2:13" x14ac:dyDescent="0.35">
      <c r="B63" s="56" t="s">
        <v>1713</v>
      </c>
      <c r="C63" s="56"/>
      <c r="D63" s="76">
        <v>4.207521485108856E-2</v>
      </c>
      <c r="E63" s="76">
        <v>3.5528728595983203E-2</v>
      </c>
      <c r="F63" s="76">
        <v>3.230685484106393E-2</v>
      </c>
      <c r="G63" s="76">
        <v>2.8253398906930346E-2</v>
      </c>
      <c r="H63" s="76">
        <v>2.6714706322067405E-2</v>
      </c>
      <c r="I63" s="71">
        <v>2.5611732233809859E-2</v>
      </c>
      <c r="J63" s="71">
        <v>2.5262944090287176E-2</v>
      </c>
      <c r="K63" s="71">
        <v>2.4650693380256383E-2</v>
      </c>
      <c r="L63">
        <v>2.1912725275913258E-2</v>
      </c>
      <c r="M63">
        <v>0</v>
      </c>
    </row>
    <row r="64" spans="2:13" x14ac:dyDescent="0.35">
      <c r="B64" s="56" t="s">
        <v>1714</v>
      </c>
      <c r="C64" s="56"/>
      <c r="D64" s="76">
        <v>2.2650991179657964E-2</v>
      </c>
      <c r="E64" s="76">
        <v>3.5528728595983203E-2</v>
      </c>
      <c r="F64" s="76">
        <v>3.230685484106393E-2</v>
      </c>
      <c r="G64" s="76">
        <v>2.8253398906930346E-2</v>
      </c>
      <c r="H64" s="76">
        <v>2.6714706322067405E-2</v>
      </c>
      <c r="I64" s="71">
        <v>2.6527569872117907E-2</v>
      </c>
      <c r="J64" s="71">
        <v>2.658836036739487E-2</v>
      </c>
      <c r="K64" s="71">
        <v>2.6600581141736246E-2</v>
      </c>
      <c r="L64">
        <v>2.7602952027603544E-2</v>
      </c>
      <c r="M64">
        <v>0</v>
      </c>
    </row>
    <row r="65" spans="2:13" x14ac:dyDescent="0.35">
      <c r="D65" s="74"/>
      <c r="E65" s="74"/>
      <c r="F65" s="74"/>
      <c r="G65" s="74"/>
      <c r="H65" s="74"/>
    </row>
    <row r="66" spans="2:13" x14ac:dyDescent="0.35">
      <c r="B66" s="1254" t="s">
        <v>232</v>
      </c>
      <c r="C66" s="1254"/>
      <c r="D66" s="1254"/>
      <c r="E66" s="1254"/>
      <c r="F66" s="1254"/>
      <c r="G66" s="1254"/>
      <c r="H66" s="1254"/>
      <c r="I66" s="1254"/>
      <c r="J66" s="1254"/>
      <c r="K66" s="1254"/>
      <c r="L66" s="1254"/>
      <c r="M66" s="1254"/>
    </row>
    <row r="67" spans="2:13" x14ac:dyDescent="0.35">
      <c r="B67" t="s">
        <v>178</v>
      </c>
      <c r="C67" t="s">
        <v>179</v>
      </c>
      <c r="D67" t="s">
        <v>190</v>
      </c>
      <c r="E67" t="s">
        <v>191</v>
      </c>
      <c r="F67" t="s">
        <v>175</v>
      </c>
      <c r="G67" t="s">
        <v>176</v>
      </c>
      <c r="H67" t="s">
        <v>177</v>
      </c>
      <c r="I67" t="s">
        <v>765</v>
      </c>
      <c r="J67" t="s">
        <v>766</v>
      </c>
      <c r="K67" t="s">
        <v>767</v>
      </c>
      <c r="L67" t="s">
        <v>1157</v>
      </c>
      <c r="M67" t="s">
        <v>1158</v>
      </c>
    </row>
    <row r="68" spans="2:13" x14ac:dyDescent="0.35">
      <c r="B68" s="56" t="s">
        <v>192</v>
      </c>
      <c r="C68" s="56" t="s">
        <v>193</v>
      </c>
      <c r="D68" s="70">
        <f t="shared" ref="D68:H68" si="0">D4-D36</f>
        <v>0</v>
      </c>
      <c r="E68" s="70">
        <f t="shared" si="0"/>
        <v>0</v>
      </c>
      <c r="F68" s="70">
        <f t="shared" si="0"/>
        <v>0</v>
      </c>
      <c r="G68" s="70">
        <f t="shared" si="0"/>
        <v>0</v>
      </c>
      <c r="H68" s="70">
        <f t="shared" si="0"/>
        <v>0</v>
      </c>
      <c r="I68" s="70">
        <f t="shared" ref="I68:M68" si="1">I4-I36</f>
        <v>0</v>
      </c>
      <c r="J68" s="70">
        <f t="shared" si="1"/>
        <v>0</v>
      </c>
      <c r="K68" s="70">
        <f t="shared" si="1"/>
        <v>0</v>
      </c>
      <c r="L68" s="70">
        <f t="shared" si="1"/>
        <v>0</v>
      </c>
      <c r="M68" s="70">
        <f t="shared" si="1"/>
        <v>0</v>
      </c>
    </row>
    <row r="69" spans="2:13" x14ac:dyDescent="0.35">
      <c r="B69" s="56" t="s">
        <v>134</v>
      </c>
      <c r="C69" s="56" t="s">
        <v>194</v>
      </c>
      <c r="D69" s="70">
        <f t="shared" ref="D69:H69" si="2">D5-D37</f>
        <v>0</v>
      </c>
      <c r="E69" s="70">
        <f t="shared" si="2"/>
        <v>0</v>
      </c>
      <c r="F69" s="70">
        <f t="shared" si="2"/>
        <v>0</v>
      </c>
      <c r="G69" s="70">
        <f t="shared" si="2"/>
        <v>0</v>
      </c>
      <c r="H69" s="70">
        <f t="shared" si="2"/>
        <v>0</v>
      </c>
      <c r="I69" s="70">
        <f t="shared" ref="I69:M69" si="3">I5-I37</f>
        <v>0</v>
      </c>
      <c r="J69" s="70">
        <f t="shared" si="3"/>
        <v>0</v>
      </c>
      <c r="K69" s="70">
        <f t="shared" si="3"/>
        <v>0</v>
      </c>
      <c r="L69" s="70">
        <f t="shared" si="3"/>
        <v>0</v>
      </c>
      <c r="M69" s="70">
        <f t="shared" si="3"/>
        <v>0</v>
      </c>
    </row>
    <row r="70" spans="2:13" x14ac:dyDescent="0.35">
      <c r="B70" s="56" t="s">
        <v>195</v>
      </c>
      <c r="C70" s="56" t="s">
        <v>196</v>
      </c>
      <c r="D70" s="70">
        <f t="shared" ref="D70:H70" si="4">D6-D38</f>
        <v>0.20000000000004547</v>
      </c>
      <c r="E70" s="70">
        <f t="shared" si="4"/>
        <v>0.20124532046997956</v>
      </c>
      <c r="F70" s="70">
        <f t="shared" si="4"/>
        <v>0.20296934590805904</v>
      </c>
      <c r="G70" s="70">
        <f t="shared" si="4"/>
        <v>0.20449909838112035</v>
      </c>
      <c r="H70" s="70">
        <f t="shared" si="4"/>
        <v>0.20575336130968935</v>
      </c>
      <c r="I70" s="70">
        <f t="shared" ref="I70:M70" si="5">I6-I38</f>
        <v>0.20707639909483078</v>
      </c>
      <c r="J70" s="70">
        <f t="shared" si="5"/>
        <v>0.20848813537168098</v>
      </c>
      <c r="K70" s="70">
        <f t="shared" si="5"/>
        <v>0.21002787922043353</v>
      </c>
      <c r="L70" s="70">
        <f t="shared" si="5"/>
        <v>0.21157950811721093</v>
      </c>
      <c r="M70" s="70">
        <f t="shared" si="5"/>
        <v>0</v>
      </c>
    </row>
    <row r="71" spans="2:13" x14ac:dyDescent="0.35">
      <c r="B71" s="56" t="s">
        <v>197</v>
      </c>
      <c r="C71" s="56" t="s">
        <v>198</v>
      </c>
      <c r="D71" s="70">
        <f t="shared" ref="D71:H71" si="6">D7-D39</f>
        <v>3.4000000000000909</v>
      </c>
      <c r="E71" s="70">
        <f t="shared" si="6"/>
        <v>3.4338399302428115</v>
      </c>
      <c r="F71" s="70">
        <f t="shared" si="6"/>
        <v>3.4659064181132635</v>
      </c>
      <c r="G71" s="70">
        <f t="shared" si="6"/>
        <v>3.4985840931954044</v>
      </c>
      <c r="H71" s="70">
        <f t="shared" si="6"/>
        <v>3.5310169961649081</v>
      </c>
      <c r="I71" s="70">
        <f t="shared" ref="I71:M71" si="7">I7-I39</f>
        <v>3.5639737903056812</v>
      </c>
      <c r="J71" s="70">
        <f t="shared" si="7"/>
        <v>3.5978445863729576</v>
      </c>
      <c r="K71" s="70">
        <f t="shared" si="7"/>
        <v>3.6315913056555473</v>
      </c>
      <c r="L71" s="70">
        <f t="shared" si="7"/>
        <v>3.667083895023552</v>
      </c>
      <c r="M71" s="70">
        <f t="shared" si="7"/>
        <v>0</v>
      </c>
    </row>
    <row r="72" spans="2:13" x14ac:dyDescent="0.35">
      <c r="B72" s="56" t="s">
        <v>199</v>
      </c>
      <c r="C72" s="56" t="s">
        <v>200</v>
      </c>
      <c r="D72" s="70">
        <f t="shared" ref="D72:H72" si="8">D8-D40</f>
        <v>0</v>
      </c>
      <c r="E72" s="70">
        <f t="shared" si="8"/>
        <v>0</v>
      </c>
      <c r="F72" s="70">
        <f t="shared" si="8"/>
        <v>0</v>
      </c>
      <c r="G72" s="70">
        <f t="shared" si="8"/>
        <v>0</v>
      </c>
      <c r="H72" s="70">
        <f t="shared" si="8"/>
        <v>0</v>
      </c>
      <c r="I72" s="70">
        <f t="shared" ref="I72:M72" si="9">I8-I40</f>
        <v>0</v>
      </c>
      <c r="J72" s="70">
        <f t="shared" si="9"/>
        <v>0</v>
      </c>
      <c r="K72" s="70">
        <f t="shared" si="9"/>
        <v>0</v>
      </c>
      <c r="L72" s="70">
        <f t="shared" si="9"/>
        <v>0</v>
      </c>
      <c r="M72" s="70">
        <f t="shared" si="9"/>
        <v>0</v>
      </c>
    </row>
    <row r="73" spans="2:13" x14ac:dyDescent="0.35">
      <c r="B73" s="56" t="s">
        <v>201</v>
      </c>
      <c r="C73" s="56" t="s">
        <v>202</v>
      </c>
      <c r="D73" s="70">
        <f t="shared" ref="D73:H73" si="10">D9-D41</f>
        <v>0</v>
      </c>
      <c r="E73" s="70">
        <f t="shared" si="10"/>
        <v>0</v>
      </c>
      <c r="F73" s="70">
        <f t="shared" si="10"/>
        <v>0</v>
      </c>
      <c r="G73" s="70">
        <f t="shared" si="10"/>
        <v>0</v>
      </c>
      <c r="H73" s="70">
        <f t="shared" si="10"/>
        <v>0</v>
      </c>
      <c r="I73" s="70">
        <f t="shared" ref="I73:M73" si="11">I9-I41</f>
        <v>0</v>
      </c>
      <c r="J73" s="70">
        <f t="shared" si="11"/>
        <v>0</v>
      </c>
      <c r="K73" s="70">
        <f t="shared" si="11"/>
        <v>0</v>
      </c>
      <c r="L73" s="70">
        <f t="shared" si="11"/>
        <v>0</v>
      </c>
      <c r="M73" s="70">
        <f t="shared" si="11"/>
        <v>0</v>
      </c>
    </row>
    <row r="74" spans="2:13" x14ac:dyDescent="0.35">
      <c r="B74" s="56" t="s">
        <v>203</v>
      </c>
      <c r="C74" s="56" t="s">
        <v>204</v>
      </c>
      <c r="D74" s="70">
        <f t="shared" ref="D74:H74" si="12">D10-D42</f>
        <v>0</v>
      </c>
      <c r="E74" s="70">
        <f t="shared" si="12"/>
        <v>0</v>
      </c>
      <c r="F74" s="70">
        <f t="shared" si="12"/>
        <v>0</v>
      </c>
      <c r="G74" s="70">
        <f t="shared" si="12"/>
        <v>0</v>
      </c>
      <c r="H74" s="70">
        <f t="shared" si="12"/>
        <v>0</v>
      </c>
      <c r="I74" s="70">
        <f t="shared" ref="I74:M74" si="13">I10-I42</f>
        <v>0</v>
      </c>
      <c r="J74" s="70">
        <f t="shared" si="13"/>
        <v>0</v>
      </c>
      <c r="K74" s="70">
        <f t="shared" si="13"/>
        <v>0</v>
      </c>
      <c r="L74" s="70">
        <f t="shared" si="13"/>
        <v>0</v>
      </c>
      <c r="M74" s="70">
        <f t="shared" si="13"/>
        <v>0</v>
      </c>
    </row>
    <row r="75" spans="2:13" x14ac:dyDescent="0.35">
      <c r="B75" s="56" t="s">
        <v>205</v>
      </c>
      <c r="C75" s="56" t="s">
        <v>206</v>
      </c>
      <c r="D75" s="70">
        <f t="shared" ref="D75:H75" si="14">D11-D43</f>
        <v>0</v>
      </c>
      <c r="E75" s="70">
        <f t="shared" si="14"/>
        <v>0</v>
      </c>
      <c r="F75" s="70">
        <f t="shared" si="14"/>
        <v>0</v>
      </c>
      <c r="G75" s="70">
        <f t="shared" si="14"/>
        <v>0</v>
      </c>
      <c r="H75" s="70">
        <f t="shared" si="14"/>
        <v>0</v>
      </c>
      <c r="I75" s="70">
        <f t="shared" ref="I75:M75" si="15">I11-I43</f>
        <v>0</v>
      </c>
      <c r="J75" s="70">
        <f t="shared" si="15"/>
        <v>0</v>
      </c>
      <c r="K75" s="70">
        <f t="shared" si="15"/>
        <v>0</v>
      </c>
      <c r="L75" s="70">
        <f t="shared" si="15"/>
        <v>0</v>
      </c>
      <c r="M75" s="70">
        <f t="shared" si="15"/>
        <v>0</v>
      </c>
    </row>
    <row r="76" spans="2:13" x14ac:dyDescent="0.35">
      <c r="B76" s="56" t="s">
        <v>207</v>
      </c>
      <c r="C76" s="56" t="s">
        <v>208</v>
      </c>
      <c r="D76" s="70">
        <f t="shared" ref="D76:H76" si="16">D12-D44</f>
        <v>0</v>
      </c>
      <c r="E76" s="70">
        <f t="shared" si="16"/>
        <v>12.431102422340587</v>
      </c>
      <c r="F76" s="70">
        <f t="shared" si="16"/>
        <v>25.343113099005109</v>
      </c>
      <c r="G76" s="70">
        <f t="shared" si="16"/>
        <v>25.543572660193831</v>
      </c>
      <c r="H76" s="70">
        <f t="shared" si="16"/>
        <v>25.74560043935162</v>
      </c>
      <c r="I76" s="70">
        <f t="shared" ref="I76:M76" si="17">I12-I44</f>
        <v>25.949208594627407</v>
      </c>
      <c r="J76" s="70">
        <f t="shared" si="17"/>
        <v>26.154409377723596</v>
      </c>
      <c r="K76" s="70">
        <f t="shared" si="17"/>
        <v>20.843390267583231</v>
      </c>
      <c r="L76" s="70">
        <f t="shared" si="17"/>
        <v>15.424900709334793</v>
      </c>
      <c r="M76" s="70">
        <f t="shared" si="17"/>
        <v>0</v>
      </c>
    </row>
    <row r="77" spans="2:13" x14ac:dyDescent="0.35">
      <c r="B77" s="56" t="s">
        <v>209</v>
      </c>
      <c r="C77" s="56" t="s">
        <v>210</v>
      </c>
      <c r="D77" s="70">
        <f>D13-D45</f>
        <v>-5.3999999999999773</v>
      </c>
      <c r="E77" s="70">
        <f t="shared" ref="E77:H77" si="18">E13-E45</f>
        <v>12.949403922012493</v>
      </c>
      <c r="F77" s="70">
        <f t="shared" si="18"/>
        <v>32.236604703006492</v>
      </c>
      <c r="G77" s="70">
        <f t="shared" si="18"/>
        <v>32.49634910198597</v>
      </c>
      <c r="H77" s="70">
        <f t="shared" si="18"/>
        <v>32.758155679535207</v>
      </c>
      <c r="I77" s="70">
        <f t="shared" ref="I77:M77" si="19">I13-I45</f>
        <v>33.022040616787308</v>
      </c>
      <c r="J77" s="70">
        <f t="shared" si="19"/>
        <v>33.288020220636213</v>
      </c>
      <c r="K77" s="70">
        <f t="shared" si="19"/>
        <v>25.269862076119352</v>
      </c>
      <c r="L77" s="70">
        <f t="shared" si="19"/>
        <v>17.089956590573252</v>
      </c>
      <c r="M77" s="70">
        <f t="shared" si="19"/>
        <v>0</v>
      </c>
    </row>
    <row r="78" spans="2:13" x14ac:dyDescent="0.35">
      <c r="B78" s="56" t="s">
        <v>55</v>
      </c>
      <c r="C78" s="56" t="s">
        <v>211</v>
      </c>
      <c r="D78" s="70">
        <f t="shared" ref="D78:H78" si="20">D14-D46</f>
        <v>0</v>
      </c>
      <c r="E78" s="70">
        <f t="shared" si="20"/>
        <v>0.8911513778355129</v>
      </c>
      <c r="F78" s="70">
        <f t="shared" si="20"/>
        <v>1.8170412400487521</v>
      </c>
      <c r="G78" s="70">
        <f t="shared" si="20"/>
        <v>-0.63214606642077342</v>
      </c>
      <c r="H78" s="70">
        <f t="shared" si="20"/>
        <v>-3.1498479745105215</v>
      </c>
      <c r="I78" s="70">
        <f t="shared" ref="I78:M78" si="21">I14-I46</f>
        <v>-5.737500866370965</v>
      </c>
      <c r="J78" s="70">
        <f t="shared" si="21"/>
        <v>-8.3965679391694721</v>
      </c>
      <c r="K78" s="70">
        <f t="shared" si="21"/>
        <v>-7.6479469131973019</v>
      </c>
      <c r="L78" s="70">
        <f t="shared" si="21"/>
        <v>-6.8744143170449661</v>
      </c>
      <c r="M78" s="70">
        <f t="shared" si="21"/>
        <v>0</v>
      </c>
    </row>
    <row r="79" spans="2:13" x14ac:dyDescent="0.35">
      <c r="B79" s="56" t="s">
        <v>212</v>
      </c>
      <c r="C79" s="56" t="s">
        <v>213</v>
      </c>
      <c r="D79" s="70">
        <f t="shared" ref="D79:H79" si="22">D15-D47</f>
        <v>0</v>
      </c>
      <c r="E79" s="70">
        <f t="shared" si="22"/>
        <v>0</v>
      </c>
      <c r="F79" s="70">
        <f t="shared" si="22"/>
        <v>0</v>
      </c>
      <c r="G79" s="70">
        <f t="shared" si="22"/>
        <v>0</v>
      </c>
      <c r="H79" s="70">
        <f t="shared" si="22"/>
        <v>0</v>
      </c>
      <c r="I79" s="70">
        <f t="shared" ref="I79:M79" si="23">I15-I47</f>
        <v>0</v>
      </c>
      <c r="J79" s="70">
        <f t="shared" si="23"/>
        <v>0</v>
      </c>
      <c r="K79" s="70">
        <f t="shared" si="23"/>
        <v>0</v>
      </c>
      <c r="L79" s="70">
        <f t="shared" si="23"/>
        <v>0</v>
      </c>
      <c r="M79" s="70">
        <f t="shared" si="23"/>
        <v>0</v>
      </c>
    </row>
    <row r="80" spans="2:13" x14ac:dyDescent="0.35">
      <c r="B80" s="56" t="s">
        <v>214</v>
      </c>
      <c r="C80" s="56" t="s">
        <v>215</v>
      </c>
      <c r="D80" s="70">
        <f t="shared" ref="D80:H80" si="24">D16-D48</f>
        <v>0</v>
      </c>
      <c r="E80" s="70">
        <f t="shared" si="24"/>
        <v>0</v>
      </c>
      <c r="F80" s="70">
        <f t="shared" si="24"/>
        <v>0</v>
      </c>
      <c r="G80" s="70">
        <f t="shared" si="24"/>
        <v>0</v>
      </c>
      <c r="H80" s="70">
        <f t="shared" si="24"/>
        <v>0</v>
      </c>
      <c r="I80" s="70">
        <f t="shared" ref="I80:M80" si="25">I16-I48</f>
        <v>0</v>
      </c>
      <c r="J80" s="70">
        <f t="shared" si="25"/>
        <v>0</v>
      </c>
      <c r="K80" s="70">
        <f t="shared" si="25"/>
        <v>0</v>
      </c>
      <c r="L80" s="70">
        <f t="shared" si="25"/>
        <v>0</v>
      </c>
      <c r="M80" s="70">
        <f t="shared" si="25"/>
        <v>0</v>
      </c>
    </row>
    <row r="81" spans="2:16" x14ac:dyDescent="0.35">
      <c r="B81" s="56" t="s">
        <v>216</v>
      </c>
      <c r="C81" s="56" t="s">
        <v>217</v>
      </c>
      <c r="D81" s="70">
        <f t="shared" ref="D81:H81" si="26">D17-D49</f>
        <v>0</v>
      </c>
      <c r="E81" s="70">
        <f t="shared" si="26"/>
        <v>0</v>
      </c>
      <c r="F81" s="70">
        <f t="shared" si="26"/>
        <v>0</v>
      </c>
      <c r="G81" s="70">
        <f t="shared" si="26"/>
        <v>0</v>
      </c>
      <c r="H81" s="70">
        <f t="shared" si="26"/>
        <v>0</v>
      </c>
      <c r="I81" s="70">
        <f t="shared" ref="I81:M81" si="27">I17-I49</f>
        <v>0</v>
      </c>
      <c r="J81" s="70">
        <f t="shared" si="27"/>
        <v>0</v>
      </c>
      <c r="K81" s="70">
        <f t="shared" si="27"/>
        <v>0</v>
      </c>
      <c r="L81" s="70">
        <f t="shared" si="27"/>
        <v>0</v>
      </c>
      <c r="M81" s="70">
        <f t="shared" si="27"/>
        <v>0</v>
      </c>
    </row>
    <row r="82" spans="2:16" x14ac:dyDescent="0.35">
      <c r="B82" s="56" t="s">
        <v>822</v>
      </c>
      <c r="C82" s="56" t="s">
        <v>219</v>
      </c>
      <c r="D82" s="70">
        <f t="shared" ref="D82:H82" si="28">D18-D50</f>
        <v>0</v>
      </c>
      <c r="E82" s="70">
        <f t="shared" si="28"/>
        <v>0</v>
      </c>
      <c r="F82" s="70">
        <f t="shared" si="28"/>
        <v>0</v>
      </c>
      <c r="G82" s="70">
        <f t="shared" si="28"/>
        <v>0</v>
      </c>
      <c r="H82" s="70">
        <f t="shared" si="28"/>
        <v>0</v>
      </c>
      <c r="I82" s="70">
        <f t="shared" ref="I82:M82" si="29">I18-I50</f>
        <v>0</v>
      </c>
      <c r="J82" s="70">
        <f t="shared" si="29"/>
        <v>0</v>
      </c>
      <c r="K82" s="70">
        <f t="shared" si="29"/>
        <v>0</v>
      </c>
      <c r="L82" s="70">
        <f t="shared" si="29"/>
        <v>0</v>
      </c>
      <c r="M82" s="70">
        <f t="shared" si="29"/>
        <v>0</v>
      </c>
    </row>
    <row r="83" spans="2:16" x14ac:dyDescent="0.35">
      <c r="B83" s="56" t="s">
        <v>220</v>
      </c>
      <c r="C83" s="56" t="s">
        <v>221</v>
      </c>
      <c r="D83" s="70">
        <f t="shared" ref="D83:H83" si="30">D19-D51</f>
        <v>-1</v>
      </c>
      <c r="E83" s="70">
        <f t="shared" si="30"/>
        <v>-1</v>
      </c>
      <c r="F83" s="70">
        <f t="shared" si="30"/>
        <v>-1</v>
      </c>
      <c r="G83" s="70">
        <f t="shared" si="30"/>
        <v>-1</v>
      </c>
      <c r="H83" s="70">
        <f t="shared" si="30"/>
        <v>-1.0114586229997258</v>
      </c>
      <c r="I83" s="70">
        <f t="shared" ref="I83:M83" si="31">I19-I51</f>
        <v>-1.0114586229997258</v>
      </c>
      <c r="J83" s="70">
        <f t="shared" si="31"/>
        <v>-1.0114586229997258</v>
      </c>
      <c r="K83" s="70">
        <f t="shared" si="31"/>
        <v>-1.0114586229997258</v>
      </c>
      <c r="L83" s="70">
        <f t="shared" si="31"/>
        <v>-1.0231807943291642</v>
      </c>
      <c r="M83" s="70">
        <f t="shared" si="31"/>
        <v>0</v>
      </c>
    </row>
    <row r="84" spans="2:16" x14ac:dyDescent="0.35">
      <c r="B84" s="56" t="s">
        <v>222</v>
      </c>
      <c r="C84" s="56" t="s">
        <v>223</v>
      </c>
      <c r="D84" s="70">
        <f t="shared" ref="D84:H84" si="32">D20-D52</f>
        <v>0</v>
      </c>
      <c r="E84" s="70">
        <f t="shared" si="32"/>
        <v>0</v>
      </c>
      <c r="F84" s="70">
        <f t="shared" si="32"/>
        <v>0</v>
      </c>
      <c r="G84" s="70">
        <f t="shared" si="32"/>
        <v>0</v>
      </c>
      <c r="H84" s="70">
        <f t="shared" si="32"/>
        <v>0</v>
      </c>
      <c r="I84" s="70">
        <f t="shared" ref="I84:M84" si="33">I20-I52</f>
        <v>0</v>
      </c>
      <c r="J84" s="70">
        <f t="shared" si="33"/>
        <v>0</v>
      </c>
      <c r="K84" s="70">
        <f t="shared" si="33"/>
        <v>0</v>
      </c>
      <c r="L84" s="70">
        <f t="shared" si="33"/>
        <v>0</v>
      </c>
      <c r="M84" s="70">
        <f t="shared" si="33"/>
        <v>0</v>
      </c>
    </row>
    <row r="85" spans="2:16" x14ac:dyDescent="0.35">
      <c r="B85" s="56" t="s">
        <v>224</v>
      </c>
      <c r="C85" s="56" t="s">
        <v>225</v>
      </c>
      <c r="D85" s="70">
        <f>D21-D53</f>
        <v>-0.8999999999996362</v>
      </c>
      <c r="E85" s="70">
        <f t="shared" ref="E85:H85" si="34">E21-E53</f>
        <v>3.2724118096830352</v>
      </c>
      <c r="F85" s="70">
        <f t="shared" si="34"/>
        <v>7.5282533571917156</v>
      </c>
      <c r="G85" s="70">
        <f t="shared" si="34"/>
        <v>4.0984917772939298</v>
      </c>
      <c r="H85" s="70">
        <f t="shared" si="34"/>
        <v>52.917342712571553</v>
      </c>
      <c r="I85" s="70">
        <f t="shared" ref="I85:M85" si="35">I21-I53</f>
        <v>49.613618122618391</v>
      </c>
      <c r="J85" s="70">
        <f t="shared" si="35"/>
        <v>46.242933445299968</v>
      </c>
      <c r="K85" s="70">
        <f t="shared" si="35"/>
        <v>42.80431222199968</v>
      </c>
      <c r="L85" s="70">
        <f t="shared" si="35"/>
        <v>241.36097167770276</v>
      </c>
      <c r="M85" s="70">
        <f t="shared" si="35"/>
        <v>0</v>
      </c>
      <c r="N85" s="73"/>
      <c r="O85" s="73"/>
      <c r="P85" s="73"/>
    </row>
    <row r="86" spans="2:16" x14ac:dyDescent="0.35">
      <c r="B86" s="56" t="s">
        <v>226</v>
      </c>
      <c r="C86" s="56" t="s">
        <v>227</v>
      </c>
      <c r="D86" s="70">
        <f>D22-D54</f>
        <v>23.800000000000182</v>
      </c>
      <c r="E86" s="70">
        <f t="shared" ref="E86:H86" si="36">E22-E54</f>
        <v>45.42777767245525</v>
      </c>
      <c r="F86" s="70">
        <f t="shared" si="36"/>
        <v>55.256684491616397</v>
      </c>
      <c r="G86" s="70">
        <f t="shared" si="36"/>
        <v>56.088288942714371</v>
      </c>
      <c r="H86" s="70">
        <f t="shared" si="36"/>
        <v>55.646687054371341</v>
      </c>
      <c r="I86" s="70">
        <f t="shared" ref="I86:M86" si="37">I22-I54</f>
        <v>55.231404529357405</v>
      </c>
      <c r="J86" s="70">
        <f t="shared" si="37"/>
        <v>54.053143722257118</v>
      </c>
      <c r="K86" s="70">
        <f t="shared" si="37"/>
        <v>52.037698932845615</v>
      </c>
      <c r="L86" s="70">
        <f t="shared" si="37"/>
        <v>49.47651510335163</v>
      </c>
      <c r="M86" s="70">
        <f t="shared" si="37"/>
        <v>0</v>
      </c>
    </row>
    <row r="87" spans="2:16" x14ac:dyDescent="0.35">
      <c r="B87" s="56" t="s">
        <v>228</v>
      </c>
      <c r="C87" s="56" t="s">
        <v>229</v>
      </c>
      <c r="D87" s="70">
        <f t="shared" ref="D87:H87" si="38">D23-D55</f>
        <v>-3.1999999999999886</v>
      </c>
      <c r="E87" s="70">
        <f t="shared" si="38"/>
        <v>-14.618422245628949</v>
      </c>
      <c r="F87" s="70">
        <f t="shared" si="38"/>
        <v>-26.277763830882861</v>
      </c>
      <c r="G87" s="70">
        <f t="shared" si="38"/>
        <v>-20.097299640453116</v>
      </c>
      <c r="H87" s="70">
        <f t="shared" si="38"/>
        <v>-13.571749138321707</v>
      </c>
      <c r="I87" s="70">
        <f t="shared" ref="I87:M87" si="39">I23-I55</f>
        <v>-6.6868119051723056</v>
      </c>
      <c r="J87" s="70">
        <f t="shared" si="39"/>
        <v>0.57234730170898729</v>
      </c>
      <c r="K87" s="70">
        <f t="shared" si="39"/>
        <v>8.2211176445929368</v>
      </c>
      <c r="L87" s="70">
        <f t="shared" si="39"/>
        <v>16.27546196757396</v>
      </c>
      <c r="M87" s="70">
        <f t="shared" si="39"/>
        <v>0</v>
      </c>
    </row>
    <row r="88" spans="2:16" x14ac:dyDescent="0.35">
      <c r="B88" s="56" t="s">
        <v>230</v>
      </c>
      <c r="C88" s="56" t="s">
        <v>231</v>
      </c>
      <c r="D88" s="70">
        <f t="shared" ref="D88:H88" si="40">D24-D56</f>
        <v>4.1999999999999886</v>
      </c>
      <c r="E88" s="70">
        <f t="shared" si="40"/>
        <v>13.684263236103391</v>
      </c>
      <c r="F88" s="70">
        <f t="shared" si="40"/>
        <v>16.037216161943888</v>
      </c>
      <c r="G88" s="70">
        <f t="shared" si="40"/>
        <v>15.976153584402169</v>
      </c>
      <c r="H88" s="70">
        <f t="shared" si="40"/>
        <v>16.915118598412022</v>
      </c>
      <c r="I88" s="70">
        <f t="shared" ref="I88:M88" si="41">I24-I56</f>
        <v>17.167771511235941</v>
      </c>
      <c r="J88" s="70">
        <f t="shared" si="41"/>
        <v>16.591019955381</v>
      </c>
      <c r="K88" s="70">
        <f t="shared" si="41"/>
        <v>14.696513040007517</v>
      </c>
      <c r="L88" s="70">
        <f t="shared" si="41"/>
        <v>14.068881627605208</v>
      </c>
      <c r="M88" s="70">
        <f t="shared" si="41"/>
        <v>0</v>
      </c>
    </row>
    <row r="89" spans="2:16" x14ac:dyDescent="0.35">
      <c r="B89" s="56" t="s">
        <v>1385</v>
      </c>
      <c r="C89" s="56" t="s">
        <v>1384</v>
      </c>
      <c r="D89" s="70">
        <f t="shared" ref="D89:H89" si="42">D25-D57</f>
        <v>0</v>
      </c>
      <c r="E89" s="70">
        <f t="shared" si="42"/>
        <v>0</v>
      </c>
      <c r="F89" s="70">
        <f t="shared" si="42"/>
        <v>0</v>
      </c>
      <c r="G89" s="70">
        <f t="shared" si="42"/>
        <v>0</v>
      </c>
      <c r="H89" s="70">
        <f t="shared" si="42"/>
        <v>0</v>
      </c>
      <c r="I89" s="70">
        <f t="shared" ref="I89:M89" si="43">I25-I57</f>
        <v>0</v>
      </c>
      <c r="J89" s="70">
        <f t="shared" si="43"/>
        <v>0</v>
      </c>
      <c r="K89" s="70">
        <f t="shared" si="43"/>
        <v>0</v>
      </c>
      <c r="L89" s="70">
        <f t="shared" si="43"/>
        <v>0</v>
      </c>
      <c r="M89" s="70">
        <f t="shared" si="43"/>
        <v>0</v>
      </c>
    </row>
    <row r="90" spans="2:16" x14ac:dyDescent="0.35">
      <c r="B90" s="56"/>
      <c r="C90" s="56"/>
      <c r="D90" s="70"/>
      <c r="E90" s="70"/>
      <c r="F90" s="70"/>
      <c r="G90" s="70"/>
      <c r="H90" s="70"/>
      <c r="I90" s="70"/>
      <c r="J90" s="70"/>
      <c r="K90" s="70"/>
      <c r="L90" s="70"/>
      <c r="M90" s="70"/>
    </row>
    <row r="91" spans="2:16" x14ac:dyDescent="0.35">
      <c r="B91" s="75" t="s">
        <v>1921</v>
      </c>
      <c r="C91" s="56"/>
      <c r="D91" s="70"/>
      <c r="E91" s="70"/>
      <c r="F91" s="70"/>
      <c r="G91" s="70"/>
      <c r="H91" s="70"/>
      <c r="I91" s="70"/>
      <c r="J91" s="70"/>
      <c r="K91" s="70"/>
      <c r="L91" s="70"/>
      <c r="M91" s="70"/>
    </row>
    <row r="92" spans="2:16" x14ac:dyDescent="0.35">
      <c r="B92" s="56" t="s">
        <v>1710</v>
      </c>
      <c r="C92" s="56" t="s">
        <v>1922</v>
      </c>
      <c r="D92" s="72">
        <f>D28-D60</f>
        <v>8.1097143288566542E-4</v>
      </c>
      <c r="E92" s="72">
        <f t="shared" ref="E92:I92" si="44">E28-E60</f>
        <v>1.0473369706727853E-2</v>
      </c>
      <c r="F92" s="72">
        <f t="shared" si="44"/>
        <v>3.3168152430840259E-4</v>
      </c>
      <c r="G92" s="72">
        <f t="shared" si="44"/>
        <v>-1.5385091074837653E-3</v>
      </c>
      <c r="H92" s="72">
        <f t="shared" si="44"/>
        <v>-6.2469702076684008E-4</v>
      </c>
      <c r="I92" s="72">
        <f t="shared" si="44"/>
        <v>-6.1743654488943811E-4</v>
      </c>
      <c r="J92" s="72">
        <f t="shared" ref="J92:K92" si="45">J28-J60</f>
        <v>-1.2292238734445959E-3</v>
      </c>
      <c r="K92" s="72">
        <f t="shared" si="45"/>
        <v>-1.4270048493221221E-3</v>
      </c>
      <c r="L92" s="72">
        <f t="shared" ref="L92:M92" si="46">L28-L60</f>
        <v>-1.443722019107474E-3</v>
      </c>
      <c r="M92" s="72">
        <f t="shared" si="46"/>
        <v>0</v>
      </c>
    </row>
    <row r="93" spans="2:16" x14ac:dyDescent="0.35">
      <c r="B93" s="56" t="s">
        <v>1711</v>
      </c>
      <c r="C93" s="56"/>
      <c r="D93" s="72">
        <f t="shared" ref="D93:I96" si="47">D29-D61</f>
        <v>-4.2907634190225696E-3</v>
      </c>
      <c r="E93" s="72">
        <f t="shared" si="47"/>
        <v>7.433099225298001E-3</v>
      </c>
      <c r="F93" s="72">
        <f t="shared" si="47"/>
        <v>6.8201183521687803E-4</v>
      </c>
      <c r="G93" s="72">
        <f t="shared" si="47"/>
        <v>-2.8344425950450648E-3</v>
      </c>
      <c r="H93" s="72">
        <f t="shared" si="47"/>
        <v>-1.6685059061427587E-3</v>
      </c>
      <c r="I93" s="72">
        <f t="shared" si="47"/>
        <v>-6.1743654488943811E-4</v>
      </c>
      <c r="J93" s="72">
        <f t="shared" ref="J93:K93" si="48">J29-J61</f>
        <v>-1.2292238734445959E-3</v>
      </c>
      <c r="K93" s="72">
        <f t="shared" si="48"/>
        <v>-1.4270048493221221E-3</v>
      </c>
      <c r="L93" s="72">
        <f t="shared" ref="L93:M93" si="49">L29-L61</f>
        <v>-1.443722019107474E-3</v>
      </c>
      <c r="M93" s="72">
        <f t="shared" si="49"/>
        <v>0</v>
      </c>
    </row>
    <row r="94" spans="2:16" x14ac:dyDescent="0.35">
      <c r="B94" s="56" t="s">
        <v>1712</v>
      </c>
      <c r="C94" s="56"/>
      <c r="D94" s="72">
        <f t="shared" si="47"/>
        <v>3.216240052705821E-5</v>
      </c>
      <c r="E94" s="72">
        <f t="shared" si="47"/>
        <v>1.7740305649731836E-2</v>
      </c>
      <c r="F94" s="72">
        <f t="shared" si="47"/>
        <v>-1.0825168606307667E-3</v>
      </c>
      <c r="G94" s="72">
        <f t="shared" si="47"/>
        <v>-1.7198335765511441E-3</v>
      </c>
      <c r="H94" s="72">
        <f t="shared" si="47"/>
        <v>-8.9305725088428822E-4</v>
      </c>
      <c r="I94" s="72">
        <f t="shared" si="47"/>
        <v>0</v>
      </c>
      <c r="J94" s="72">
        <f t="shared" ref="J94:K94" si="50">J30-J62</f>
        <v>0</v>
      </c>
      <c r="K94" s="72">
        <f t="shared" si="50"/>
        <v>0</v>
      </c>
      <c r="L94" s="72">
        <f t="shared" ref="L94:M94" si="51">L30-L62</f>
        <v>0</v>
      </c>
      <c r="M94" s="72">
        <f t="shared" si="51"/>
        <v>0</v>
      </c>
    </row>
    <row r="95" spans="2:16" x14ac:dyDescent="0.35">
      <c r="B95" s="56" t="s">
        <v>1713</v>
      </c>
      <c r="C95" s="56"/>
      <c r="D95" s="72">
        <f t="shared" si="47"/>
        <v>-3.8867389655350415E-4</v>
      </c>
      <c r="E95" s="72">
        <f t="shared" si="47"/>
        <v>1.7740305649731836E-2</v>
      </c>
      <c r="F95" s="72">
        <f t="shared" si="47"/>
        <v>-1.0825168606307667E-3</v>
      </c>
      <c r="G95" s="72">
        <f t="shared" si="47"/>
        <v>-1.7198335765511441E-3</v>
      </c>
      <c r="H95" s="72">
        <f t="shared" si="47"/>
        <v>-8.9305725088428822E-4</v>
      </c>
      <c r="I95" s="72">
        <f t="shared" si="47"/>
        <v>-1.9027603802639348E-3</v>
      </c>
      <c r="J95" s="72">
        <f t="shared" ref="J95:K95" si="52">J31-J63</f>
        <v>-1.7909632437682621E-3</v>
      </c>
      <c r="K95" s="72">
        <f t="shared" si="52"/>
        <v>-1.1203480859034443E-3</v>
      </c>
      <c r="L95" s="72">
        <f t="shared" ref="L95:M95" si="53">L31-L63</f>
        <v>-3.9758598183496918E-3</v>
      </c>
      <c r="M95" s="72">
        <f t="shared" si="53"/>
        <v>0</v>
      </c>
    </row>
    <row r="96" spans="2:16" x14ac:dyDescent="0.35">
      <c r="B96" s="56" t="s">
        <v>1714</v>
      </c>
      <c r="C96" s="56"/>
      <c r="D96" s="72">
        <f t="shared" si="47"/>
        <v>1.7103068439310309E-3</v>
      </c>
      <c r="E96" s="72">
        <f t="shared" si="47"/>
        <v>1.7740305649731836E-2</v>
      </c>
      <c r="F96" s="72">
        <f t="shared" si="47"/>
        <v>-1.0825168606307667E-3</v>
      </c>
      <c r="G96" s="72">
        <f t="shared" si="47"/>
        <v>-1.7198335765511441E-3</v>
      </c>
      <c r="H96" s="72">
        <f t="shared" si="47"/>
        <v>-8.9305725088428822E-4</v>
      </c>
      <c r="I96" s="72">
        <f t="shared" si="47"/>
        <v>-1.0336024203219107E-3</v>
      </c>
      <c r="J96" s="72">
        <f t="shared" ref="J96:K96" si="54">J32-J64</f>
        <v>-1.4930173230820465E-3</v>
      </c>
      <c r="K96" s="72">
        <f t="shared" si="54"/>
        <v>-1.7232167504246387E-3</v>
      </c>
      <c r="L96" s="72">
        <f t="shared" ref="L96:M96" si="55">L32-L64</f>
        <v>-2.6761875864558249E-3</v>
      </c>
      <c r="M96" s="72">
        <f t="shared" si="55"/>
        <v>0</v>
      </c>
    </row>
    <row r="98" spans="2:13" x14ac:dyDescent="0.35">
      <c r="B98" s="1254" t="s">
        <v>233</v>
      </c>
      <c r="C98" s="1254"/>
      <c r="D98" s="1254"/>
      <c r="E98" s="1254"/>
      <c r="F98" s="1254"/>
      <c r="G98" s="1254"/>
      <c r="H98" s="1254"/>
      <c r="I98" s="1254"/>
      <c r="J98" s="1254"/>
      <c r="K98" s="1254"/>
      <c r="L98" s="1254"/>
      <c r="M98" s="1254"/>
    </row>
    <row r="99" spans="2:13" x14ac:dyDescent="0.35">
      <c r="B99" t="s">
        <v>178</v>
      </c>
      <c r="C99" t="s">
        <v>179</v>
      </c>
      <c r="D99" t="s">
        <v>190</v>
      </c>
      <c r="E99" t="s">
        <v>191</v>
      </c>
      <c r="F99" t="s">
        <v>175</v>
      </c>
      <c r="G99" t="s">
        <v>176</v>
      </c>
      <c r="H99" t="s">
        <v>177</v>
      </c>
      <c r="I99" t="s">
        <v>765</v>
      </c>
      <c r="J99" t="s">
        <v>766</v>
      </c>
      <c r="K99" t="s">
        <v>767</v>
      </c>
      <c r="L99" t="s">
        <v>1157</v>
      </c>
      <c r="M99" t="s">
        <v>1158</v>
      </c>
    </row>
    <row r="100" spans="2:13" x14ac:dyDescent="0.35">
      <c r="B100" t="s">
        <v>192</v>
      </c>
      <c r="C100" t="s">
        <v>193</v>
      </c>
      <c r="D100" s="74">
        <f t="shared" ref="D100:H100" si="56">(D4/D36-1)</f>
        <v>0</v>
      </c>
      <c r="E100" s="74">
        <f t="shared" si="56"/>
        <v>0</v>
      </c>
      <c r="F100" s="74">
        <f t="shared" si="56"/>
        <v>0</v>
      </c>
      <c r="G100" s="74">
        <f t="shared" si="56"/>
        <v>0</v>
      </c>
      <c r="H100" s="74">
        <f t="shared" si="56"/>
        <v>0</v>
      </c>
      <c r="I100" s="74">
        <f t="shared" ref="I100:M100" si="57">(I4/I36-1)</f>
        <v>0</v>
      </c>
      <c r="J100" s="74">
        <f t="shared" si="57"/>
        <v>0</v>
      </c>
      <c r="K100" s="74">
        <f t="shared" si="57"/>
        <v>0</v>
      </c>
      <c r="L100" s="74">
        <f t="shared" si="57"/>
        <v>0</v>
      </c>
      <c r="M100" s="74" t="e">
        <f t="shared" si="57"/>
        <v>#DIV/0!</v>
      </c>
    </row>
    <row r="101" spans="2:13" x14ac:dyDescent="0.35">
      <c r="B101" t="s">
        <v>134</v>
      </c>
      <c r="C101" t="s">
        <v>194</v>
      </c>
      <c r="D101" s="74">
        <f t="shared" ref="D101:H101" si="58">(D5/D37-1)</f>
        <v>0</v>
      </c>
      <c r="E101" s="74">
        <f t="shared" si="58"/>
        <v>0</v>
      </c>
      <c r="F101" s="74">
        <f t="shared" si="58"/>
        <v>0</v>
      </c>
      <c r="G101" s="74">
        <f t="shared" si="58"/>
        <v>0</v>
      </c>
      <c r="H101" s="74">
        <f t="shared" si="58"/>
        <v>0</v>
      </c>
      <c r="I101" s="74">
        <f t="shared" ref="I101:M101" si="59">(I5/I37-1)</f>
        <v>0</v>
      </c>
      <c r="J101" s="74">
        <f t="shared" si="59"/>
        <v>0</v>
      </c>
      <c r="K101" s="74">
        <f t="shared" si="59"/>
        <v>0</v>
      </c>
      <c r="L101" s="74">
        <f t="shared" si="59"/>
        <v>0</v>
      </c>
      <c r="M101" s="74" t="e">
        <f t="shared" si="59"/>
        <v>#DIV/0!</v>
      </c>
    </row>
    <row r="102" spans="2:13" x14ac:dyDescent="0.35">
      <c r="B102" t="s">
        <v>195</v>
      </c>
      <c r="C102" t="s">
        <v>196</v>
      </c>
      <c r="D102" s="74">
        <f t="shared" ref="D102:H102" si="60">(D6/D38-1)</f>
        <v>1.0886131069010041E-4</v>
      </c>
      <c r="E102" s="74">
        <f t="shared" si="60"/>
        <v>1.0886131069010041E-4</v>
      </c>
      <c r="F102" s="74">
        <f t="shared" si="60"/>
        <v>1.0886131069010041E-4</v>
      </c>
      <c r="G102" s="74">
        <f t="shared" si="60"/>
        <v>1.0886131069010041E-4</v>
      </c>
      <c r="H102" s="74">
        <f t="shared" si="60"/>
        <v>1.0886131069032245E-4</v>
      </c>
      <c r="I102" s="74">
        <f t="shared" ref="I102:M102" si="61">(I6/I38-1)</f>
        <v>1.0886131069010041E-4</v>
      </c>
      <c r="J102" s="74">
        <f t="shared" si="61"/>
        <v>1.0886131069032245E-4</v>
      </c>
      <c r="K102" s="74">
        <f t="shared" si="61"/>
        <v>1.0886131069032245E-4</v>
      </c>
      <c r="L102" s="74">
        <f t="shared" si="61"/>
        <v>1.0886131069032245E-4</v>
      </c>
      <c r="M102" s="74" t="e">
        <f t="shared" si="61"/>
        <v>#DIV/0!</v>
      </c>
    </row>
    <row r="103" spans="2:13" x14ac:dyDescent="0.35">
      <c r="B103" t="s">
        <v>197</v>
      </c>
      <c r="C103" t="s">
        <v>198</v>
      </c>
      <c r="D103" s="74">
        <f t="shared" ref="D103:H103" si="62">(D7/D39-1)</f>
        <v>1.0967034384878893E-3</v>
      </c>
      <c r="E103" s="74">
        <f t="shared" si="62"/>
        <v>1.0967034384878893E-3</v>
      </c>
      <c r="F103" s="74">
        <f t="shared" si="62"/>
        <v>1.0967034384876673E-3</v>
      </c>
      <c r="G103" s="74">
        <f t="shared" si="62"/>
        <v>1.0967034384876673E-3</v>
      </c>
      <c r="H103" s="74">
        <f t="shared" si="62"/>
        <v>1.0967034384876673E-3</v>
      </c>
      <c r="I103" s="74">
        <f t="shared" ref="I103:M103" si="63">(I7/I39-1)</f>
        <v>1.0967034384876673E-3</v>
      </c>
      <c r="J103" s="74">
        <f t="shared" si="63"/>
        <v>1.0967034384876673E-3</v>
      </c>
      <c r="K103" s="74">
        <f t="shared" si="63"/>
        <v>1.0967034384876673E-3</v>
      </c>
      <c r="L103" s="74">
        <f t="shared" si="63"/>
        <v>1.0967034384876673E-3</v>
      </c>
      <c r="M103" s="74" t="e">
        <f t="shared" si="63"/>
        <v>#DIV/0!</v>
      </c>
    </row>
    <row r="104" spans="2:13" x14ac:dyDescent="0.35">
      <c r="B104" t="s">
        <v>199</v>
      </c>
      <c r="C104" t="s">
        <v>200</v>
      </c>
      <c r="D104" s="74">
        <f t="shared" ref="D104:H104" si="64">(D8/D40-1)</f>
        <v>0</v>
      </c>
      <c r="E104" s="74">
        <f t="shared" si="64"/>
        <v>0</v>
      </c>
      <c r="F104" s="74">
        <f t="shared" si="64"/>
        <v>0</v>
      </c>
      <c r="G104" s="74">
        <f t="shared" si="64"/>
        <v>0</v>
      </c>
      <c r="H104" s="74">
        <f t="shared" si="64"/>
        <v>0</v>
      </c>
      <c r="I104" s="74">
        <f t="shared" ref="I104:M104" si="65">(I8/I40-1)</f>
        <v>0</v>
      </c>
      <c r="J104" s="74">
        <f t="shared" si="65"/>
        <v>0</v>
      </c>
      <c r="K104" s="74">
        <f t="shared" si="65"/>
        <v>0</v>
      </c>
      <c r="L104" s="74">
        <f t="shared" si="65"/>
        <v>0</v>
      </c>
      <c r="M104" s="74" t="e">
        <f t="shared" si="65"/>
        <v>#DIV/0!</v>
      </c>
    </row>
    <row r="105" spans="2:13" x14ac:dyDescent="0.35">
      <c r="B105" t="s">
        <v>201</v>
      </c>
      <c r="C105" t="s">
        <v>202</v>
      </c>
      <c r="D105" s="74">
        <f t="shared" ref="D105:H105" si="66">(D9/D41-1)</f>
        <v>0</v>
      </c>
      <c r="E105" s="74">
        <f t="shared" si="66"/>
        <v>0</v>
      </c>
      <c r="F105" s="74">
        <f t="shared" si="66"/>
        <v>0</v>
      </c>
      <c r="G105" s="74">
        <f t="shared" si="66"/>
        <v>0</v>
      </c>
      <c r="H105" s="74">
        <f t="shared" si="66"/>
        <v>0</v>
      </c>
      <c r="I105" s="74">
        <f t="shared" ref="I105:M105" si="67">(I9/I41-1)</f>
        <v>0</v>
      </c>
      <c r="J105" s="74">
        <f t="shared" si="67"/>
        <v>0</v>
      </c>
      <c r="K105" s="74">
        <f t="shared" si="67"/>
        <v>0</v>
      </c>
      <c r="L105" s="74" t="e">
        <f t="shared" si="67"/>
        <v>#DIV/0!</v>
      </c>
      <c r="M105" s="74" t="e">
        <f t="shared" si="67"/>
        <v>#DIV/0!</v>
      </c>
    </row>
    <row r="106" spans="2:13" x14ac:dyDescent="0.35">
      <c r="B106" t="s">
        <v>203</v>
      </c>
      <c r="C106" t="s">
        <v>204</v>
      </c>
      <c r="D106" s="74">
        <f t="shared" ref="D106:H106" si="68">(D10/D42-1)</f>
        <v>0</v>
      </c>
      <c r="E106" s="74" t="e">
        <f t="shared" si="68"/>
        <v>#DIV/0!</v>
      </c>
      <c r="F106" s="74" t="e">
        <f t="shared" si="68"/>
        <v>#DIV/0!</v>
      </c>
      <c r="G106" s="74" t="e">
        <f t="shared" si="68"/>
        <v>#DIV/0!</v>
      </c>
      <c r="H106" s="74" t="e">
        <f t="shared" si="68"/>
        <v>#DIV/0!</v>
      </c>
      <c r="I106" s="74" t="e">
        <f t="shared" ref="I106:M106" si="69">(I10/I42-1)</f>
        <v>#DIV/0!</v>
      </c>
      <c r="J106" s="74" t="e">
        <f t="shared" si="69"/>
        <v>#DIV/0!</v>
      </c>
      <c r="K106" s="74" t="e">
        <f t="shared" si="69"/>
        <v>#DIV/0!</v>
      </c>
      <c r="L106" s="74" t="e">
        <f t="shared" si="69"/>
        <v>#DIV/0!</v>
      </c>
      <c r="M106" s="74" t="e">
        <f t="shared" si="69"/>
        <v>#DIV/0!</v>
      </c>
    </row>
    <row r="107" spans="2:13" x14ac:dyDescent="0.35">
      <c r="B107" t="s">
        <v>205</v>
      </c>
      <c r="C107" t="s">
        <v>206</v>
      </c>
      <c r="D107" s="74">
        <f t="shared" ref="D107:H107" si="70">(D11/D43-1)</f>
        <v>0</v>
      </c>
      <c r="E107" s="74">
        <f t="shared" si="70"/>
        <v>0</v>
      </c>
      <c r="F107" s="74">
        <f t="shared" si="70"/>
        <v>0</v>
      </c>
      <c r="G107" s="74">
        <f t="shared" si="70"/>
        <v>0</v>
      </c>
      <c r="H107" s="74">
        <f t="shared" si="70"/>
        <v>0</v>
      </c>
      <c r="I107" s="74">
        <f t="shared" ref="I107:M107" si="71">(I11/I43-1)</f>
        <v>0</v>
      </c>
      <c r="J107" s="74">
        <f t="shared" si="71"/>
        <v>0</v>
      </c>
      <c r="K107" s="74">
        <f t="shared" si="71"/>
        <v>0</v>
      </c>
      <c r="L107" s="74">
        <f t="shared" si="71"/>
        <v>0</v>
      </c>
      <c r="M107" s="74" t="e">
        <f t="shared" si="71"/>
        <v>#DIV/0!</v>
      </c>
    </row>
    <row r="108" spans="2:13" x14ac:dyDescent="0.35">
      <c r="B108" t="s">
        <v>207</v>
      </c>
      <c r="C108" t="s">
        <v>208</v>
      </c>
      <c r="D108" s="74">
        <f t="shared" ref="D108:H108" si="72">(D12/D44-1)</f>
        <v>0</v>
      </c>
      <c r="E108" s="74">
        <f t="shared" si="72"/>
        <v>1.9442021347788163E-2</v>
      </c>
      <c r="F108" s="74">
        <f t="shared" si="72"/>
        <v>3.9578926799413328E-2</v>
      </c>
      <c r="G108" s="74">
        <f t="shared" si="72"/>
        <v>3.9612112664272781E-2</v>
      </c>
      <c r="H108" s="74">
        <f t="shared" si="72"/>
        <v>3.9645299588504823E-2</v>
      </c>
      <c r="I108" s="74">
        <f t="shared" ref="I108:M108" si="73">(I12/I44-1)</f>
        <v>3.967848757214365E-2</v>
      </c>
      <c r="J108" s="74">
        <f t="shared" si="73"/>
        <v>3.9711676615222791E-2</v>
      </c>
      <c r="K108" s="74">
        <f t="shared" si="73"/>
        <v>3.1208731689106983E-2</v>
      </c>
      <c r="L108" s="74">
        <f t="shared" si="73"/>
        <v>2.2775325341852115E-2</v>
      </c>
      <c r="M108" s="74" t="e">
        <f t="shared" si="73"/>
        <v>#DIV/0!</v>
      </c>
    </row>
    <row r="109" spans="2:13" x14ac:dyDescent="0.35">
      <c r="B109" t="s">
        <v>209</v>
      </c>
      <c r="C109" t="s">
        <v>210</v>
      </c>
      <c r="D109" s="74">
        <f t="shared" ref="D109:H109" si="74">(D13/D45-1)</f>
        <v>-5.8549278976471886E-3</v>
      </c>
      <c r="E109" s="74">
        <f t="shared" si="74"/>
        <v>1.3473261816965065E-2</v>
      </c>
      <c r="F109" s="74">
        <f t="shared" si="74"/>
        <v>3.3492267139089593E-2</v>
      </c>
      <c r="G109" s="74">
        <f t="shared" si="74"/>
        <v>3.3525258703102967E-2</v>
      </c>
      <c r="H109" s="74">
        <f t="shared" si="74"/>
        <v>3.3558251320286558E-2</v>
      </c>
      <c r="I109" s="74">
        <f t="shared" ref="I109:M109" si="75">(I13/I45-1)</f>
        <v>3.3591244990673896E-2</v>
      </c>
      <c r="J109" s="74">
        <f t="shared" si="75"/>
        <v>3.3624239714298731E-2</v>
      </c>
      <c r="K109" s="74">
        <f t="shared" si="75"/>
        <v>2.5171078917643142E-2</v>
      </c>
      <c r="L109" s="74">
        <f t="shared" si="75"/>
        <v>1.6787049556483025E-2</v>
      </c>
      <c r="M109" s="74" t="e">
        <f t="shared" si="75"/>
        <v>#DIV/0!</v>
      </c>
    </row>
    <row r="110" spans="2:13" x14ac:dyDescent="0.35">
      <c r="B110" t="s">
        <v>55</v>
      </c>
      <c r="C110" t="s">
        <v>211</v>
      </c>
      <c r="D110" s="74">
        <f t="shared" ref="D110:H110" si="76">(D14/D46-1)</f>
        <v>0</v>
      </c>
      <c r="E110" s="74">
        <f t="shared" si="76"/>
        <v>9.0964548800664957E-4</v>
      </c>
      <c r="F110" s="74">
        <f t="shared" si="76"/>
        <v>1.8273277559783807E-3</v>
      </c>
      <c r="G110" s="74">
        <f t="shared" si="76"/>
        <v>-6.2623165110964329E-4</v>
      </c>
      <c r="H110" s="74">
        <f t="shared" si="76"/>
        <v>-3.0737820847974717E-3</v>
      </c>
      <c r="I110" s="74">
        <f t="shared" ref="I110:M110" si="77">(I14/I46-1)</f>
        <v>-5.5153382615663604E-3</v>
      </c>
      <c r="J110" s="74">
        <f t="shared" si="77"/>
        <v>-7.9509148618560621E-3</v>
      </c>
      <c r="K110" s="74">
        <f t="shared" si="77"/>
        <v>-7.1356659900578823E-3</v>
      </c>
      <c r="L110" s="74">
        <f t="shared" si="77"/>
        <v>-6.3197471607617794E-3</v>
      </c>
      <c r="M110" s="74" t="e">
        <f t="shared" si="77"/>
        <v>#DIV/0!</v>
      </c>
    </row>
    <row r="111" spans="2:13" x14ac:dyDescent="0.35">
      <c r="B111" t="s">
        <v>212</v>
      </c>
      <c r="C111" t="s">
        <v>213</v>
      </c>
      <c r="D111" s="74" t="e">
        <f t="shared" ref="D111:H111" si="78">(D15/D47-1)</f>
        <v>#DIV/0!</v>
      </c>
      <c r="E111" s="74" t="e">
        <f t="shared" si="78"/>
        <v>#DIV/0!</v>
      </c>
      <c r="F111" s="74" t="e">
        <f t="shared" si="78"/>
        <v>#DIV/0!</v>
      </c>
      <c r="G111" s="74" t="e">
        <f t="shared" si="78"/>
        <v>#DIV/0!</v>
      </c>
      <c r="H111" s="74" t="e">
        <f t="shared" si="78"/>
        <v>#DIV/0!</v>
      </c>
      <c r="I111" s="74" t="e">
        <f t="shared" ref="I111:M111" si="79">(I15/I47-1)</f>
        <v>#DIV/0!</v>
      </c>
      <c r="J111" s="74" t="e">
        <f t="shared" si="79"/>
        <v>#DIV/0!</v>
      </c>
      <c r="K111" s="74" t="e">
        <f t="shared" si="79"/>
        <v>#DIV/0!</v>
      </c>
      <c r="L111" s="74" t="e">
        <f t="shared" si="79"/>
        <v>#DIV/0!</v>
      </c>
      <c r="M111" s="74" t="e">
        <f t="shared" si="79"/>
        <v>#DIV/0!</v>
      </c>
    </row>
    <row r="112" spans="2:13" x14ac:dyDescent="0.35">
      <c r="B112" t="s">
        <v>214</v>
      </c>
      <c r="C112" t="s">
        <v>215</v>
      </c>
      <c r="D112" s="74" t="e">
        <f t="shared" ref="D112:H112" si="80">(D16/D48-1)</f>
        <v>#DIV/0!</v>
      </c>
      <c r="E112" s="74" t="e">
        <f t="shared" si="80"/>
        <v>#DIV/0!</v>
      </c>
      <c r="F112" s="74" t="e">
        <f t="shared" si="80"/>
        <v>#DIV/0!</v>
      </c>
      <c r="G112" s="74" t="e">
        <f t="shared" si="80"/>
        <v>#DIV/0!</v>
      </c>
      <c r="H112" s="74" t="e">
        <f t="shared" si="80"/>
        <v>#DIV/0!</v>
      </c>
      <c r="I112" s="74" t="e">
        <f t="shared" ref="I112:M112" si="81">(I16/I48-1)</f>
        <v>#DIV/0!</v>
      </c>
      <c r="J112" s="74" t="e">
        <f t="shared" si="81"/>
        <v>#DIV/0!</v>
      </c>
      <c r="K112" s="74" t="e">
        <f t="shared" si="81"/>
        <v>#DIV/0!</v>
      </c>
      <c r="L112" s="74" t="e">
        <f t="shared" si="81"/>
        <v>#DIV/0!</v>
      </c>
      <c r="M112" s="74" t="e">
        <f t="shared" si="81"/>
        <v>#DIV/0!</v>
      </c>
    </row>
    <row r="113" spans="2:13" x14ac:dyDescent="0.35">
      <c r="B113" t="s">
        <v>216</v>
      </c>
      <c r="C113" t="s">
        <v>217</v>
      </c>
      <c r="D113" s="74">
        <f t="shared" ref="D113:H113" si="82">(D17/D49-1)</f>
        <v>0</v>
      </c>
      <c r="E113" s="74">
        <f t="shared" si="82"/>
        <v>0</v>
      </c>
      <c r="F113" s="74">
        <f t="shared" si="82"/>
        <v>0</v>
      </c>
      <c r="G113" s="74">
        <f t="shared" si="82"/>
        <v>0</v>
      </c>
      <c r="H113" s="74">
        <f t="shared" si="82"/>
        <v>0</v>
      </c>
      <c r="I113" s="74">
        <f t="shared" ref="I113:M113" si="83">(I17/I49-1)</f>
        <v>0</v>
      </c>
      <c r="J113" s="74">
        <f t="shared" si="83"/>
        <v>0</v>
      </c>
      <c r="K113" s="74">
        <f t="shared" si="83"/>
        <v>0</v>
      </c>
      <c r="L113" s="74" t="e">
        <f t="shared" si="83"/>
        <v>#DIV/0!</v>
      </c>
      <c r="M113" s="74" t="e">
        <f t="shared" si="83"/>
        <v>#DIV/0!</v>
      </c>
    </row>
    <row r="114" spans="2:13" x14ac:dyDescent="0.35">
      <c r="B114" t="s">
        <v>218</v>
      </c>
      <c r="C114" t="s">
        <v>219</v>
      </c>
      <c r="D114" s="74">
        <f t="shared" ref="D114:H114" si="84">(D18/D50-1)</f>
        <v>0</v>
      </c>
      <c r="E114" s="74">
        <f t="shared" si="84"/>
        <v>0</v>
      </c>
      <c r="F114" s="74">
        <f t="shared" si="84"/>
        <v>0</v>
      </c>
      <c r="G114" s="74">
        <f t="shared" si="84"/>
        <v>0</v>
      </c>
      <c r="H114" s="74">
        <f t="shared" si="84"/>
        <v>0</v>
      </c>
      <c r="I114" s="74">
        <f t="shared" ref="I114:M114" si="85">(I18/I50-1)</f>
        <v>0</v>
      </c>
      <c r="J114" s="74">
        <f t="shared" si="85"/>
        <v>0</v>
      </c>
      <c r="K114" s="74">
        <f t="shared" si="85"/>
        <v>0</v>
      </c>
      <c r="L114" s="74" t="e">
        <f t="shared" si="85"/>
        <v>#DIV/0!</v>
      </c>
      <c r="M114" s="74" t="e">
        <f t="shared" si="85"/>
        <v>#DIV/0!</v>
      </c>
    </row>
    <row r="115" spans="2:13" x14ac:dyDescent="0.35">
      <c r="B115" t="s">
        <v>220</v>
      </c>
      <c r="C115" t="s">
        <v>221</v>
      </c>
      <c r="D115" s="74">
        <f t="shared" ref="D115:H115" si="86">(D19/D51-1)</f>
        <v>-4.8840072693567826E-4</v>
      </c>
      <c r="E115" s="74">
        <f t="shared" si="86"/>
        <v>-4.8675246381923998E-4</v>
      </c>
      <c r="F115" s="74">
        <f t="shared" si="86"/>
        <v>-4.8511528845684992E-4</v>
      </c>
      <c r="G115" s="74">
        <f t="shared" si="86"/>
        <v>-4.831321651519449E-4</v>
      </c>
      <c r="H115" s="74">
        <f t="shared" si="86"/>
        <v>-4.7899642523296926E-4</v>
      </c>
      <c r="I115" s="74">
        <f t="shared" ref="I115:M115" si="87">(I19/I51-1)</f>
        <v>-4.7742882662560326E-4</v>
      </c>
      <c r="J115" s="74">
        <f t="shared" si="87"/>
        <v>-4.7587145502359096E-4</v>
      </c>
      <c r="K115" s="74">
        <f t="shared" si="87"/>
        <v>-4.7796404554389937E-4</v>
      </c>
      <c r="L115" s="74">
        <f t="shared" si="87"/>
        <v>-4.7365525620268745E-4</v>
      </c>
      <c r="M115" s="74" t="e">
        <f t="shared" si="87"/>
        <v>#DIV/0!</v>
      </c>
    </row>
    <row r="116" spans="2:13" x14ac:dyDescent="0.35">
      <c r="B116" t="s">
        <v>222</v>
      </c>
      <c r="C116" t="s">
        <v>223</v>
      </c>
      <c r="D116" s="74">
        <f t="shared" ref="D116:H116" si="88">(D20/D52-1)</f>
        <v>0</v>
      </c>
      <c r="E116" s="74">
        <f t="shared" si="88"/>
        <v>0</v>
      </c>
      <c r="F116" s="74">
        <f t="shared" si="88"/>
        <v>0</v>
      </c>
      <c r="G116" s="74">
        <f t="shared" si="88"/>
        <v>0</v>
      </c>
      <c r="H116" s="74">
        <f t="shared" si="88"/>
        <v>0</v>
      </c>
      <c r="I116" s="74">
        <f t="shared" ref="I116:M116" si="89">(I20/I52-1)</f>
        <v>0</v>
      </c>
      <c r="J116" s="74">
        <f t="shared" si="89"/>
        <v>0</v>
      </c>
      <c r="K116" s="74">
        <f t="shared" si="89"/>
        <v>0</v>
      </c>
      <c r="L116" s="74">
        <f t="shared" si="89"/>
        <v>0</v>
      </c>
      <c r="M116" s="74" t="e">
        <f t="shared" si="89"/>
        <v>#DIV/0!</v>
      </c>
    </row>
    <row r="117" spans="2:13" x14ac:dyDescent="0.35">
      <c r="B117" t="s">
        <v>224</v>
      </c>
      <c r="C117" t="s">
        <v>225</v>
      </c>
      <c r="D117" s="74">
        <f t="shared" ref="D117:H117" si="90">(D21/D53-1)</f>
        <v>-2.0536692223427355E-4</v>
      </c>
      <c r="E117" s="74">
        <f t="shared" si="90"/>
        <v>7.3334640976518983E-4</v>
      </c>
      <c r="F117" s="74">
        <f t="shared" si="90"/>
        <v>1.6764230220933651E-3</v>
      </c>
      <c r="G117" s="74">
        <f t="shared" si="90"/>
        <v>9.0569845474708366E-4</v>
      </c>
      <c r="H117" s="74">
        <f t="shared" si="90"/>
        <v>1.15065781035808E-2</v>
      </c>
      <c r="I117" s="74">
        <f t="shared" ref="I117:M117" si="91">(I21/I53-1)</f>
        <v>1.0705842304710167E-2</v>
      </c>
      <c r="J117" s="74">
        <f t="shared" si="91"/>
        <v>9.9022274878843852E-3</v>
      </c>
      <c r="K117" s="74">
        <f t="shared" si="91"/>
        <v>9.0957480182221051E-3</v>
      </c>
      <c r="L117" s="74">
        <f t="shared" si="91"/>
        <v>5.0586865476640597E-2</v>
      </c>
      <c r="M117" s="74" t="e">
        <f t="shared" si="91"/>
        <v>#DIV/0!</v>
      </c>
    </row>
    <row r="118" spans="2:13" x14ac:dyDescent="0.35">
      <c r="B118" t="s">
        <v>226</v>
      </c>
      <c r="C118" t="s">
        <v>227</v>
      </c>
      <c r="D118" s="74">
        <f t="shared" ref="D118:H118" si="92">(D22/D54-1)</f>
        <v>1.0471204188481797E-2</v>
      </c>
      <c r="E118" s="74">
        <f t="shared" si="92"/>
        <v>1.9804630202247431E-2</v>
      </c>
      <c r="F118" s="74">
        <f t="shared" si="92"/>
        <v>2.3860618509229159E-2</v>
      </c>
      <c r="G118" s="74">
        <f t="shared" si="92"/>
        <v>2.3981426988254784E-2</v>
      </c>
      <c r="H118" s="74">
        <f t="shared" si="92"/>
        <v>2.3540784007458848E-2</v>
      </c>
      <c r="I118" s="74">
        <f t="shared" ref="I118:M118" si="93">(I22/I54-1)</f>
        <v>2.3121230730697606E-2</v>
      </c>
      <c r="J118" s="74">
        <f t="shared" si="93"/>
        <v>2.23960616046468E-2</v>
      </c>
      <c r="K118" s="74">
        <f t="shared" si="93"/>
        <v>2.1337656128972426E-2</v>
      </c>
      <c r="L118" s="74">
        <f t="shared" si="93"/>
        <v>2.0095034293445835E-2</v>
      </c>
      <c r="M118" s="74" t="e">
        <f t="shared" si="93"/>
        <v>#DIV/0!</v>
      </c>
    </row>
    <row r="119" spans="2:13" x14ac:dyDescent="0.35">
      <c r="B119" t="s">
        <v>228</v>
      </c>
      <c r="C119" t="s">
        <v>229</v>
      </c>
      <c r="D119" s="74">
        <f t="shared" ref="D119:H119" si="94">(D23/D55-1)</f>
        <v>-7.0021881838073785E-3</v>
      </c>
      <c r="E119" s="74">
        <f t="shared" si="94"/>
        <v>-3.1267304672882079E-2</v>
      </c>
      <c r="F119" s="74">
        <f t="shared" si="94"/>
        <v>-5.4939473351576895E-2</v>
      </c>
      <c r="G119" s="74">
        <f t="shared" si="94"/>
        <v>-4.1228574553852204E-2</v>
      </c>
      <c r="H119" s="74">
        <f t="shared" si="94"/>
        <v>-2.7318758606865057E-2</v>
      </c>
      <c r="I119" s="74">
        <f t="shared" ref="I119:M119" si="95">(I23/I55-1)</f>
        <v>-1.3207139628890641E-2</v>
      </c>
      <c r="J119" s="74">
        <f t="shared" si="95"/>
        <v>1.109210130047833E-3</v>
      </c>
      <c r="K119" s="74">
        <f t="shared" si="95"/>
        <v>1.5633260895602019E-2</v>
      </c>
      <c r="L119" s="74">
        <f t="shared" si="95"/>
        <v>3.0368025985333835E-2</v>
      </c>
      <c r="M119" s="74" t="e">
        <f t="shared" si="95"/>
        <v>#DIV/0!</v>
      </c>
    </row>
    <row r="120" spans="2:13" x14ac:dyDescent="0.35">
      <c r="B120" t="s">
        <v>230</v>
      </c>
      <c r="C120" t="s">
        <v>231</v>
      </c>
      <c r="D120" s="74">
        <f t="shared" ref="D120:H120" si="96">(D24/D56-1)</f>
        <v>2.5469981807155762E-2</v>
      </c>
      <c r="E120" s="74">
        <f t="shared" si="96"/>
        <v>8.6007624346958078E-2</v>
      </c>
      <c r="F120" s="74">
        <f t="shared" si="96"/>
        <v>0.10057758804741268</v>
      </c>
      <c r="G120" s="74">
        <f t="shared" si="96"/>
        <v>9.9332558668958626E-2</v>
      </c>
      <c r="H120" s="74">
        <f t="shared" si="96"/>
        <v>0.10472759287776112</v>
      </c>
      <c r="I120" s="74">
        <f t="shared" ref="I120:M120" si="97">(I24/I56-1)</f>
        <v>0.10540383490870608</v>
      </c>
      <c r="J120" s="74">
        <f t="shared" si="97"/>
        <v>0.10087008804665243</v>
      </c>
      <c r="K120" s="74">
        <f t="shared" si="97"/>
        <v>8.8287193702048405E-2</v>
      </c>
      <c r="L120" s="74">
        <f t="shared" si="97"/>
        <v>8.4601770760887041E-2</v>
      </c>
      <c r="M120" s="74" t="e">
        <f t="shared" si="97"/>
        <v>#DIV/0!</v>
      </c>
    </row>
    <row r="121" spans="2:13" x14ac:dyDescent="0.35">
      <c r="B121" s="56" t="s">
        <v>1385</v>
      </c>
      <c r="C121" s="56" t="s">
        <v>1384</v>
      </c>
      <c r="D121" s="74">
        <f t="shared" ref="D121:H121" si="98">(D25/D57-1)</f>
        <v>0</v>
      </c>
      <c r="E121" s="74">
        <f t="shared" si="98"/>
        <v>0</v>
      </c>
      <c r="F121" s="74">
        <f t="shared" si="98"/>
        <v>0</v>
      </c>
      <c r="G121" s="74">
        <f t="shared" si="98"/>
        <v>0</v>
      </c>
      <c r="H121" s="74">
        <f t="shared" si="98"/>
        <v>0</v>
      </c>
      <c r="I121" s="74">
        <f t="shared" ref="I121:M121" si="99">(I25/I57-1)</f>
        <v>0</v>
      </c>
      <c r="J121" s="74">
        <f t="shared" si="99"/>
        <v>0</v>
      </c>
      <c r="K121" s="74">
        <f t="shared" si="99"/>
        <v>0</v>
      </c>
      <c r="L121" s="74">
        <f t="shared" si="99"/>
        <v>0</v>
      </c>
      <c r="M121" s="74" t="e">
        <f t="shared" si="99"/>
        <v>#DIV/0!</v>
      </c>
    </row>
    <row r="122" spans="2:13" x14ac:dyDescent="0.35">
      <c r="B122" s="56"/>
      <c r="D122" s="74"/>
      <c r="E122" s="74"/>
      <c r="F122" s="74"/>
      <c r="G122" s="74"/>
      <c r="H122" s="74"/>
    </row>
    <row r="123" spans="2:13" x14ac:dyDescent="0.35">
      <c r="B123" s="75" t="s">
        <v>1921</v>
      </c>
      <c r="D123" s="74"/>
      <c r="E123" s="74"/>
      <c r="F123" s="74"/>
      <c r="G123" s="74"/>
      <c r="H123" s="74"/>
    </row>
    <row r="124" spans="2:13" x14ac:dyDescent="0.35">
      <c r="B124" s="56" t="s">
        <v>1710</v>
      </c>
      <c r="D124" s="74">
        <f t="shared" ref="D124" si="100">(D28/D60-1)</f>
        <v>2.4399813235264523E-2</v>
      </c>
      <c r="E124" s="74">
        <f>(E28/E60-1)</f>
        <v>0.30569024479326012</v>
      </c>
      <c r="F124" s="74">
        <f t="shared" ref="F124:I124" si="101">(F28/F60-1)</f>
        <v>1.1579860412227028E-2</v>
      </c>
      <c r="G124" s="74">
        <f t="shared" si="101"/>
        <v>-6.1480493597530161E-2</v>
      </c>
      <c r="H124" s="74">
        <f t="shared" si="101"/>
        <v>-2.7862473799524889E-2</v>
      </c>
      <c r="I124" s="74">
        <f t="shared" si="101"/>
        <v>-2.781974457225922E-2</v>
      </c>
      <c r="J124" s="74">
        <f t="shared" ref="J124:M124" si="102">(J28/J60-1)</f>
        <v>-5.6031759192639141E-2</v>
      </c>
      <c r="K124" s="74">
        <f t="shared" si="102"/>
        <v>-6.625577272211014E-2</v>
      </c>
      <c r="L124" s="74">
        <f t="shared" si="102"/>
        <v>-6.8086378140201576E-2</v>
      </c>
      <c r="M124" s="74" t="e">
        <f t="shared" si="102"/>
        <v>#DIV/0!</v>
      </c>
    </row>
    <row r="125" spans="2:13" x14ac:dyDescent="0.35">
      <c r="B125" s="56" t="s">
        <v>1711</v>
      </c>
      <c r="D125" s="74">
        <f t="shared" ref="D125" si="103">(D29/D61-1)</f>
        <v>-9.4125607791576638E-2</v>
      </c>
      <c r="E125" s="74">
        <f t="shared" ref="E125:I125" si="104">(E29/E61-1)</f>
        <v>0.19276333099638077</v>
      </c>
      <c r="F125" s="74">
        <f t="shared" si="104"/>
        <v>2.0466171629312635E-2</v>
      </c>
      <c r="G125" s="74">
        <f t="shared" si="104"/>
        <v>-9.0634975163876086E-2</v>
      </c>
      <c r="H125" s="74">
        <f t="shared" si="104"/>
        <v>-6.4060779305606497E-2</v>
      </c>
      <c r="I125" s="74">
        <f t="shared" si="104"/>
        <v>-2.781974457225922E-2</v>
      </c>
      <c r="J125" s="74">
        <f t="shared" ref="J125:M125" si="105">(J29/J61-1)</f>
        <v>-5.6031759192639141E-2</v>
      </c>
      <c r="K125" s="74">
        <f t="shared" si="105"/>
        <v>-6.625577272211014E-2</v>
      </c>
      <c r="L125" s="74">
        <f t="shared" si="105"/>
        <v>-6.8086378140201576E-2</v>
      </c>
      <c r="M125" s="74" t="e">
        <f t="shared" si="105"/>
        <v>#DIV/0!</v>
      </c>
    </row>
    <row r="126" spans="2:13" x14ac:dyDescent="0.35">
      <c r="B126" s="56" t="s">
        <v>1712</v>
      </c>
      <c r="D126" s="74">
        <f t="shared" ref="D126" si="106">(D30/D62-1)</f>
        <v>8.4021718903271037E-4</v>
      </c>
      <c r="E126" s="74">
        <f t="shared" ref="E126:I126" si="107">(E30/E62-1)</f>
        <v>0.49932283959458967</v>
      </c>
      <c r="F126" s="74">
        <f t="shared" si="107"/>
        <v>-3.3507342821091468E-2</v>
      </c>
      <c r="G126" s="74">
        <f t="shared" si="107"/>
        <v>-6.0871740855550027E-2</v>
      </c>
      <c r="H126" s="74">
        <f t="shared" si="107"/>
        <v>-3.342942423239692E-2</v>
      </c>
      <c r="I126" s="74" t="e">
        <f t="shared" si="107"/>
        <v>#DIV/0!</v>
      </c>
      <c r="J126" s="74" t="e">
        <f t="shared" ref="J126:M126" si="108">(J30/J62-1)</f>
        <v>#DIV/0!</v>
      </c>
      <c r="K126" s="74" t="e">
        <f t="shared" si="108"/>
        <v>#DIV/0!</v>
      </c>
      <c r="L126" s="74" t="e">
        <f t="shared" si="108"/>
        <v>#DIV/0!</v>
      </c>
      <c r="M126" s="74" t="e">
        <f t="shared" si="108"/>
        <v>#DIV/0!</v>
      </c>
    </row>
    <row r="127" spans="2:13" x14ac:dyDescent="0.35">
      <c r="B127" s="56" t="s">
        <v>1713</v>
      </c>
      <c r="D127" s="74">
        <f t="shared" ref="D127" si="109">(D31/D63-1)</f>
        <v>-9.2375974294863772E-3</v>
      </c>
      <c r="E127" s="74">
        <f t="shared" ref="E127:I127" si="110">(E31/E63-1)</f>
        <v>0.49932283959458967</v>
      </c>
      <c r="F127" s="74">
        <f t="shared" si="110"/>
        <v>-3.3507342821091468E-2</v>
      </c>
      <c r="G127" s="74">
        <f t="shared" si="110"/>
        <v>-6.0871740855550027E-2</v>
      </c>
      <c r="H127" s="74">
        <f t="shared" si="110"/>
        <v>-3.342942423239692E-2</v>
      </c>
      <c r="I127" s="74">
        <f t="shared" si="110"/>
        <v>-7.4292529802108209E-2</v>
      </c>
      <c r="J127" s="74">
        <f t="shared" ref="J127:M127" si="111">(J31/J63-1)</f>
        <v>-7.0892895038976556E-2</v>
      </c>
      <c r="K127" s="74">
        <f t="shared" si="111"/>
        <v>-4.5448948174446557E-2</v>
      </c>
      <c r="L127" s="74">
        <f t="shared" si="111"/>
        <v>-0.1814406819912997</v>
      </c>
      <c r="M127" s="74" t="e">
        <f t="shared" si="111"/>
        <v>#DIV/0!</v>
      </c>
    </row>
    <row r="128" spans="2:13" x14ac:dyDescent="0.35">
      <c r="B128" s="56" t="s">
        <v>1714</v>
      </c>
      <c r="D128" s="74">
        <f t="shared" ref="D128" si="112">(D32/D64-1)</f>
        <v>7.5506931699615754E-2</v>
      </c>
      <c r="E128" s="74">
        <f t="shared" ref="E128:I128" si="113">(E32/E64-1)</f>
        <v>0.49932283959458967</v>
      </c>
      <c r="F128" s="74">
        <f t="shared" si="113"/>
        <v>-3.3507342821091468E-2</v>
      </c>
      <c r="G128" s="74">
        <f t="shared" si="113"/>
        <v>-6.0871740855550027E-2</v>
      </c>
      <c r="H128" s="74">
        <f t="shared" si="113"/>
        <v>-3.342942423239692E-2</v>
      </c>
      <c r="I128" s="74">
        <f t="shared" si="113"/>
        <v>-3.8963328541009368E-2</v>
      </c>
      <c r="J128" s="74">
        <f t="shared" ref="J128:M128" si="114">(J32/J64-1)</f>
        <v>-5.6153042250507657E-2</v>
      </c>
      <c r="K128" s="74">
        <f t="shared" si="114"/>
        <v>-6.4781169300129116E-2</v>
      </c>
      <c r="L128" s="74">
        <f t="shared" si="114"/>
        <v>-9.6952948502739167E-2</v>
      </c>
      <c r="M128" s="74" t="e">
        <f t="shared" si="114"/>
        <v>#DIV/0!</v>
      </c>
    </row>
  </sheetData>
  <mergeCells count="4">
    <mergeCell ref="B2:M2"/>
    <mergeCell ref="B34:M34"/>
    <mergeCell ref="B66:M66"/>
    <mergeCell ref="B98:M98"/>
  </mergeCells>
  <conditionalFormatting sqref="I100:M121 D100:H123 D124:M128 D68:M9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B29" sqref="B29"/>
    </sheetView>
  </sheetViews>
  <sheetFormatPr defaultColWidth="10.90625" defaultRowHeight="14.5" x14ac:dyDescent="0.35"/>
  <cols>
    <col min="1" max="1" width="41.1796875" customWidth="1"/>
    <col min="2" max="2" width="23.453125" customWidth="1"/>
    <col min="3" max="3" width="10.453125" customWidth="1"/>
  </cols>
  <sheetData>
    <row r="1" spans="1:12" x14ac:dyDescent="0.35">
      <c r="A1" s="75" t="s">
        <v>178</v>
      </c>
      <c r="B1" s="75" t="s">
        <v>179</v>
      </c>
      <c r="C1" s="78" t="s">
        <v>190</v>
      </c>
      <c r="D1" s="78" t="s">
        <v>191</v>
      </c>
      <c r="E1" s="78" t="s">
        <v>175</v>
      </c>
      <c r="F1" s="78" t="s">
        <v>176</v>
      </c>
      <c r="G1" s="78" t="s">
        <v>177</v>
      </c>
      <c r="H1" s="78" t="s">
        <v>765</v>
      </c>
      <c r="I1" s="78" t="s">
        <v>766</v>
      </c>
      <c r="J1" s="78" t="s">
        <v>767</v>
      </c>
      <c r="K1" s="78" t="s">
        <v>1157</v>
      </c>
    </row>
    <row r="2" spans="1:12" x14ac:dyDescent="0.35">
      <c r="A2" t="s">
        <v>192</v>
      </c>
      <c r="B2" t="s">
        <v>193</v>
      </c>
      <c r="C2" s="70">
        <f>Grants!Y75</f>
        <v>427.26494400000001</v>
      </c>
      <c r="D2" s="70">
        <f>Grants!Z75</f>
        <v>418.03001728324807</v>
      </c>
      <c r="E2" s="70">
        <f>Grants!AA75</f>
        <v>422.5102225824408</v>
      </c>
      <c r="F2" s="70">
        <f>Grants!AB75</f>
        <v>427.2815256817579</v>
      </c>
      <c r="G2" s="70">
        <f>Grants!AC75</f>
        <v>410.47107700000004</v>
      </c>
      <c r="H2" s="70">
        <f>Grants!AD75</f>
        <v>405.8184041145779</v>
      </c>
      <c r="I2" s="70">
        <f>Grants!AE75</f>
        <v>408.36749628573835</v>
      </c>
      <c r="J2" s="70">
        <f>Grants!AF75</f>
        <v>407.0560067810282</v>
      </c>
      <c r="K2" s="70">
        <f>Grants!AG75</f>
        <v>409.781722</v>
      </c>
      <c r="L2" s="70"/>
    </row>
    <row r="3" spans="1:12" x14ac:dyDescent="0.35">
      <c r="A3" t="s">
        <v>134</v>
      </c>
      <c r="B3" t="s">
        <v>194</v>
      </c>
      <c r="C3" s="70">
        <f>Grants!Y96</f>
        <v>77.707285714285717</v>
      </c>
      <c r="D3" s="70">
        <f>Grants!Z96</f>
        <v>77.707285714285717</v>
      </c>
      <c r="E3" s="70">
        <f>Grants!AA96</f>
        <v>77.707285714285717</v>
      </c>
      <c r="F3" s="70">
        <f>Grants!AB96</f>
        <v>79.301285714285726</v>
      </c>
      <c r="G3" s="70">
        <f>Grants!AC96</f>
        <v>79.301285714285726</v>
      </c>
      <c r="H3" s="70">
        <f>Grants!AD96</f>
        <v>75.229285714285723</v>
      </c>
      <c r="I3" s="70">
        <f>Grants!AE96</f>
        <v>75.229285714285723</v>
      </c>
      <c r="J3" s="70">
        <f>Grants!AF96</f>
        <v>75.229285714285723</v>
      </c>
      <c r="K3" s="70">
        <f>Grants!AG96</f>
        <v>75.229285714285723</v>
      </c>
      <c r="L3" s="70"/>
    </row>
    <row r="4" spans="1:12" x14ac:dyDescent="0.35">
      <c r="A4" t="s">
        <v>195</v>
      </c>
      <c r="B4" t="s">
        <v>196</v>
      </c>
      <c r="C4" s="70">
        <f>'Federal and State Purchases'!Y11</f>
        <v>1837.4</v>
      </c>
      <c r="D4" s="70">
        <f>'Federal and State Purchases'!Z11</f>
        <v>1848.840759157905</v>
      </c>
      <c r="E4" s="70">
        <f>'Federal and State Purchases'!AA11</f>
        <v>1864.6793808570437</v>
      </c>
      <c r="F4" s="70">
        <f>'Federal and State Purchases'!AB11</f>
        <v>1878.7332168270141</v>
      </c>
      <c r="G4" s="70">
        <f>'Federal and State Purchases'!AC11</f>
        <v>1890.2561303510229</v>
      </c>
      <c r="H4" s="70">
        <f>'Federal and State Purchases'!AD11</f>
        <v>1902.4108784838113</v>
      </c>
      <c r="I4" s="70">
        <f>'Federal and State Purchases'!AE11</f>
        <v>1915.3804996580586</v>
      </c>
      <c r="J4" s="70">
        <f>'Federal and State Purchases'!AF11</f>
        <v>1929.5261263966356</v>
      </c>
      <c r="K4" s="70">
        <f>'Federal and State Purchases'!AG11</f>
        <v>1943.7809410714542</v>
      </c>
      <c r="L4" s="70"/>
    </row>
    <row r="5" spans="1:12" x14ac:dyDescent="0.35">
      <c r="A5" t="s">
        <v>197</v>
      </c>
      <c r="B5" t="s">
        <v>198</v>
      </c>
      <c r="C5" s="70">
        <f>'Federal and State Purchases'!Y27</f>
        <v>3103.6</v>
      </c>
      <c r="D5" s="70">
        <f>'Federal and State Purchases'!Z27</f>
        <v>3134.4898845593634</v>
      </c>
      <c r="E5" s="70">
        <f>'Federal and State Purchases'!AA27</f>
        <v>3163.760929193335</v>
      </c>
      <c r="F5" s="70">
        <f>'Federal and State Purchases'!AB27</f>
        <v>3193.5898798949074</v>
      </c>
      <c r="G5" s="70">
        <f>'Federal and State Purchases'!AC27</f>
        <v>3223.1953968528278</v>
      </c>
      <c r="H5" s="70">
        <f>'Federal and State Purchases'!AD27</f>
        <v>3253.2791339983396</v>
      </c>
      <c r="I5" s="70">
        <f>'Federal and State Purchases'!AE27</f>
        <v>3284.1971936083419</v>
      </c>
      <c r="J5" s="70">
        <f>'Federal and State Purchases'!AF27</f>
        <v>3315.0019930100752</v>
      </c>
      <c r="K5" s="70">
        <f>'Federal and State Purchases'!AG27</f>
        <v>3347.4004637052426</v>
      </c>
      <c r="L5" s="70"/>
    </row>
    <row r="6" spans="1:12" x14ac:dyDescent="0.35">
      <c r="A6" t="s">
        <v>199</v>
      </c>
      <c r="B6" t="s">
        <v>200</v>
      </c>
      <c r="C6" s="70">
        <f>Subsidies!Y46</f>
        <v>95.135000000000005</v>
      </c>
      <c r="D6" s="70">
        <f>Subsidies!Z46</f>
        <v>95.135000000000005</v>
      </c>
      <c r="E6" s="70">
        <f>Subsidies!AA46</f>
        <v>95.135000000000005</v>
      </c>
      <c r="F6" s="70">
        <f>Subsidies!AB46</f>
        <v>102.23399999999999</v>
      </c>
      <c r="G6" s="70">
        <f>Subsidies!AC46</f>
        <v>102.23399999999999</v>
      </c>
      <c r="H6" s="70">
        <f>Subsidies!AD46</f>
        <v>95.212000000000003</v>
      </c>
      <c r="I6" s="70">
        <f>Subsidies!AE46</f>
        <v>96.212000000000003</v>
      </c>
      <c r="J6" s="70">
        <f>Subsidies!AF46</f>
        <v>101.551</v>
      </c>
      <c r="K6" s="70">
        <f>Subsidies!AG46</f>
        <v>100.401</v>
      </c>
      <c r="L6" s="70"/>
    </row>
    <row r="7" spans="1:12" x14ac:dyDescent="0.35">
      <c r="A7" t="s">
        <v>201</v>
      </c>
      <c r="B7" t="s">
        <v>202</v>
      </c>
      <c r="C7" s="70">
        <f>Subsidies!Y45</f>
        <v>1.365</v>
      </c>
      <c r="D7" s="70">
        <f>Subsidies!Z45</f>
        <v>1.365</v>
      </c>
      <c r="E7" s="70">
        <f>Subsidies!AA45</f>
        <v>1.365</v>
      </c>
      <c r="F7" s="70">
        <f>Subsidies!AB45</f>
        <v>-0.90100000000000025</v>
      </c>
      <c r="G7" s="70">
        <f>Subsidies!AC45</f>
        <v>-0.90100000000000025</v>
      </c>
      <c r="H7" s="70">
        <f>Subsidies!AD45</f>
        <v>-0.90100000000000025</v>
      </c>
      <c r="I7" s="70">
        <f>Subsidies!AE45</f>
        <v>-0.90100000000000025</v>
      </c>
      <c r="J7" s="70">
        <f>Subsidies!AF45</f>
        <v>-2.1500000000000004</v>
      </c>
      <c r="K7" s="70">
        <f>Subsidies!AG45</f>
        <v>0</v>
      </c>
      <c r="L7" s="70"/>
    </row>
    <row r="8" spans="1:12" x14ac:dyDescent="0.35">
      <c r="A8" t="s">
        <v>203</v>
      </c>
      <c r="B8" t="s">
        <v>204</v>
      </c>
      <c r="C8" s="70">
        <f>'Unemployment Insurance'!Y19</f>
        <v>-0.55714285714286049</v>
      </c>
      <c r="D8" s="70">
        <f>'Unemployment Insurance'!Z19</f>
        <v>0</v>
      </c>
      <c r="E8" s="70">
        <f>'Unemployment Insurance'!AA19</f>
        <v>0</v>
      </c>
      <c r="F8" s="70">
        <f>'Unemployment Insurance'!AB19</f>
        <v>0</v>
      </c>
      <c r="G8" s="70">
        <f>'Unemployment Insurance'!AC19</f>
        <v>0</v>
      </c>
      <c r="H8" s="70">
        <f>'Unemployment Insurance'!AD19</f>
        <v>0</v>
      </c>
      <c r="I8" s="70">
        <f>'Unemployment Insurance'!AE19</f>
        <v>0</v>
      </c>
      <c r="J8" s="70">
        <f>'Unemployment Insurance'!AF19</f>
        <v>0</v>
      </c>
      <c r="K8" s="70">
        <f>'Unemployment Insurance'!AG19</f>
        <v>0</v>
      </c>
      <c r="L8" s="70"/>
    </row>
    <row r="9" spans="1:12" x14ac:dyDescent="0.35">
      <c r="A9" t="s">
        <v>205</v>
      </c>
      <c r="B9" t="s">
        <v>206</v>
      </c>
      <c r="C9" s="70">
        <f>'Unemployment Insurance'!Y20</f>
        <v>23.25714285714286</v>
      </c>
      <c r="D9" s="70">
        <f>'Unemployment Insurance'!Z20</f>
        <v>22.5</v>
      </c>
      <c r="E9" s="70">
        <f>'Unemployment Insurance'!AA20</f>
        <v>22.5</v>
      </c>
      <c r="F9" s="70">
        <f>'Unemployment Insurance'!AB20</f>
        <v>22.5</v>
      </c>
      <c r="G9" s="70">
        <f>'Unemployment Insurance'!AC20</f>
        <v>22.5</v>
      </c>
      <c r="H9" s="70">
        <f>'Unemployment Insurance'!AD20</f>
        <v>22.5</v>
      </c>
      <c r="I9" s="70">
        <f>'Unemployment Insurance'!AE20</f>
        <v>22.5</v>
      </c>
      <c r="J9" s="70">
        <f>'Unemployment Insurance'!AF20</f>
        <v>22.5</v>
      </c>
      <c r="K9" s="70">
        <f>'Unemployment Insurance'!AG20</f>
        <v>22.5</v>
      </c>
      <c r="L9" s="70"/>
    </row>
    <row r="10" spans="1:12" x14ac:dyDescent="0.35">
      <c r="A10" s="56" t="s">
        <v>207</v>
      </c>
      <c r="B10" s="56" t="s">
        <v>208</v>
      </c>
      <c r="C10" s="70">
        <f>Medicaid!Y29</f>
        <v>613.56899999999996</v>
      </c>
      <c r="D10" s="70">
        <f>Medicaid!Z29</f>
        <v>651.82462020360026</v>
      </c>
      <c r="E10" s="70">
        <f>Medicaid!AA29</f>
        <v>665.66146299879847</v>
      </c>
      <c r="F10" s="70">
        <f>Medicaid!AB29</f>
        <v>670.38604487784482</v>
      </c>
      <c r="G10" s="70">
        <f>Medicaid!AC29</f>
        <v>675.14415982913965</v>
      </c>
      <c r="H10" s="70">
        <f>Medicaid!AD29</f>
        <v>679.93604585616424</v>
      </c>
      <c r="I10" s="70">
        <f>Medicaid!AE29</f>
        <v>684.76194265164725</v>
      </c>
      <c r="J10" s="70">
        <f>Medicaid!AF29</f>
        <v>688.7138591869724</v>
      </c>
      <c r="K10" s="70">
        <f>Medicaid!AG29</f>
        <v>692.68858312926568</v>
      </c>
      <c r="L10" s="70"/>
    </row>
    <row r="11" spans="1:12" x14ac:dyDescent="0.35">
      <c r="A11" s="56" t="s">
        <v>209</v>
      </c>
      <c r="B11" s="56" t="s">
        <v>210</v>
      </c>
      <c r="C11" s="70">
        <f>Medicaid!Y27</f>
        <v>916.9</v>
      </c>
      <c r="D11" s="70">
        <f>Medicaid!Z27</f>
        <v>974.06810687091604</v>
      </c>
      <c r="E11" s="70">
        <f>Medicaid!AA27</f>
        <v>994.74548978777989</v>
      </c>
      <c r="F11" s="70">
        <f>Medicaid!AB27</f>
        <v>1001.8057700902358</v>
      </c>
      <c r="G11" s="70">
        <f>Medicaid!AC27</f>
        <v>1008.9161612586981</v>
      </c>
      <c r="H11" s="70">
        <f>Medicaid!AD27</f>
        <v>1016.0770189587756</v>
      </c>
      <c r="I11" s="70">
        <f>Medicaid!AE27</f>
        <v>1023.2887013804402</v>
      </c>
      <c r="J11" s="70">
        <f>Medicaid!AF27</f>
        <v>1029.1943326480559</v>
      </c>
      <c r="K11" s="70">
        <f>Medicaid!AG27</f>
        <v>1035.1340466536342</v>
      </c>
      <c r="L11" s="70"/>
    </row>
    <row r="12" spans="1:12" x14ac:dyDescent="0.35">
      <c r="A12" t="s">
        <v>55</v>
      </c>
      <c r="B12" t="s">
        <v>211</v>
      </c>
      <c r="C12" s="70">
        <f>Medicare!Y10</f>
        <v>965.3</v>
      </c>
      <c r="D12" s="70">
        <f>Medicare!Z10</f>
        <v>980.56003292022876</v>
      </c>
      <c r="E12" s="70">
        <f>Medicare!AA10</f>
        <v>996.18777418821298</v>
      </c>
      <c r="F12" s="70">
        <f>Medicare!AB10</f>
        <v>1008.812306797969</v>
      </c>
      <c r="G12" s="70">
        <f>Medicare!AC10</f>
        <v>1021.5968281445319</v>
      </c>
      <c r="H12" s="70">
        <f>Medicare!AD10</f>
        <v>1034.5433657402616</v>
      </c>
      <c r="I12" s="70">
        <f>Medicare!AE10</f>
        <v>1047.6539727918666</v>
      </c>
      <c r="J12" s="70">
        <f>Medicare!AF10</f>
        <v>1064.1436593437684</v>
      </c>
      <c r="K12" s="70">
        <f>Medicare!AG10</f>
        <v>1080.8928874710773</v>
      </c>
      <c r="L12" s="70"/>
    </row>
    <row r="13" spans="1:12" x14ac:dyDescent="0.35">
      <c r="A13" t="s">
        <v>212</v>
      </c>
      <c r="B13" t="s">
        <v>213</v>
      </c>
      <c r="C13" s="70">
        <f>'Rebate Checks (expired)'!Y11</f>
        <v>0</v>
      </c>
      <c r="D13" s="70">
        <f>'Rebate Checks (expired)'!Z11</f>
        <v>0</v>
      </c>
      <c r="E13" s="70">
        <f>'Rebate Checks (expired)'!AA11</f>
        <v>0</v>
      </c>
      <c r="F13" s="70">
        <f>'Rebate Checks (expired)'!AB11</f>
        <v>0</v>
      </c>
      <c r="G13" s="70">
        <f>'Rebate Checks (expired)'!AC11</f>
        <v>0</v>
      </c>
      <c r="H13" s="70">
        <f>'Rebate Checks (expired)'!AD11</f>
        <v>0</v>
      </c>
      <c r="I13" s="70">
        <f>'Rebate Checks (expired)'!AE11</f>
        <v>0</v>
      </c>
      <c r="J13" s="70">
        <f>'Rebate Checks (expired)'!AF11</f>
        <v>0</v>
      </c>
      <c r="K13" s="70">
        <f>'Rebate Checks (expired)'!AG11</f>
        <v>0</v>
      </c>
      <c r="L13" s="70"/>
    </row>
    <row r="14" spans="1:12" x14ac:dyDescent="0.35">
      <c r="A14" t="s">
        <v>214</v>
      </c>
      <c r="B14" t="s">
        <v>215</v>
      </c>
      <c r="C14" s="70">
        <f>'Rebate Checks (expired)'!Y10</f>
        <v>0</v>
      </c>
      <c r="D14" s="70">
        <f>'Rebate Checks (expired)'!Z10</f>
        <v>0</v>
      </c>
      <c r="E14" s="70">
        <f>'Rebate Checks (expired)'!AA10</f>
        <v>0</v>
      </c>
      <c r="F14" s="70">
        <f>'Rebate Checks (expired)'!AB10</f>
        <v>0</v>
      </c>
      <c r="G14" s="70">
        <f>'Rebate Checks (expired)'!AC10</f>
        <v>0</v>
      </c>
      <c r="H14" s="70">
        <f>'Rebate Checks (expired)'!AD10</f>
        <v>0</v>
      </c>
      <c r="I14" s="70">
        <f>'Rebate Checks (expired)'!AE10</f>
        <v>0</v>
      </c>
      <c r="J14" s="70">
        <f>'Rebate Checks (expired)'!AF10</f>
        <v>0</v>
      </c>
      <c r="K14" s="70">
        <f>'Rebate Checks (expired)'!AG10</f>
        <v>0</v>
      </c>
      <c r="L14" s="70"/>
    </row>
    <row r="15" spans="1:12" x14ac:dyDescent="0.35">
      <c r="A15" t="s">
        <v>216</v>
      </c>
      <c r="B15" t="s">
        <v>217</v>
      </c>
      <c r="C15" s="70">
        <f>'Social Benefits'!Y24</f>
        <v>4.2219999999999995</v>
      </c>
      <c r="D15" s="70">
        <f>'Social Benefits'!Z24</f>
        <v>4.2219999999999995</v>
      </c>
      <c r="E15" s="70">
        <f>'Social Benefits'!AA24</f>
        <v>4.2219999999999995</v>
      </c>
      <c r="F15" s="70">
        <f>'Social Benefits'!AB24</f>
        <v>2.3719999999999999</v>
      </c>
      <c r="G15" s="70">
        <f>'Social Benefits'!AC24</f>
        <v>2.3719999999999999</v>
      </c>
      <c r="H15" s="70">
        <f>'Social Benefits'!AD24</f>
        <v>2.3719999999999999</v>
      </c>
      <c r="I15" s="70">
        <f>'Social Benefits'!AE24</f>
        <v>2.3719999999999999</v>
      </c>
      <c r="J15" s="70">
        <f>'Social Benefits'!AF24</f>
        <v>0.49</v>
      </c>
      <c r="K15" s="70">
        <f>'Social Benefits'!AG24</f>
        <v>0</v>
      </c>
      <c r="L15" s="70"/>
    </row>
    <row r="16" spans="1:12" x14ac:dyDescent="0.35">
      <c r="A16" t="s">
        <v>797</v>
      </c>
      <c r="B16" t="s">
        <v>219</v>
      </c>
      <c r="C16" s="70">
        <f>'Social Benefits'!Y30</f>
        <v>1.4790000000000001</v>
      </c>
      <c r="D16" s="70">
        <f>'Social Benefits'!Z30</f>
        <v>1.4790000000000001</v>
      </c>
      <c r="E16" s="70">
        <f>'Social Benefits'!AA30</f>
        <v>1.4790000000000001</v>
      </c>
      <c r="F16" s="70">
        <f>'Social Benefits'!AB30</f>
        <v>1.63</v>
      </c>
      <c r="G16" s="70">
        <f>'Social Benefits'!AC30</f>
        <v>1.63</v>
      </c>
      <c r="H16" s="70">
        <f>'Social Benefits'!AD30</f>
        <v>1.63</v>
      </c>
      <c r="I16" s="70">
        <f>'Social Benefits'!AE30</f>
        <v>1.63</v>
      </c>
      <c r="J16" s="70">
        <f>'Social Benefits'!AF30</f>
        <v>1.671</v>
      </c>
      <c r="K16" s="70">
        <f>'Social Benefits'!AG30</f>
        <v>0</v>
      </c>
      <c r="L16" s="70"/>
    </row>
    <row r="17" spans="1:12" x14ac:dyDescent="0.35">
      <c r="A17" t="s">
        <v>220</v>
      </c>
      <c r="B17" t="s">
        <v>221</v>
      </c>
      <c r="C17" s="70">
        <f>'Social Benefits'!Y33</f>
        <v>2046.499</v>
      </c>
      <c r="D17" s="70">
        <f>'Social Benefits'!Z33</f>
        <v>2053.4323333333332</v>
      </c>
      <c r="E17" s="70">
        <f>'Social Benefits'!AA33</f>
        <v>2060.3656666666666</v>
      </c>
      <c r="F17" s="70">
        <f>'Social Benefits'!AB33</f>
        <v>2068.8270000000002</v>
      </c>
      <c r="G17" s="70">
        <f>'Social Benefits'!AC33</f>
        <v>2110.6089412743336</v>
      </c>
      <c r="H17" s="70">
        <f>'Social Benefits'!AD33</f>
        <v>2117.542274607667</v>
      </c>
      <c r="I17" s="70">
        <f>'Social Benefits'!AE33</f>
        <v>2124.4756079410004</v>
      </c>
      <c r="J17" s="70">
        <f>'Social Benefits'!AF33</f>
        <v>2115.1699412743337</v>
      </c>
      <c r="K17" s="70">
        <f>'Social Benefits'!AG33</f>
        <v>2159.15720553131</v>
      </c>
      <c r="L17" s="70"/>
    </row>
    <row r="18" spans="1:12" x14ac:dyDescent="0.35">
      <c r="A18" t="s">
        <v>222</v>
      </c>
      <c r="B18" t="s">
        <v>223</v>
      </c>
      <c r="C18" s="70">
        <f>'Social Benefits'!Y38</f>
        <v>196.29831211574134</v>
      </c>
      <c r="D18" s="70">
        <f>'Social Benefits'!Z38</f>
        <v>199.52477289205825</v>
      </c>
      <c r="E18" s="70">
        <f>'Social Benefits'!AA38</f>
        <v>202.80426544959073</v>
      </c>
      <c r="F18" s="70">
        <f>'Social Benefits'!AB38</f>
        <v>206.137661446175</v>
      </c>
      <c r="G18" s="70">
        <f>'Social Benefits'!AC38</f>
        <v>209.52584686666717</v>
      </c>
      <c r="H18" s="70">
        <f>'Social Benefits'!AD38</f>
        <v>212.9697222584295</v>
      </c>
      <c r="I18" s="70">
        <f>'Social Benefits'!AE38</f>
        <v>216.47020297068735</v>
      </c>
      <c r="J18" s="70">
        <f>'Social Benefits'!AF38</f>
        <v>220.02821939782032</v>
      </c>
      <c r="K18" s="70">
        <f>'Social Benefits'!AG38</f>
        <v>223.64471722665206</v>
      </c>
      <c r="L18" s="70"/>
    </row>
    <row r="19" spans="1:12" x14ac:dyDescent="0.35">
      <c r="A19" t="s">
        <v>224</v>
      </c>
      <c r="B19" t="s">
        <v>225</v>
      </c>
      <c r="C19" s="70">
        <f>Taxes!Y9</f>
        <v>4381.5</v>
      </c>
      <c r="D19" s="70">
        <f>Taxes!Z9</f>
        <v>4465.5725827905289</v>
      </c>
      <c r="E19" s="70">
        <f>Taxes!AA9</f>
        <v>4498.1927562766296</v>
      </c>
      <c r="F19" s="70">
        <f>Taxes!AB9</f>
        <v>4529.3262381783798</v>
      </c>
      <c r="G19" s="70">
        <f>Taxes!AC9</f>
        <v>4651.7948053444998</v>
      </c>
      <c r="H19" s="70">
        <f>Taxes!AD9</f>
        <v>4683.8700092139306</v>
      </c>
      <c r="I19" s="70">
        <f>Taxes!AE9</f>
        <v>4716.195578128466</v>
      </c>
      <c r="J19" s="70">
        <f>Taxes!AF9</f>
        <v>4748.7737537948406</v>
      </c>
      <c r="K19" s="70">
        <f>Taxes!AG9</f>
        <v>5012.5791407329698</v>
      </c>
      <c r="L19" s="70"/>
    </row>
    <row r="20" spans="1:12" x14ac:dyDescent="0.35">
      <c r="A20" t="s">
        <v>226</v>
      </c>
      <c r="B20" t="s">
        <v>227</v>
      </c>
      <c r="C20" s="70">
        <f>Taxes!Y19</f>
        <v>2296.6999999999998</v>
      </c>
      <c r="D20" s="70">
        <f>Taxes!Z19</f>
        <v>2339.2235824181621</v>
      </c>
      <c r="E20" s="70">
        <f>Taxes!AA19</f>
        <v>2371.0677549482875</v>
      </c>
      <c r="F20" s="70">
        <f>Taxes!AB19</f>
        <v>2394.910285239449</v>
      </c>
      <c r="G20" s="70">
        <f>Taxes!AC19</f>
        <v>2419.4883941419525</v>
      </c>
      <c r="H20" s="70">
        <f>Taxes!AD19</f>
        <v>2444.0058245704026</v>
      </c>
      <c r="I20" s="70">
        <f>Taxes!AE19</f>
        <v>2467.5642635095865</v>
      </c>
      <c r="J20" s="70">
        <f>Taxes!AF19</f>
        <v>2490.8106652938673</v>
      </c>
      <c r="K20" s="70">
        <f>Taxes!AG19</f>
        <v>2511.6029479748304</v>
      </c>
      <c r="L20" s="70"/>
    </row>
    <row r="21" spans="1:12" x14ac:dyDescent="0.35">
      <c r="A21" t="s">
        <v>228</v>
      </c>
      <c r="B21" t="s">
        <v>229</v>
      </c>
      <c r="C21" s="70">
        <f>Taxes!Y16</f>
        <v>453.8</v>
      </c>
      <c r="D21" s="70">
        <f>Taxes!Z16</f>
        <v>452.91219475403256</v>
      </c>
      <c r="E21" s="70">
        <f>Taxes!AA16</f>
        <v>452.02612639249605</v>
      </c>
      <c r="F21" s="70">
        <f>Taxes!AB16</f>
        <v>467.36315364789112</v>
      </c>
      <c r="G21" s="70">
        <f>Taxes!AC16</f>
        <v>483.2205588002675</v>
      </c>
      <c r="H21" s="70">
        <f>Taxes!AD16</f>
        <v>499.61599801930896</v>
      </c>
      <c r="I21" s="70">
        <f>Taxes!AE16</f>
        <v>516.56772653997427</v>
      </c>
      <c r="J21" s="70">
        <f>Taxes!AF16</f>
        <v>534.09461898849133</v>
      </c>
      <c r="K21" s="70">
        <f>Taxes!AG16</f>
        <v>552.21619039800248</v>
      </c>
      <c r="L21" s="70"/>
    </row>
    <row r="22" spans="1:12" x14ac:dyDescent="0.35">
      <c r="A22" t="s">
        <v>230</v>
      </c>
      <c r="B22" t="s">
        <v>231</v>
      </c>
      <c r="C22" s="70">
        <f>Taxes!Y25</f>
        <v>169.1</v>
      </c>
      <c r="D22" s="70">
        <f>Taxes!Z25</f>
        <v>172.78949768486035</v>
      </c>
      <c r="E22" s="70">
        <f>Taxes!AA25</f>
        <v>175.48840676301387</v>
      </c>
      <c r="F22" s="70">
        <f>Taxes!AB25</f>
        <v>176.81116879472424</v>
      </c>
      <c r="G22" s="70">
        <f>Taxes!AC25</f>
        <v>178.43051424161635</v>
      </c>
      <c r="H22" s="70">
        <f>Taxes!AD25</f>
        <v>180.04392802020482</v>
      </c>
      <c r="I22" s="70">
        <f>Taxes!AE25</f>
        <v>181.0701066367335</v>
      </c>
      <c r="J22" s="70">
        <f>Taxes!AF25</f>
        <v>181.15908166128801</v>
      </c>
      <c r="K22" s="70">
        <f>Taxes!AG25</f>
        <v>180.36423810860106</v>
      </c>
      <c r="L22" s="70"/>
    </row>
    <row r="23" spans="1:12" x14ac:dyDescent="0.35">
      <c r="A23" s="56" t="s">
        <v>1385</v>
      </c>
      <c r="B23" t="s">
        <v>1384</v>
      </c>
      <c r="C23" s="70">
        <f>'Student loans'!Y11</f>
        <v>2.5815300000000003</v>
      </c>
      <c r="D23" s="70">
        <f>'Student loans'!Z11</f>
        <v>2.6040450000000002</v>
      </c>
      <c r="E23" s="70">
        <f>'Student loans'!AA11</f>
        <v>2.626465</v>
      </c>
      <c r="F23" s="70">
        <f>'Student loans'!AB11</f>
        <v>2.6498349999999999</v>
      </c>
      <c r="G23" s="70">
        <f>'Student loans'!AC11</f>
        <v>2.6454420000000001</v>
      </c>
      <c r="H23" s="70">
        <f>'Student loans'!AD11</f>
        <v>2.6696</v>
      </c>
      <c r="I23" s="70">
        <f>'Student loans'!AE11</f>
        <v>2.693006</v>
      </c>
      <c r="J23" s="70">
        <f>'Student loans'!AF11</f>
        <v>2.7175400000000001</v>
      </c>
      <c r="K23" s="70">
        <f>'Student loans'!AG11</f>
        <v>2.7175400000000001</v>
      </c>
      <c r="L23" s="70"/>
    </row>
    <row r="24" spans="1:12" x14ac:dyDescent="0.35">
      <c r="A24" s="77"/>
      <c r="B24" t="s">
        <v>1907</v>
      </c>
      <c r="C24" s="70">
        <f>'Supply Side IRA'!Y14</f>
        <v>123.69179914307749</v>
      </c>
      <c r="D24" s="70">
        <f>'Supply Side IRA'!Z14</f>
        <v>127.72437784850848</v>
      </c>
      <c r="E24" s="70">
        <f>'Supply Side IRA'!AA14</f>
        <v>131.46353647701008</v>
      </c>
      <c r="F24" s="70">
        <f>'Supply Side IRA'!AB14</f>
        <v>135.1017576210221</v>
      </c>
      <c r="G24" s="70">
        <f>'Supply Side IRA'!AC14</f>
        <v>138.71843725919896</v>
      </c>
      <c r="H24" s="70">
        <f>'Supply Side IRA'!AD14</f>
        <v>142.30543339016739</v>
      </c>
      <c r="I24" s="70">
        <f>'Supply Side IRA'!AE14</f>
        <v>145.84032049073122</v>
      </c>
      <c r="J24" s="70">
        <f>'Supply Side IRA'!AF14</f>
        <v>149.34489919786131</v>
      </c>
      <c r="K24" s="70">
        <f>'Supply Side IRA'!AG14</f>
        <v>151.58482045676931</v>
      </c>
    </row>
    <row r="25" spans="1:12" x14ac:dyDescent="0.35">
      <c r="A25" s="68"/>
      <c r="C25" s="72"/>
      <c r="D25" s="72"/>
      <c r="E25" s="72"/>
      <c r="F25" s="72"/>
      <c r="G25" s="72"/>
    </row>
    <row r="26" spans="1:12" x14ac:dyDescent="0.35">
      <c r="A26" s="68"/>
      <c r="C26" s="72"/>
      <c r="D26" s="72"/>
      <c r="E26" s="72"/>
      <c r="F26" s="72"/>
      <c r="G26" s="72"/>
    </row>
    <row r="27" spans="1:12" x14ac:dyDescent="0.35">
      <c r="A27" s="68"/>
      <c r="C27" s="72"/>
      <c r="D27" s="72"/>
      <c r="E27" s="72"/>
      <c r="F27" s="72"/>
      <c r="G27" s="72"/>
    </row>
    <row r="28" spans="1:12" x14ac:dyDescent="0.35">
      <c r="A28" s="56"/>
      <c r="C28" s="72"/>
      <c r="D28" s="72"/>
      <c r="E28" s="72"/>
      <c r="F28" s="72"/>
      <c r="G28" s="72"/>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B94"/>
  <sheetViews>
    <sheetView zoomScale="120" zoomScaleNormal="120" workbookViewId="0">
      <pane xSplit="2" ySplit="7" topLeftCell="L25" activePane="bottomRight" state="frozen"/>
      <selection pane="topRight" activeCell="C1" sqref="C1"/>
      <selection pane="bottomLeft" activeCell="A8" sqref="A8"/>
      <selection pane="bottomRight" activeCell="Y38" sqref="Y38"/>
    </sheetView>
  </sheetViews>
  <sheetFormatPr defaultColWidth="10.90625" defaultRowHeight="14.5" x14ac:dyDescent="0.35"/>
  <cols>
    <col min="1" max="1" width="6.54296875" customWidth="1"/>
    <col min="2" max="2" width="65" customWidth="1"/>
    <col min="3" max="24" width="11.54296875" customWidth="1"/>
  </cols>
  <sheetData>
    <row r="2" spans="1:28" ht="21" customHeight="1" x14ac:dyDescent="0.5">
      <c r="A2" s="1262" t="s">
        <v>1812</v>
      </c>
      <c r="B2" s="1262"/>
      <c r="C2" s="1262"/>
      <c r="D2" s="1262"/>
      <c r="E2" s="1262"/>
      <c r="F2" s="1262"/>
      <c r="G2" s="1262"/>
      <c r="H2" s="1262"/>
      <c r="I2" s="1262"/>
      <c r="J2" s="1262"/>
      <c r="K2" s="123"/>
      <c r="L2" s="146"/>
      <c r="M2" s="158"/>
      <c r="N2" s="133"/>
      <c r="O2" s="146"/>
      <c r="P2" s="158"/>
      <c r="Q2" s="133"/>
      <c r="R2" s="146"/>
      <c r="S2" s="158"/>
      <c r="T2" s="133"/>
      <c r="U2" s="146"/>
      <c r="V2" s="158"/>
      <c r="W2" s="133"/>
      <c r="X2" s="146"/>
      <c r="Y2" s="75"/>
      <c r="Z2" s="75"/>
      <c r="AA2" s="75"/>
      <c r="AB2" s="75"/>
    </row>
    <row r="3" spans="1:28" x14ac:dyDescent="0.35">
      <c r="A3" s="75" t="s">
        <v>884</v>
      </c>
      <c r="B3" s="75"/>
      <c r="C3" s="75"/>
      <c r="D3" s="75"/>
      <c r="E3" s="75"/>
      <c r="F3" s="75"/>
      <c r="G3" s="75"/>
      <c r="H3" s="75"/>
      <c r="I3" s="75"/>
      <c r="J3" s="75"/>
      <c r="K3" s="75"/>
      <c r="L3" s="147"/>
      <c r="M3" s="159"/>
      <c r="N3" s="134"/>
      <c r="O3" s="147"/>
      <c r="P3" s="159"/>
      <c r="Q3" s="134"/>
      <c r="R3" s="147"/>
      <c r="S3" s="159"/>
      <c r="T3" s="134"/>
      <c r="U3" s="147"/>
      <c r="V3" s="159"/>
      <c r="W3" s="134"/>
      <c r="X3" s="147"/>
      <c r="Y3" s="75"/>
      <c r="Z3" s="75"/>
      <c r="AA3" s="75"/>
      <c r="AB3" s="75"/>
    </row>
    <row r="4" spans="1:28" ht="15" customHeight="1" x14ac:dyDescent="0.35">
      <c r="A4" s="1263"/>
      <c r="B4" s="1263"/>
      <c r="C4" s="1263"/>
      <c r="D4" s="80"/>
      <c r="E4" s="80"/>
      <c r="F4" s="80"/>
      <c r="G4" s="80"/>
      <c r="H4" s="80"/>
      <c r="I4" s="80"/>
      <c r="J4" s="80"/>
      <c r="K4" s="80"/>
      <c r="L4" s="148"/>
      <c r="M4" s="160"/>
      <c r="N4" s="136"/>
      <c r="O4" s="148"/>
      <c r="P4" s="160"/>
      <c r="Q4" s="136"/>
      <c r="R4" s="148"/>
      <c r="S4" s="160"/>
      <c r="T4" s="136"/>
      <c r="U4" s="148"/>
      <c r="V4" s="160"/>
      <c r="W4" s="136"/>
      <c r="X4" s="148"/>
    </row>
    <row r="5" spans="1:28" x14ac:dyDescent="0.35">
      <c r="A5" s="1264" t="s">
        <v>815</v>
      </c>
      <c r="B5" s="1267"/>
      <c r="C5" s="1270" t="s">
        <v>896</v>
      </c>
      <c r="D5" s="1270" t="s">
        <v>896</v>
      </c>
      <c r="E5" s="1270" t="s">
        <v>896</v>
      </c>
      <c r="F5" s="1270" t="s">
        <v>896</v>
      </c>
      <c r="G5" s="1270" t="s">
        <v>896</v>
      </c>
      <c r="H5" s="1270" t="s">
        <v>896</v>
      </c>
      <c r="I5" s="1270" t="s">
        <v>896</v>
      </c>
      <c r="J5" s="1271" t="s">
        <v>896</v>
      </c>
      <c r="K5" s="181"/>
      <c r="L5" s="149"/>
      <c r="M5" s="162"/>
      <c r="N5" s="137"/>
      <c r="O5" s="149"/>
      <c r="P5" s="162"/>
      <c r="Q5" s="137"/>
      <c r="R5" s="149"/>
      <c r="S5" s="162"/>
      <c r="T5" s="137"/>
      <c r="U5" s="149"/>
      <c r="V5" s="162"/>
      <c r="W5" s="137"/>
      <c r="X5" s="149"/>
    </row>
    <row r="6" spans="1:28" x14ac:dyDescent="0.35">
      <c r="A6" s="1265" t="s">
        <v>815</v>
      </c>
      <c r="B6" s="1268"/>
      <c r="C6" s="1272">
        <v>2022</v>
      </c>
      <c r="D6" s="1273"/>
      <c r="E6" s="1273"/>
      <c r="F6" s="1273"/>
      <c r="G6" s="1273"/>
      <c r="H6" s="1274"/>
      <c r="I6" s="1272">
        <v>2023</v>
      </c>
      <c r="J6" s="1273">
        <v>2023</v>
      </c>
      <c r="K6" s="1274">
        <v>2023</v>
      </c>
      <c r="L6" s="150"/>
      <c r="M6" s="163"/>
      <c r="N6" s="138"/>
      <c r="O6" s="150"/>
      <c r="P6" s="163"/>
      <c r="Q6" s="138"/>
      <c r="R6" s="150"/>
      <c r="S6" s="163"/>
      <c r="T6" s="138"/>
      <c r="U6" s="150"/>
      <c r="V6" s="163"/>
      <c r="W6" s="138"/>
      <c r="X6" s="150"/>
    </row>
    <row r="7" spans="1:28" ht="32.5" customHeight="1" x14ac:dyDescent="0.35">
      <c r="A7" s="1266" t="s">
        <v>815</v>
      </c>
      <c r="B7" s="1269"/>
      <c r="C7" s="186" t="s">
        <v>1754</v>
      </c>
      <c r="D7" s="186" t="s">
        <v>1832</v>
      </c>
      <c r="E7" s="186" t="s">
        <v>1833</v>
      </c>
      <c r="F7" s="186" t="s">
        <v>1837</v>
      </c>
      <c r="G7" s="186" t="s">
        <v>1838</v>
      </c>
      <c r="H7" s="186" t="s">
        <v>1839</v>
      </c>
      <c r="I7" s="186" t="s">
        <v>234</v>
      </c>
      <c r="J7" s="186" t="s">
        <v>235</v>
      </c>
      <c r="K7" s="186" t="s">
        <v>1910</v>
      </c>
      <c r="L7" s="82" t="s">
        <v>1919</v>
      </c>
      <c r="M7" s="88" t="s">
        <v>1920</v>
      </c>
      <c r="N7" s="81" t="s">
        <v>1929</v>
      </c>
      <c r="O7" s="82" t="s">
        <v>1930</v>
      </c>
      <c r="P7" s="88" t="s">
        <v>1832</v>
      </c>
      <c r="Q7" s="81" t="s">
        <v>1833</v>
      </c>
      <c r="R7" s="82" t="s">
        <v>1837</v>
      </c>
      <c r="S7" s="88" t="s">
        <v>1838</v>
      </c>
      <c r="T7" s="81" t="s">
        <v>1839</v>
      </c>
      <c r="U7" s="82" t="s">
        <v>897</v>
      </c>
      <c r="V7" s="88" t="s">
        <v>898</v>
      </c>
      <c r="W7" s="81" t="s">
        <v>899</v>
      </c>
      <c r="X7" s="82" t="s">
        <v>900</v>
      </c>
      <c r="Y7" s="126" t="s">
        <v>1938</v>
      </c>
    </row>
    <row r="8" spans="1:28" x14ac:dyDescent="0.35">
      <c r="A8" s="171">
        <v>1</v>
      </c>
      <c r="B8" s="46" t="s">
        <v>239</v>
      </c>
      <c r="C8" s="187">
        <v>21852.3</v>
      </c>
      <c r="D8" s="187">
        <v>21975.8</v>
      </c>
      <c r="E8" s="188">
        <v>22080.400000000001</v>
      </c>
      <c r="F8" s="188">
        <v>22201.9</v>
      </c>
      <c r="G8" s="188">
        <v>22240.1</v>
      </c>
      <c r="H8" s="188">
        <v>22281.9</v>
      </c>
      <c r="I8" s="187">
        <v>22525.3</v>
      </c>
      <c r="J8" s="188">
        <v>22648.400000000001</v>
      </c>
      <c r="K8" s="187">
        <v>22757.9</v>
      </c>
      <c r="L8" s="83">
        <v>22806.1</v>
      </c>
      <c r="M8" s="90">
        <v>22876.6</v>
      </c>
      <c r="N8" s="100">
        <v>22921.4</v>
      </c>
      <c r="O8" s="175">
        <v>22986.400000000001</v>
      </c>
      <c r="P8" s="90">
        <v>23094.5</v>
      </c>
      <c r="Q8" s="100">
        <v>23176.2</v>
      </c>
      <c r="R8" s="83">
        <v>23189.4</v>
      </c>
      <c r="S8" s="90">
        <v>23241.5</v>
      </c>
      <c r="T8" s="106">
        <v>23311.599999999999</v>
      </c>
      <c r="U8" s="83">
        <v>23565.1</v>
      </c>
      <c r="V8" s="90">
        <v>23632.3</v>
      </c>
      <c r="W8" s="106">
        <v>23758.5</v>
      </c>
      <c r="X8" s="112">
        <v>23823.7</v>
      </c>
    </row>
    <row r="9" spans="1:28" x14ac:dyDescent="0.35">
      <c r="A9" s="172">
        <v>2</v>
      </c>
      <c r="B9" s="129" t="s">
        <v>1755</v>
      </c>
      <c r="C9" s="189">
        <v>13654.1</v>
      </c>
      <c r="D9" s="189">
        <v>13754.9</v>
      </c>
      <c r="E9" s="190">
        <v>13856.1</v>
      </c>
      <c r="F9" s="190">
        <v>13828.8</v>
      </c>
      <c r="G9" s="190">
        <v>13822.8</v>
      </c>
      <c r="H9" s="190">
        <v>13832.7</v>
      </c>
      <c r="I9" s="189">
        <v>13885.2</v>
      </c>
      <c r="J9" s="190">
        <v>13968.7</v>
      </c>
      <c r="K9" s="189">
        <v>14041.7</v>
      </c>
      <c r="L9" s="84">
        <v>14092.7</v>
      </c>
      <c r="M9" s="89">
        <v>14151.1</v>
      </c>
      <c r="N9" s="102">
        <v>14218.6</v>
      </c>
      <c r="O9" s="176">
        <v>14296.4</v>
      </c>
      <c r="P9" s="89">
        <v>14372.7</v>
      </c>
      <c r="Q9" s="102">
        <v>14437.1</v>
      </c>
      <c r="R9" s="84">
        <v>14416.2</v>
      </c>
      <c r="S9" s="89">
        <v>14436.6</v>
      </c>
      <c r="T9" s="107">
        <v>14491.6</v>
      </c>
      <c r="U9" s="84">
        <v>14555.9</v>
      </c>
      <c r="V9" s="89">
        <v>14651.5</v>
      </c>
      <c r="W9" s="107">
        <v>14736.3</v>
      </c>
      <c r="X9" s="113">
        <v>14772.7</v>
      </c>
    </row>
    <row r="10" spans="1:28" x14ac:dyDescent="0.35">
      <c r="A10" s="172">
        <v>3</v>
      </c>
      <c r="B10" s="130" t="s">
        <v>1756</v>
      </c>
      <c r="C10" s="189">
        <v>11271.8</v>
      </c>
      <c r="D10" s="189">
        <v>11360.7</v>
      </c>
      <c r="E10" s="190">
        <v>11450.6</v>
      </c>
      <c r="F10" s="190">
        <v>11420.4</v>
      </c>
      <c r="G10" s="190">
        <v>11408.7</v>
      </c>
      <c r="H10" s="190">
        <v>11412.7</v>
      </c>
      <c r="I10" s="189">
        <v>11494.7</v>
      </c>
      <c r="J10" s="190">
        <v>11568.5</v>
      </c>
      <c r="K10" s="189">
        <v>11633.1</v>
      </c>
      <c r="L10" s="84">
        <v>11680.1</v>
      </c>
      <c r="M10" s="89">
        <v>11730.8</v>
      </c>
      <c r="N10" s="102">
        <v>11788.9</v>
      </c>
      <c r="O10" s="176">
        <v>11855.6</v>
      </c>
      <c r="P10" s="89">
        <v>11921.2</v>
      </c>
      <c r="Q10" s="102">
        <v>11975.7</v>
      </c>
      <c r="R10" s="84">
        <v>11950.9</v>
      </c>
      <c r="S10" s="89">
        <v>11965.4</v>
      </c>
      <c r="T10" s="107">
        <v>12011.8</v>
      </c>
      <c r="U10" s="84">
        <v>12060.4</v>
      </c>
      <c r="V10" s="89">
        <v>12145.1</v>
      </c>
      <c r="W10" s="107">
        <v>12219.7</v>
      </c>
      <c r="X10" s="113">
        <v>12249.5</v>
      </c>
    </row>
    <row r="11" spans="1:28" x14ac:dyDescent="0.35">
      <c r="A11" s="172">
        <v>4</v>
      </c>
      <c r="B11" s="135" t="s">
        <v>1757</v>
      </c>
      <c r="C11" s="191">
        <v>9656.4</v>
      </c>
      <c r="D11" s="191">
        <v>9735.9</v>
      </c>
      <c r="E11" s="192">
        <v>9819.5</v>
      </c>
      <c r="F11" s="192">
        <v>9785.7999999999993</v>
      </c>
      <c r="G11" s="192">
        <v>9763.9</v>
      </c>
      <c r="H11" s="192">
        <v>9762.2999999999993</v>
      </c>
      <c r="I11" s="191">
        <v>9818.2999999999993</v>
      </c>
      <c r="J11" s="192">
        <v>9882.7999999999993</v>
      </c>
      <c r="K11" s="191">
        <v>9937.7000000000007</v>
      </c>
      <c r="L11" s="85">
        <v>9976.9</v>
      </c>
      <c r="M11" s="91">
        <v>10019.799999999999</v>
      </c>
      <c r="N11" s="103">
        <v>10070.4</v>
      </c>
      <c r="O11" s="177">
        <v>10117.4</v>
      </c>
      <c r="P11" s="91">
        <v>10167.9</v>
      </c>
      <c r="Q11" s="103">
        <v>10207.1</v>
      </c>
      <c r="R11" s="85">
        <v>10171.700000000001</v>
      </c>
      <c r="S11" s="91">
        <v>10179.4</v>
      </c>
      <c r="T11" s="108">
        <v>10214.799999999999</v>
      </c>
      <c r="U11" s="85">
        <v>10247.5</v>
      </c>
      <c r="V11" s="91">
        <v>10317.799999999999</v>
      </c>
      <c r="W11" s="108">
        <v>10377.700000000001</v>
      </c>
      <c r="X11" s="114">
        <v>10399.299999999999</v>
      </c>
    </row>
    <row r="12" spans="1:28" x14ac:dyDescent="0.35">
      <c r="A12" s="172">
        <v>5</v>
      </c>
      <c r="B12" s="131" t="s">
        <v>1758</v>
      </c>
      <c r="C12" s="191">
        <v>1767.7</v>
      </c>
      <c r="D12" s="191">
        <v>1780.1</v>
      </c>
      <c r="E12" s="192">
        <v>1797.4</v>
      </c>
      <c r="F12" s="192">
        <v>1795.8</v>
      </c>
      <c r="G12" s="192">
        <v>1793.7</v>
      </c>
      <c r="H12" s="192">
        <v>1789.6</v>
      </c>
      <c r="I12" s="191">
        <v>1804.5</v>
      </c>
      <c r="J12" s="192">
        <v>1806.7</v>
      </c>
      <c r="K12" s="191">
        <v>1818.5</v>
      </c>
      <c r="L12" s="85">
        <v>1828.4</v>
      </c>
      <c r="M12" s="91">
        <v>1836.7</v>
      </c>
      <c r="N12" s="103">
        <v>1847.2</v>
      </c>
      <c r="O12" s="177">
        <v>1859</v>
      </c>
      <c r="P12" s="91">
        <v>1867.1</v>
      </c>
      <c r="Q12" s="103">
        <v>1876.1</v>
      </c>
      <c r="R12" s="85">
        <v>1875.9</v>
      </c>
      <c r="S12" s="91">
        <v>1879.8</v>
      </c>
      <c r="T12" s="108">
        <v>1881.1</v>
      </c>
      <c r="U12" s="85">
        <v>1887.9</v>
      </c>
      <c r="V12" s="91">
        <v>1903.8</v>
      </c>
      <c r="W12" s="108">
        <v>1920.7</v>
      </c>
      <c r="X12" s="114">
        <v>1926.3</v>
      </c>
    </row>
    <row r="13" spans="1:28" x14ac:dyDescent="0.35">
      <c r="A13" s="172">
        <v>6</v>
      </c>
      <c r="B13" s="145" t="s">
        <v>1759</v>
      </c>
      <c r="C13" s="191">
        <v>1046.3</v>
      </c>
      <c r="D13" s="191">
        <v>1054.4000000000001</v>
      </c>
      <c r="E13" s="192">
        <v>1064.8</v>
      </c>
      <c r="F13" s="192">
        <v>1061.4000000000001</v>
      </c>
      <c r="G13" s="192">
        <v>1055.5</v>
      </c>
      <c r="H13" s="192">
        <v>1046.9000000000001</v>
      </c>
      <c r="I13" s="191">
        <v>1066</v>
      </c>
      <c r="J13" s="192">
        <v>1064.3</v>
      </c>
      <c r="K13" s="191">
        <v>1071.2</v>
      </c>
      <c r="L13" s="85">
        <v>1077.3</v>
      </c>
      <c r="M13" s="91">
        <v>1079.5</v>
      </c>
      <c r="N13" s="103">
        <v>1088.5999999999999</v>
      </c>
      <c r="O13" s="177">
        <v>1096.9000000000001</v>
      </c>
      <c r="P13" s="91">
        <v>1102.2</v>
      </c>
      <c r="Q13" s="103">
        <v>1108.5999999999999</v>
      </c>
      <c r="R13" s="85">
        <v>1103.3</v>
      </c>
      <c r="S13" s="91">
        <v>1103.3</v>
      </c>
      <c r="T13" s="108">
        <v>1101</v>
      </c>
      <c r="U13" s="85">
        <v>1103.5999999999999</v>
      </c>
      <c r="V13" s="91">
        <v>1114.8</v>
      </c>
      <c r="W13" s="108">
        <v>1124.2</v>
      </c>
      <c r="X13" s="114">
        <v>1125</v>
      </c>
    </row>
    <row r="14" spans="1:28" x14ac:dyDescent="0.35">
      <c r="A14" s="172">
        <v>7</v>
      </c>
      <c r="B14" s="131" t="s">
        <v>1760</v>
      </c>
      <c r="C14" s="191">
        <v>7888.7</v>
      </c>
      <c r="D14" s="191">
        <v>7955.8</v>
      </c>
      <c r="E14" s="192">
        <v>8022.1</v>
      </c>
      <c r="F14" s="192">
        <v>7990</v>
      </c>
      <c r="G14" s="192">
        <v>7970.1</v>
      </c>
      <c r="H14" s="192">
        <v>7972.7</v>
      </c>
      <c r="I14" s="191">
        <v>8013.8</v>
      </c>
      <c r="J14" s="192">
        <v>8076.2</v>
      </c>
      <c r="K14" s="191">
        <v>8119.2</v>
      </c>
      <c r="L14" s="85">
        <v>8148.5</v>
      </c>
      <c r="M14" s="91">
        <v>8183.1</v>
      </c>
      <c r="N14" s="103">
        <v>8223.2000000000007</v>
      </c>
      <c r="O14" s="177">
        <v>8258.4</v>
      </c>
      <c r="P14" s="91">
        <v>8300.7999999999993</v>
      </c>
      <c r="Q14" s="103">
        <v>8331</v>
      </c>
      <c r="R14" s="85">
        <v>8295.7000000000007</v>
      </c>
      <c r="S14" s="91">
        <v>8299.6</v>
      </c>
      <c r="T14" s="108">
        <v>8333.7000000000007</v>
      </c>
      <c r="U14" s="85">
        <v>8359.7000000000007</v>
      </c>
      <c r="V14" s="91">
        <v>8414</v>
      </c>
      <c r="W14" s="108">
        <v>8457</v>
      </c>
      <c r="X14" s="114">
        <v>8472.9</v>
      </c>
    </row>
    <row r="15" spans="1:28" x14ac:dyDescent="0.35">
      <c r="A15" s="172">
        <v>8</v>
      </c>
      <c r="B15" s="151" t="s">
        <v>1761</v>
      </c>
      <c r="C15" s="191">
        <v>1734</v>
      </c>
      <c r="D15" s="191">
        <v>1748.4</v>
      </c>
      <c r="E15" s="192">
        <v>1762.3</v>
      </c>
      <c r="F15" s="192">
        <v>1757.7</v>
      </c>
      <c r="G15" s="192">
        <v>1749.7</v>
      </c>
      <c r="H15" s="192">
        <v>1745.6</v>
      </c>
      <c r="I15" s="191">
        <v>1778.8</v>
      </c>
      <c r="J15" s="192">
        <v>1795.8</v>
      </c>
      <c r="K15" s="191">
        <v>1796</v>
      </c>
      <c r="L15" s="85">
        <v>1797.8</v>
      </c>
      <c r="M15" s="91">
        <v>1793.1</v>
      </c>
      <c r="N15" s="103">
        <v>1804.5</v>
      </c>
      <c r="O15" s="177">
        <v>1816.7</v>
      </c>
      <c r="P15" s="91">
        <v>1828</v>
      </c>
      <c r="Q15" s="103">
        <v>1837.3</v>
      </c>
      <c r="R15" s="85">
        <v>1825.7</v>
      </c>
      <c r="S15" s="91">
        <v>1822.5</v>
      </c>
      <c r="T15" s="108">
        <v>1833.5</v>
      </c>
      <c r="U15" s="85">
        <v>1833.8</v>
      </c>
      <c r="V15" s="91">
        <v>1851</v>
      </c>
      <c r="W15" s="108">
        <v>1851.7</v>
      </c>
      <c r="X15" s="114">
        <v>1852</v>
      </c>
    </row>
    <row r="16" spans="1:28" x14ac:dyDescent="0.35">
      <c r="A16" s="172">
        <v>9</v>
      </c>
      <c r="B16" s="151" t="s">
        <v>1762</v>
      </c>
      <c r="C16" s="191">
        <v>6154.8</v>
      </c>
      <c r="D16" s="191">
        <v>6207.4</v>
      </c>
      <c r="E16" s="192">
        <v>6259.8</v>
      </c>
      <c r="F16" s="192">
        <v>6232.2</v>
      </c>
      <c r="G16" s="192">
        <v>6220.4</v>
      </c>
      <c r="H16" s="192">
        <v>6227.2</v>
      </c>
      <c r="I16" s="191">
        <v>6235</v>
      </c>
      <c r="J16" s="192">
        <v>6280.4</v>
      </c>
      <c r="K16" s="191">
        <v>6323.1</v>
      </c>
      <c r="L16" s="85">
        <v>6350.7</v>
      </c>
      <c r="M16" s="91">
        <v>6390</v>
      </c>
      <c r="N16" s="103">
        <v>6418.7</v>
      </c>
      <c r="O16" s="177">
        <v>6441.7</v>
      </c>
      <c r="P16" s="91">
        <v>6472.8</v>
      </c>
      <c r="Q16" s="103">
        <v>6493.8</v>
      </c>
      <c r="R16" s="85">
        <v>6470.1</v>
      </c>
      <c r="S16" s="91">
        <v>6477.1</v>
      </c>
      <c r="T16" s="108">
        <v>6500.2</v>
      </c>
      <c r="U16" s="85">
        <v>6525.8</v>
      </c>
      <c r="V16" s="91">
        <v>6563</v>
      </c>
      <c r="W16" s="108">
        <v>6605.4</v>
      </c>
      <c r="X16" s="114">
        <v>6620.9</v>
      </c>
    </row>
    <row r="17" spans="1:26" ht="16.399999999999999" customHeight="1" x14ac:dyDescent="0.35">
      <c r="A17" s="172">
        <v>10</v>
      </c>
      <c r="B17" s="135" t="s">
        <v>1763</v>
      </c>
      <c r="C17" s="191">
        <v>1615.4</v>
      </c>
      <c r="D17" s="191">
        <v>1624.8</v>
      </c>
      <c r="E17" s="192">
        <v>1631.1</v>
      </c>
      <c r="F17" s="192">
        <v>1634.6</v>
      </c>
      <c r="G17" s="192">
        <v>1644.8</v>
      </c>
      <c r="H17" s="192">
        <v>1650.4</v>
      </c>
      <c r="I17" s="191">
        <v>1676.4</v>
      </c>
      <c r="J17" s="192">
        <v>1685.7</v>
      </c>
      <c r="K17" s="191">
        <v>1695.5</v>
      </c>
      <c r="L17" s="85">
        <v>1703.2</v>
      </c>
      <c r="M17" s="91">
        <v>1711</v>
      </c>
      <c r="N17" s="103">
        <v>1718.6</v>
      </c>
      <c r="O17" s="177">
        <v>1738.2</v>
      </c>
      <c r="P17" s="91">
        <v>1753.3</v>
      </c>
      <c r="Q17" s="103">
        <v>1768.6</v>
      </c>
      <c r="R17" s="85">
        <v>1779.3</v>
      </c>
      <c r="S17" s="91">
        <v>1786</v>
      </c>
      <c r="T17" s="108">
        <v>1797</v>
      </c>
      <c r="U17" s="85">
        <v>1812.9</v>
      </c>
      <c r="V17" s="91">
        <v>1827.3</v>
      </c>
      <c r="W17" s="108">
        <v>1842</v>
      </c>
      <c r="X17" s="114">
        <v>1850.3</v>
      </c>
    </row>
    <row r="18" spans="1:26" ht="16.399999999999999" customHeight="1" x14ac:dyDescent="0.35">
      <c r="A18" s="172">
        <v>11</v>
      </c>
      <c r="B18" s="130" t="s">
        <v>1764</v>
      </c>
      <c r="C18" s="189">
        <v>2382.3000000000002</v>
      </c>
      <c r="D18" s="189">
        <v>2394.1</v>
      </c>
      <c r="E18" s="190">
        <v>2405.5</v>
      </c>
      <c r="F18" s="190">
        <v>2408.5</v>
      </c>
      <c r="G18" s="190">
        <v>2414.1</v>
      </c>
      <c r="H18" s="190">
        <v>2420</v>
      </c>
      <c r="I18" s="189">
        <v>2390.6</v>
      </c>
      <c r="J18" s="190">
        <v>2400.1999999999998</v>
      </c>
      <c r="K18" s="189">
        <v>2408.6</v>
      </c>
      <c r="L18" s="84">
        <v>2412.6</v>
      </c>
      <c r="M18" s="89">
        <v>2420.3000000000002</v>
      </c>
      <c r="N18" s="102">
        <v>2429.6</v>
      </c>
      <c r="O18" s="176">
        <v>2440.8000000000002</v>
      </c>
      <c r="P18" s="89">
        <v>2451.5</v>
      </c>
      <c r="Q18" s="102">
        <v>2461.4</v>
      </c>
      <c r="R18" s="84">
        <v>2465.3000000000002</v>
      </c>
      <c r="S18" s="89">
        <v>2471.1999999999998</v>
      </c>
      <c r="T18" s="107">
        <v>2479.8000000000002</v>
      </c>
      <c r="U18" s="84">
        <v>2495.6</v>
      </c>
      <c r="V18" s="89">
        <v>2506.3000000000002</v>
      </c>
      <c r="W18" s="107">
        <v>2516.6</v>
      </c>
      <c r="X18" s="113">
        <v>2523.1999999999998</v>
      </c>
    </row>
    <row r="19" spans="1:26" ht="16.5" customHeight="1" x14ac:dyDescent="0.35">
      <c r="A19" s="173">
        <v>12</v>
      </c>
      <c r="B19" s="166" t="s">
        <v>1765</v>
      </c>
      <c r="C19" s="191">
        <v>1614.2</v>
      </c>
      <c r="D19" s="191">
        <v>1620.2</v>
      </c>
      <c r="E19" s="192">
        <v>1625.6</v>
      </c>
      <c r="F19" s="192">
        <v>1630.6</v>
      </c>
      <c r="G19" s="192">
        <v>1637.1</v>
      </c>
      <c r="H19" s="192">
        <v>1642.9</v>
      </c>
      <c r="I19" s="191">
        <v>1594</v>
      </c>
      <c r="J19" s="192">
        <v>1599</v>
      </c>
      <c r="K19" s="191">
        <v>1603.5</v>
      </c>
      <c r="L19" s="85">
        <v>1604.7</v>
      </c>
      <c r="M19" s="91">
        <v>1609.4</v>
      </c>
      <c r="N19" s="103">
        <v>1615</v>
      </c>
      <c r="O19" s="177">
        <v>1622</v>
      </c>
      <c r="P19" s="91">
        <v>1628.6</v>
      </c>
      <c r="Q19" s="103">
        <v>1635</v>
      </c>
      <c r="R19" s="85">
        <v>1640.6</v>
      </c>
      <c r="S19" s="91">
        <v>1645.5</v>
      </c>
      <c r="T19" s="108">
        <v>1650.9</v>
      </c>
      <c r="U19" s="85">
        <v>1659.5</v>
      </c>
      <c r="V19" s="91">
        <v>1664.5</v>
      </c>
      <c r="W19" s="108">
        <v>1669.7</v>
      </c>
      <c r="X19" s="114">
        <v>1674.2</v>
      </c>
    </row>
    <row r="20" spans="1:26" x14ac:dyDescent="0.35">
      <c r="A20" s="173">
        <v>13</v>
      </c>
      <c r="B20" s="166" t="s">
        <v>1766</v>
      </c>
      <c r="C20" s="191">
        <v>768.1</v>
      </c>
      <c r="D20" s="191">
        <v>774</v>
      </c>
      <c r="E20" s="192">
        <v>779.9</v>
      </c>
      <c r="F20" s="192">
        <v>777.9</v>
      </c>
      <c r="G20" s="192">
        <v>777</v>
      </c>
      <c r="H20" s="192">
        <v>777.1</v>
      </c>
      <c r="I20" s="191">
        <v>796.6</v>
      </c>
      <c r="J20" s="192">
        <v>801.1</v>
      </c>
      <c r="K20" s="191">
        <v>805.1</v>
      </c>
      <c r="L20" s="85">
        <v>807.9</v>
      </c>
      <c r="M20" s="91">
        <v>811</v>
      </c>
      <c r="N20" s="103">
        <v>814.6</v>
      </c>
      <c r="O20" s="177">
        <v>818.7</v>
      </c>
      <c r="P20" s="91">
        <v>822.9</v>
      </c>
      <c r="Q20" s="103">
        <v>826.4</v>
      </c>
      <c r="R20" s="85">
        <v>824.7</v>
      </c>
      <c r="S20" s="91">
        <v>825.7</v>
      </c>
      <c r="T20" s="108">
        <v>828.9</v>
      </c>
      <c r="U20" s="85">
        <v>836</v>
      </c>
      <c r="V20" s="91">
        <v>841.9</v>
      </c>
      <c r="W20" s="108">
        <v>846.9</v>
      </c>
      <c r="X20" s="114">
        <v>849</v>
      </c>
    </row>
    <row r="21" spans="1:26" ht="16.399999999999999" customHeight="1" x14ac:dyDescent="0.35">
      <c r="A21" s="173">
        <v>14</v>
      </c>
      <c r="B21" s="161" t="s">
        <v>1767</v>
      </c>
      <c r="C21" s="189">
        <v>1846.5</v>
      </c>
      <c r="D21" s="189">
        <v>1869.7</v>
      </c>
      <c r="E21" s="190">
        <v>1874.4</v>
      </c>
      <c r="F21" s="190">
        <v>1877.2</v>
      </c>
      <c r="G21" s="190">
        <v>1882.7</v>
      </c>
      <c r="H21" s="190">
        <v>1888.6</v>
      </c>
      <c r="I21" s="189">
        <v>1832.2</v>
      </c>
      <c r="J21" s="190">
        <v>1828.6</v>
      </c>
      <c r="K21" s="189">
        <v>1821.5</v>
      </c>
      <c r="L21" s="84">
        <v>1821.1</v>
      </c>
      <c r="M21" s="89">
        <v>1821.3</v>
      </c>
      <c r="N21" s="102">
        <v>1829.9</v>
      </c>
      <c r="O21" s="176">
        <v>1839.7</v>
      </c>
      <c r="P21" s="89">
        <v>1861.1</v>
      </c>
      <c r="Q21" s="102">
        <v>1877.8</v>
      </c>
      <c r="R21" s="84">
        <v>1880.2</v>
      </c>
      <c r="S21" s="89">
        <v>1886.2</v>
      </c>
      <c r="T21" s="107">
        <v>1881.5</v>
      </c>
      <c r="U21" s="84">
        <v>1887.1</v>
      </c>
      <c r="V21" s="89">
        <v>1890.4</v>
      </c>
      <c r="W21" s="107">
        <v>1893.8</v>
      </c>
      <c r="X21" s="113">
        <v>1894.1</v>
      </c>
    </row>
    <row r="22" spans="1:26" x14ac:dyDescent="0.35">
      <c r="A22" s="172">
        <v>15</v>
      </c>
      <c r="B22" s="44" t="s">
        <v>1768</v>
      </c>
      <c r="C22" s="191">
        <v>94.8</v>
      </c>
      <c r="D22" s="191">
        <v>95.9</v>
      </c>
      <c r="E22" s="192">
        <v>97.1</v>
      </c>
      <c r="F22" s="192">
        <v>99</v>
      </c>
      <c r="G22" s="192">
        <v>100.9</v>
      </c>
      <c r="H22" s="192">
        <v>102.8</v>
      </c>
      <c r="I22" s="191">
        <v>78.7</v>
      </c>
      <c r="J22" s="192">
        <v>71.2</v>
      </c>
      <c r="K22" s="191">
        <v>63.8</v>
      </c>
      <c r="L22" s="85">
        <v>61</v>
      </c>
      <c r="M22" s="91">
        <v>58.2</v>
      </c>
      <c r="N22" s="103">
        <v>55.5</v>
      </c>
      <c r="O22" s="177">
        <v>52.7</v>
      </c>
      <c r="P22" s="91">
        <v>49.9</v>
      </c>
      <c r="Q22" s="103">
        <v>47.2</v>
      </c>
      <c r="R22" s="85">
        <v>42.6</v>
      </c>
      <c r="S22" s="91">
        <v>38</v>
      </c>
      <c r="T22" s="108">
        <v>33.4</v>
      </c>
      <c r="U22" s="85">
        <v>35</v>
      </c>
      <c r="V22" s="91">
        <v>36.6</v>
      </c>
      <c r="W22" s="108">
        <v>38.299999999999997</v>
      </c>
      <c r="X22" s="114">
        <v>35.1</v>
      </c>
    </row>
    <row r="23" spans="1:26" x14ac:dyDescent="0.35">
      <c r="A23" s="172">
        <v>16</v>
      </c>
      <c r="B23" s="44" t="s">
        <v>1769</v>
      </c>
      <c r="C23" s="191">
        <v>1751.7</v>
      </c>
      <c r="D23" s="191">
        <v>1773.7</v>
      </c>
      <c r="E23" s="192">
        <v>1777.4</v>
      </c>
      <c r="F23" s="192">
        <v>1778.3</v>
      </c>
      <c r="G23" s="192">
        <v>1781.9</v>
      </c>
      <c r="H23" s="192">
        <v>1785.8</v>
      </c>
      <c r="I23" s="191">
        <v>1753.5</v>
      </c>
      <c r="J23" s="192">
        <v>1757.4</v>
      </c>
      <c r="K23" s="191">
        <v>1757.7</v>
      </c>
      <c r="L23" s="85">
        <v>1760.1</v>
      </c>
      <c r="M23" s="91">
        <v>1763.1</v>
      </c>
      <c r="N23" s="103">
        <v>1774.4</v>
      </c>
      <c r="O23" s="177">
        <v>1787</v>
      </c>
      <c r="P23" s="91">
        <v>1811.2</v>
      </c>
      <c r="Q23" s="103">
        <v>1830.6</v>
      </c>
      <c r="R23" s="85">
        <v>1837.6</v>
      </c>
      <c r="S23" s="91">
        <v>1848.2</v>
      </c>
      <c r="T23" s="108">
        <v>1848.1</v>
      </c>
      <c r="U23" s="85">
        <v>1852</v>
      </c>
      <c r="V23" s="91">
        <v>1853.7</v>
      </c>
      <c r="W23" s="108">
        <v>1855.5</v>
      </c>
      <c r="X23" s="114">
        <v>1859</v>
      </c>
    </row>
    <row r="24" spans="1:26" x14ac:dyDescent="0.35">
      <c r="A24" s="173">
        <v>17</v>
      </c>
      <c r="B24" s="161" t="s">
        <v>1770</v>
      </c>
      <c r="C24" s="189">
        <v>792.9</v>
      </c>
      <c r="D24" s="189">
        <v>794.9</v>
      </c>
      <c r="E24" s="190">
        <v>797</v>
      </c>
      <c r="F24" s="190">
        <v>804.7</v>
      </c>
      <c r="G24" s="190">
        <v>810.6</v>
      </c>
      <c r="H24" s="190">
        <v>820</v>
      </c>
      <c r="I24" s="189">
        <v>930.9</v>
      </c>
      <c r="J24" s="190">
        <v>945.7</v>
      </c>
      <c r="K24" s="189">
        <v>960.7</v>
      </c>
      <c r="L24" s="84">
        <v>960.6</v>
      </c>
      <c r="M24" s="89">
        <v>960.8</v>
      </c>
      <c r="N24" s="102">
        <v>961.8</v>
      </c>
      <c r="O24" s="176">
        <v>967.2</v>
      </c>
      <c r="P24" s="89">
        <v>974.5</v>
      </c>
      <c r="Q24" s="102">
        <v>981.5</v>
      </c>
      <c r="R24" s="84">
        <v>985.3</v>
      </c>
      <c r="S24" s="89">
        <v>988.1</v>
      </c>
      <c r="T24" s="107">
        <v>991</v>
      </c>
      <c r="U24" s="84">
        <v>1007.1</v>
      </c>
      <c r="V24" s="89">
        <v>1023.4</v>
      </c>
      <c r="W24" s="107">
        <v>1039</v>
      </c>
      <c r="X24" s="113">
        <v>1040.2</v>
      </c>
    </row>
    <row r="25" spans="1:26" x14ac:dyDescent="0.35">
      <c r="A25" s="172">
        <v>18</v>
      </c>
      <c r="B25" s="129" t="s">
        <v>1771</v>
      </c>
      <c r="C25" s="189">
        <v>3350.6</v>
      </c>
      <c r="D25" s="189">
        <v>3358.1</v>
      </c>
      <c r="E25" s="190">
        <v>3367.7</v>
      </c>
      <c r="F25" s="190">
        <v>3413.8</v>
      </c>
      <c r="G25" s="190">
        <v>3424.7</v>
      </c>
      <c r="H25" s="190">
        <v>3433.5</v>
      </c>
      <c r="I25" s="189">
        <v>3559.3</v>
      </c>
      <c r="J25" s="190">
        <v>3570.9</v>
      </c>
      <c r="K25" s="189">
        <v>3600.9</v>
      </c>
      <c r="L25" s="84">
        <v>3606.8</v>
      </c>
      <c r="M25" s="89">
        <v>3610.2</v>
      </c>
      <c r="N25" s="102">
        <v>3590.7</v>
      </c>
      <c r="O25" s="176">
        <v>3594.4</v>
      </c>
      <c r="P25" s="89">
        <v>3607.3</v>
      </c>
      <c r="Q25" s="102">
        <v>3617.9</v>
      </c>
      <c r="R25" s="84">
        <v>3645.6</v>
      </c>
      <c r="S25" s="89">
        <v>3672.7</v>
      </c>
      <c r="T25" s="107">
        <v>3683.6</v>
      </c>
      <c r="U25" s="84">
        <v>3750.7</v>
      </c>
      <c r="V25" s="89">
        <v>3672.9</v>
      </c>
      <c r="W25" s="107">
        <v>3673</v>
      </c>
      <c r="X25" s="113">
        <v>3690.1</v>
      </c>
    </row>
    <row r="26" spans="1:26" x14ac:dyDescent="0.35">
      <c r="A26" s="172">
        <v>19</v>
      </c>
      <c r="B26" s="44" t="s">
        <v>1772</v>
      </c>
      <c r="C26" s="191">
        <v>1731.1</v>
      </c>
      <c r="D26" s="191">
        <v>1738</v>
      </c>
      <c r="E26" s="192">
        <v>1745.2</v>
      </c>
      <c r="F26" s="192">
        <v>1766.6</v>
      </c>
      <c r="G26" s="192">
        <v>1788.7</v>
      </c>
      <c r="H26" s="192">
        <v>1811.6</v>
      </c>
      <c r="I26" s="191">
        <v>1736.2</v>
      </c>
      <c r="J26" s="192">
        <v>1744.3</v>
      </c>
      <c r="K26" s="191">
        <v>1752.6</v>
      </c>
      <c r="L26" s="85">
        <v>1753.6</v>
      </c>
      <c r="M26" s="91">
        <v>1754.7</v>
      </c>
      <c r="N26" s="103">
        <v>1756.1</v>
      </c>
      <c r="O26" s="177">
        <v>1766.1</v>
      </c>
      <c r="P26" s="91">
        <v>1776.3</v>
      </c>
      <c r="Q26" s="103">
        <v>1786.7</v>
      </c>
      <c r="R26" s="85">
        <v>1801</v>
      </c>
      <c r="S26" s="91">
        <v>1815.5</v>
      </c>
      <c r="T26" s="108">
        <v>1830.2</v>
      </c>
      <c r="U26" s="85">
        <v>1821.4</v>
      </c>
      <c r="V26" s="91">
        <v>1812.8</v>
      </c>
      <c r="W26" s="108">
        <v>1805.2</v>
      </c>
      <c r="X26" s="114">
        <v>1812.1</v>
      </c>
    </row>
    <row r="27" spans="1:26" x14ac:dyDescent="0.35">
      <c r="A27" s="172">
        <v>20</v>
      </c>
      <c r="B27" s="44" t="s">
        <v>1773</v>
      </c>
      <c r="C27" s="191">
        <v>1619.5</v>
      </c>
      <c r="D27" s="191">
        <v>1620.1</v>
      </c>
      <c r="E27" s="192">
        <v>1622.6</v>
      </c>
      <c r="F27" s="192">
        <v>1647.2</v>
      </c>
      <c r="G27" s="192">
        <v>1636</v>
      </c>
      <c r="H27" s="192">
        <v>1622</v>
      </c>
      <c r="I27" s="191">
        <v>1823.1</v>
      </c>
      <c r="J27" s="192">
        <v>1826.6</v>
      </c>
      <c r="K27" s="191">
        <v>1848.3</v>
      </c>
      <c r="L27" s="85">
        <v>1853.3</v>
      </c>
      <c r="M27" s="91">
        <v>1855.5</v>
      </c>
      <c r="N27" s="103">
        <v>1834.7</v>
      </c>
      <c r="O27" s="177">
        <v>1828.3</v>
      </c>
      <c r="P27" s="91">
        <v>1831</v>
      </c>
      <c r="Q27" s="103">
        <v>1831.2</v>
      </c>
      <c r="R27" s="85">
        <v>1844.6</v>
      </c>
      <c r="S27" s="91">
        <v>1857.2</v>
      </c>
      <c r="T27" s="108">
        <v>1853.4</v>
      </c>
      <c r="U27" s="85">
        <v>1929.3</v>
      </c>
      <c r="V27" s="91">
        <v>1860.1</v>
      </c>
      <c r="W27" s="108">
        <v>1867.8</v>
      </c>
      <c r="X27" s="114">
        <v>1878</v>
      </c>
    </row>
    <row r="28" spans="1:26" x14ac:dyDescent="0.35">
      <c r="A28" s="172">
        <v>21</v>
      </c>
      <c r="B28" s="129" t="s">
        <v>1774</v>
      </c>
      <c r="C28" s="189">
        <v>3891.7</v>
      </c>
      <c r="D28" s="189">
        <v>3893.9</v>
      </c>
      <c r="E28" s="190">
        <v>3892.9</v>
      </c>
      <c r="F28" s="190">
        <v>3981.6</v>
      </c>
      <c r="G28" s="190">
        <v>4002.2</v>
      </c>
      <c r="H28" s="190">
        <v>4010.8</v>
      </c>
      <c r="I28" s="189">
        <v>4083.3</v>
      </c>
      <c r="J28" s="190">
        <v>4108.8</v>
      </c>
      <c r="K28" s="189">
        <v>4115.1000000000004</v>
      </c>
      <c r="L28" s="84">
        <v>4112.3</v>
      </c>
      <c r="M28" s="89">
        <v>4126.8</v>
      </c>
      <c r="N28" s="102">
        <v>4121.3</v>
      </c>
      <c r="O28" s="176">
        <v>4097.8999999999996</v>
      </c>
      <c r="P28" s="89">
        <v>4096.5</v>
      </c>
      <c r="Q28" s="102">
        <v>4086.6</v>
      </c>
      <c r="R28" s="84">
        <v>4083.8</v>
      </c>
      <c r="S28" s="89">
        <v>4082</v>
      </c>
      <c r="T28" s="107">
        <v>4094.6</v>
      </c>
      <c r="U28" s="84">
        <v>4216.7</v>
      </c>
      <c r="V28" s="89">
        <v>4258.3999999999996</v>
      </c>
      <c r="W28" s="107">
        <v>4290.8</v>
      </c>
      <c r="X28" s="113">
        <v>4305.5</v>
      </c>
    </row>
    <row r="29" spans="1:26" x14ac:dyDescent="0.35">
      <c r="A29" s="172">
        <v>22</v>
      </c>
      <c r="B29" s="44" t="s">
        <v>1775</v>
      </c>
      <c r="C29" s="191">
        <v>3821.1</v>
      </c>
      <c r="D29" s="191">
        <v>3824.5</v>
      </c>
      <c r="E29" s="192">
        <v>3823.5</v>
      </c>
      <c r="F29" s="192">
        <v>3912.2</v>
      </c>
      <c r="G29" s="192">
        <v>3932.8</v>
      </c>
      <c r="H29" s="192">
        <v>3941.2</v>
      </c>
      <c r="I29" s="191">
        <v>3983.1</v>
      </c>
      <c r="J29" s="192">
        <v>4007.9</v>
      </c>
      <c r="K29" s="191">
        <v>4013.6</v>
      </c>
      <c r="L29" s="85">
        <v>4010.1</v>
      </c>
      <c r="M29" s="91">
        <v>4024</v>
      </c>
      <c r="N29" s="103">
        <v>4017.8</v>
      </c>
      <c r="O29" s="177">
        <v>3993.8</v>
      </c>
      <c r="P29" s="91">
        <v>3991.8</v>
      </c>
      <c r="Q29" s="103">
        <v>3977.7</v>
      </c>
      <c r="R29" s="85">
        <v>3977.9</v>
      </c>
      <c r="S29" s="91">
        <v>3972.1</v>
      </c>
      <c r="T29" s="108">
        <v>3987.7</v>
      </c>
      <c r="U29" s="85">
        <v>4094.5</v>
      </c>
      <c r="V29" s="91">
        <v>4149</v>
      </c>
      <c r="W29" s="108">
        <v>4180.8999999999996</v>
      </c>
      <c r="X29" s="114">
        <v>4195.1000000000004</v>
      </c>
      <c r="Y29" s="94"/>
      <c r="Z29" s="180"/>
    </row>
    <row r="30" spans="1:26" ht="16.5" customHeight="1" x14ac:dyDescent="0.35">
      <c r="A30" s="87">
        <v>23</v>
      </c>
      <c r="B30" s="96" t="s">
        <v>1776</v>
      </c>
      <c r="C30" s="97">
        <v>1211.0999999999999</v>
      </c>
      <c r="D30" s="97">
        <v>1215.9000000000001</v>
      </c>
      <c r="E30" s="98">
        <v>1216.9000000000001</v>
      </c>
      <c r="F30" s="192">
        <v>1229.0999999999999</v>
      </c>
      <c r="G30" s="192">
        <v>1224.3</v>
      </c>
      <c r="H30" s="192">
        <v>1223.5999999999999</v>
      </c>
      <c r="I30" s="191">
        <v>1335.4</v>
      </c>
      <c r="J30" s="192">
        <v>1340.1</v>
      </c>
      <c r="K30" s="191">
        <v>1344.5</v>
      </c>
      <c r="L30" s="85">
        <v>1349.9</v>
      </c>
      <c r="M30" s="91">
        <v>1354.7</v>
      </c>
      <c r="N30" s="103">
        <v>1356.7</v>
      </c>
      <c r="O30" s="177">
        <v>1358.3</v>
      </c>
      <c r="P30" s="91">
        <v>1362.1</v>
      </c>
      <c r="Q30" s="103">
        <v>1363.4</v>
      </c>
      <c r="R30" s="85">
        <v>1378.6</v>
      </c>
      <c r="S30" s="91">
        <v>1370.3</v>
      </c>
      <c r="T30" s="108">
        <v>1373.8</v>
      </c>
      <c r="U30" s="85">
        <v>1421.9</v>
      </c>
      <c r="V30" s="91">
        <v>1425.6</v>
      </c>
      <c r="W30" s="108">
        <v>1433.2</v>
      </c>
      <c r="X30" s="114">
        <v>1434.2</v>
      </c>
      <c r="Y30" s="99">
        <f>'Social Benefits'!Z70</f>
        <v>1439.4290000000001</v>
      </c>
    </row>
    <row r="31" spans="1:26" ht="16.399999999999999" customHeight="1" x14ac:dyDescent="0.35">
      <c r="A31" s="87">
        <v>24</v>
      </c>
      <c r="B31" s="96" t="s">
        <v>1777</v>
      </c>
      <c r="C31" s="97">
        <v>914.1</v>
      </c>
      <c r="D31" s="97">
        <v>920.1</v>
      </c>
      <c r="E31" s="98">
        <v>926.7</v>
      </c>
      <c r="F31" s="192">
        <v>933.8</v>
      </c>
      <c r="G31" s="192">
        <v>941.5</v>
      </c>
      <c r="H31" s="192">
        <v>949.7</v>
      </c>
      <c r="I31" s="191">
        <v>936.9</v>
      </c>
      <c r="J31" s="192">
        <v>938.1</v>
      </c>
      <c r="K31" s="191">
        <v>939.3</v>
      </c>
      <c r="L31" s="85">
        <v>940.6</v>
      </c>
      <c r="M31" s="91">
        <v>941.9</v>
      </c>
      <c r="N31" s="103">
        <v>943.3</v>
      </c>
      <c r="O31" s="177">
        <v>944.8</v>
      </c>
      <c r="P31" s="91">
        <v>946.3</v>
      </c>
      <c r="Q31" s="103">
        <v>947.9</v>
      </c>
      <c r="R31" s="85">
        <v>949.6</v>
      </c>
      <c r="S31" s="91">
        <v>951.3</v>
      </c>
      <c r="T31" s="108">
        <v>953.1</v>
      </c>
      <c r="U31" s="85">
        <v>960.2</v>
      </c>
      <c r="V31" s="91">
        <v>965.1</v>
      </c>
      <c r="W31" s="108">
        <v>970.5</v>
      </c>
      <c r="X31" s="114">
        <v>976.5</v>
      </c>
      <c r="Y31" s="101">
        <f>Medicare!Z10</f>
        <v>980.56003292022876</v>
      </c>
      <c r="Z31" t="s">
        <v>1952</v>
      </c>
    </row>
    <row r="32" spans="1:26" x14ac:dyDescent="0.35">
      <c r="A32" s="87">
        <v>25</v>
      </c>
      <c r="B32" s="96" t="s">
        <v>54</v>
      </c>
      <c r="C32" s="97">
        <v>790.3</v>
      </c>
      <c r="D32" s="97">
        <v>785.3</v>
      </c>
      <c r="E32" s="98">
        <v>782.8</v>
      </c>
      <c r="F32" s="192">
        <v>791.2</v>
      </c>
      <c r="G32" s="192">
        <v>796.9</v>
      </c>
      <c r="H32" s="192">
        <v>800.6</v>
      </c>
      <c r="I32" s="191">
        <v>856.7</v>
      </c>
      <c r="J32" s="192">
        <v>871.5</v>
      </c>
      <c r="K32" s="191">
        <v>886.1</v>
      </c>
      <c r="L32" s="85">
        <v>908.2</v>
      </c>
      <c r="M32" s="91">
        <v>916.2</v>
      </c>
      <c r="N32" s="103">
        <v>909.8</v>
      </c>
      <c r="O32" s="177">
        <v>893.4</v>
      </c>
      <c r="P32" s="91">
        <v>879.5</v>
      </c>
      <c r="Q32" s="103">
        <v>868.8</v>
      </c>
      <c r="R32" s="85">
        <v>863.5</v>
      </c>
      <c r="S32" s="91">
        <v>865.8</v>
      </c>
      <c r="T32" s="108">
        <v>875.6</v>
      </c>
      <c r="U32" s="85">
        <v>903.2</v>
      </c>
      <c r="V32" s="91">
        <v>924.1</v>
      </c>
      <c r="W32" s="108">
        <v>939.8</v>
      </c>
      <c r="X32" s="114">
        <v>950.2</v>
      </c>
      <c r="Y32" s="101">
        <f>forecast!D11</f>
        <v>974.06810687091604</v>
      </c>
      <c r="Z32" t="s">
        <v>1953</v>
      </c>
    </row>
    <row r="33" spans="1:26" x14ac:dyDescent="0.35">
      <c r="A33" s="87">
        <v>26</v>
      </c>
      <c r="B33" s="96" t="s">
        <v>263</v>
      </c>
      <c r="C33" s="97">
        <v>18.7</v>
      </c>
      <c r="D33" s="97">
        <v>18.899999999999999</v>
      </c>
      <c r="E33" s="98">
        <v>18</v>
      </c>
      <c r="F33" s="192">
        <v>18.899999999999999</v>
      </c>
      <c r="G33" s="192">
        <v>20.6</v>
      </c>
      <c r="H33" s="192">
        <v>21.6</v>
      </c>
      <c r="I33" s="191">
        <v>21.1</v>
      </c>
      <c r="J33" s="192">
        <v>22</v>
      </c>
      <c r="K33" s="191">
        <v>22.8</v>
      </c>
      <c r="L33" s="85">
        <v>22.8</v>
      </c>
      <c r="M33" s="91">
        <v>22.3</v>
      </c>
      <c r="N33" s="103">
        <v>21.6</v>
      </c>
      <c r="O33" s="177">
        <v>21.1</v>
      </c>
      <c r="P33" s="91">
        <v>21.1</v>
      </c>
      <c r="Q33" s="103">
        <v>20.8</v>
      </c>
      <c r="R33" s="85">
        <v>22.1</v>
      </c>
      <c r="S33" s="91">
        <v>23.1</v>
      </c>
      <c r="T33" s="108">
        <v>22.9</v>
      </c>
      <c r="U33" s="85">
        <v>22.6</v>
      </c>
      <c r="V33" s="91">
        <v>22.8</v>
      </c>
      <c r="W33" s="108">
        <v>22.8</v>
      </c>
      <c r="X33" s="114">
        <v>22.5</v>
      </c>
      <c r="Y33" s="101">
        <f>forecast!D9+forecast!D8</f>
        <v>22.5</v>
      </c>
      <c r="Z33">
        <v>22</v>
      </c>
    </row>
    <row r="34" spans="1:26" ht="16.399999999999999" customHeight="1" x14ac:dyDescent="0.35">
      <c r="A34" s="172">
        <v>27</v>
      </c>
      <c r="B34" s="135" t="s">
        <v>1778</v>
      </c>
      <c r="C34" s="191">
        <v>161.1</v>
      </c>
      <c r="D34" s="191">
        <v>161.6</v>
      </c>
      <c r="E34" s="192">
        <v>162.5</v>
      </c>
      <c r="F34" s="192">
        <v>163.19999999999999</v>
      </c>
      <c r="G34" s="192">
        <v>164</v>
      </c>
      <c r="H34" s="192">
        <v>164.8</v>
      </c>
      <c r="I34" s="191">
        <v>173.1</v>
      </c>
      <c r="J34" s="192">
        <v>172.9</v>
      </c>
      <c r="K34" s="191">
        <v>172.7</v>
      </c>
      <c r="L34" s="85">
        <v>172.7</v>
      </c>
      <c r="M34" s="91">
        <v>172.4</v>
      </c>
      <c r="N34" s="103">
        <v>172.5</v>
      </c>
      <c r="O34" s="177">
        <v>172.7</v>
      </c>
      <c r="P34" s="91">
        <v>172.9</v>
      </c>
      <c r="Q34" s="103">
        <v>173</v>
      </c>
      <c r="R34" s="85">
        <v>173.3</v>
      </c>
      <c r="S34" s="91">
        <v>173.6</v>
      </c>
      <c r="T34" s="108">
        <v>173.9</v>
      </c>
      <c r="U34" s="85">
        <v>174.3</v>
      </c>
      <c r="V34" s="91">
        <v>174.7</v>
      </c>
      <c r="W34" s="108">
        <v>175</v>
      </c>
      <c r="X34" s="114">
        <v>175.3</v>
      </c>
    </row>
    <row r="35" spans="1:26" x14ac:dyDescent="0.35">
      <c r="A35" s="172">
        <v>28</v>
      </c>
      <c r="B35" s="135" t="s">
        <v>532</v>
      </c>
      <c r="C35" s="191">
        <v>725.8</v>
      </c>
      <c r="D35" s="191">
        <v>722.7</v>
      </c>
      <c r="E35" s="192">
        <v>716.6</v>
      </c>
      <c r="F35" s="192">
        <v>776</v>
      </c>
      <c r="G35" s="192">
        <v>785.4</v>
      </c>
      <c r="H35" s="192">
        <v>780.9</v>
      </c>
      <c r="I35" s="191">
        <v>659.8</v>
      </c>
      <c r="J35" s="192">
        <v>663.3</v>
      </c>
      <c r="K35" s="191">
        <v>648.20000000000005</v>
      </c>
      <c r="L35" s="85">
        <v>615.9</v>
      </c>
      <c r="M35" s="91">
        <v>616.4</v>
      </c>
      <c r="N35" s="103">
        <v>613.79999999999995</v>
      </c>
      <c r="O35" s="177">
        <v>603.5</v>
      </c>
      <c r="P35" s="91">
        <v>610</v>
      </c>
      <c r="Q35" s="103">
        <v>603.79999999999995</v>
      </c>
      <c r="R35" s="85">
        <v>590.79999999999995</v>
      </c>
      <c r="S35" s="91">
        <v>588.1</v>
      </c>
      <c r="T35" s="108">
        <v>588.29999999999995</v>
      </c>
      <c r="U35" s="85">
        <v>612.29999999999995</v>
      </c>
      <c r="V35" s="91">
        <v>636.79999999999995</v>
      </c>
      <c r="W35" s="108">
        <v>639.6</v>
      </c>
      <c r="X35" s="114">
        <v>636.5</v>
      </c>
    </row>
    <row r="36" spans="1:26" x14ac:dyDescent="0.35">
      <c r="A36" s="172">
        <v>29</v>
      </c>
      <c r="B36" s="132" t="s">
        <v>1779</v>
      </c>
      <c r="C36" s="191">
        <v>70.7</v>
      </c>
      <c r="D36" s="191">
        <v>69.400000000000006</v>
      </c>
      <c r="E36" s="192">
        <v>69.400000000000006</v>
      </c>
      <c r="F36" s="192">
        <v>69.400000000000006</v>
      </c>
      <c r="G36" s="192">
        <v>69.5</v>
      </c>
      <c r="H36" s="192">
        <v>69.599999999999994</v>
      </c>
      <c r="I36" s="191">
        <v>100.2</v>
      </c>
      <c r="J36" s="192">
        <v>100.9</v>
      </c>
      <c r="K36" s="191">
        <v>101.6</v>
      </c>
      <c r="L36" s="85">
        <v>102.2</v>
      </c>
      <c r="M36" s="91">
        <v>102.8</v>
      </c>
      <c r="N36" s="103">
        <v>103.5</v>
      </c>
      <c r="O36" s="177">
        <v>104.1</v>
      </c>
      <c r="P36" s="91">
        <v>104.7</v>
      </c>
      <c r="Q36" s="103">
        <v>108.9</v>
      </c>
      <c r="R36" s="85">
        <v>105.8</v>
      </c>
      <c r="S36" s="91">
        <v>109.9</v>
      </c>
      <c r="T36" s="108">
        <v>106.9</v>
      </c>
      <c r="U36" s="85">
        <v>122.2</v>
      </c>
      <c r="V36" s="91">
        <v>109.4</v>
      </c>
      <c r="W36" s="108">
        <v>109.9</v>
      </c>
      <c r="X36" s="114">
        <v>110.4</v>
      </c>
    </row>
    <row r="37" spans="1:26" x14ac:dyDescent="0.35">
      <c r="A37" s="87">
        <v>30</v>
      </c>
      <c r="B37" s="117" t="s">
        <v>1780</v>
      </c>
      <c r="C37" s="119">
        <v>1683.6</v>
      </c>
      <c r="D37" s="119">
        <v>1695.6</v>
      </c>
      <c r="E37" s="120">
        <v>1707.7</v>
      </c>
      <c r="F37" s="190">
        <v>1704.3</v>
      </c>
      <c r="G37" s="190">
        <v>1703.1</v>
      </c>
      <c r="H37" s="190">
        <v>1703.8</v>
      </c>
      <c r="I37" s="189">
        <v>1765.5</v>
      </c>
      <c r="J37" s="190">
        <v>1774.3</v>
      </c>
      <c r="K37" s="189">
        <v>1782</v>
      </c>
      <c r="L37" s="84">
        <v>1787.4</v>
      </c>
      <c r="M37" s="89">
        <v>1793.6</v>
      </c>
      <c r="N37" s="102">
        <v>1800.9</v>
      </c>
      <c r="O37" s="176">
        <v>1809.2</v>
      </c>
      <c r="P37" s="89">
        <v>1817.6</v>
      </c>
      <c r="Q37" s="102">
        <v>1824.6</v>
      </c>
      <c r="R37" s="84">
        <v>1821.7</v>
      </c>
      <c r="S37" s="89">
        <v>1824.1</v>
      </c>
      <c r="T37" s="107">
        <v>1830.7</v>
      </c>
      <c r="U37" s="84">
        <v>1852.5</v>
      </c>
      <c r="V37" s="89">
        <v>1864.2</v>
      </c>
      <c r="W37" s="107">
        <v>1874.4</v>
      </c>
      <c r="X37" s="113">
        <v>1878.8</v>
      </c>
      <c r="Y37" s="99">
        <f>Taxes!Z12+Taxes!Z23</f>
        <v>1892.9629166831573</v>
      </c>
      <c r="Z37" t="s">
        <v>1954</v>
      </c>
    </row>
    <row r="38" spans="1:26" x14ac:dyDescent="0.35">
      <c r="A38" s="87">
        <v>31</v>
      </c>
      <c r="B38" s="121" t="s">
        <v>242</v>
      </c>
      <c r="C38" s="119">
        <v>3224.2</v>
      </c>
      <c r="D38" s="119">
        <v>3236.7</v>
      </c>
      <c r="E38" s="120">
        <v>3248.6</v>
      </c>
      <c r="F38" s="190">
        <v>3232.7</v>
      </c>
      <c r="G38" s="190">
        <v>3213.6</v>
      </c>
      <c r="H38" s="190">
        <v>3202.1</v>
      </c>
      <c r="I38" s="189">
        <v>2767.2</v>
      </c>
      <c r="J38" s="190">
        <v>2763.4</v>
      </c>
      <c r="K38" s="189">
        <v>2760.4</v>
      </c>
      <c r="L38" s="84">
        <v>2707.4</v>
      </c>
      <c r="M38" s="89">
        <v>2691.2</v>
      </c>
      <c r="N38" s="102">
        <v>2712.9</v>
      </c>
      <c r="O38" s="176">
        <v>2744.1</v>
      </c>
      <c r="P38" s="89">
        <v>2768.2</v>
      </c>
      <c r="Q38" s="102">
        <v>2783.7</v>
      </c>
      <c r="R38" s="84">
        <v>2785.6</v>
      </c>
      <c r="S38" s="89">
        <v>2791.7</v>
      </c>
      <c r="T38" s="107">
        <v>2800.1</v>
      </c>
      <c r="U38" s="84">
        <v>2912.3</v>
      </c>
      <c r="V38" s="89">
        <v>2926.2</v>
      </c>
      <c r="W38" s="107">
        <v>2952</v>
      </c>
      <c r="X38" s="113">
        <v>2977.1</v>
      </c>
      <c r="Y38" s="99">
        <f>Taxes!Z10+Taxes!Z21</f>
        <v>3022.3118360201192</v>
      </c>
      <c r="Z38" t="s">
        <v>1955</v>
      </c>
    </row>
    <row r="39" spans="1:26" x14ac:dyDescent="0.35">
      <c r="A39" s="172">
        <v>32</v>
      </c>
      <c r="B39" s="46" t="s">
        <v>1781</v>
      </c>
      <c r="C39" s="189">
        <v>18628.099999999999</v>
      </c>
      <c r="D39" s="189">
        <v>18739.099999999999</v>
      </c>
      <c r="E39" s="190">
        <v>18831.7</v>
      </c>
      <c r="F39" s="190">
        <v>18969.2</v>
      </c>
      <c r="G39" s="190">
        <v>19026.5</v>
      </c>
      <c r="H39" s="190">
        <v>19079.7</v>
      </c>
      <c r="I39" s="189">
        <v>19758.099999999999</v>
      </c>
      <c r="J39" s="190">
        <v>19885</v>
      </c>
      <c r="K39" s="189">
        <v>19997.5</v>
      </c>
      <c r="L39" s="84">
        <v>20098.7</v>
      </c>
      <c r="M39" s="89">
        <v>20185.400000000001</v>
      </c>
      <c r="N39" s="102">
        <v>20208.400000000001</v>
      </c>
      <c r="O39" s="176">
        <v>20242.2</v>
      </c>
      <c r="P39" s="89">
        <v>20326.400000000001</v>
      </c>
      <c r="Q39" s="102">
        <v>20392.5</v>
      </c>
      <c r="R39" s="84">
        <v>20403.8</v>
      </c>
      <c r="S39" s="89">
        <v>20449.8</v>
      </c>
      <c r="T39" s="107">
        <v>20511.5</v>
      </c>
      <c r="U39" s="84">
        <v>20652.8</v>
      </c>
      <c r="V39" s="89">
        <v>20706.099999999999</v>
      </c>
      <c r="W39" s="107">
        <v>20806.5</v>
      </c>
      <c r="X39" s="113">
        <v>20846.599999999999</v>
      </c>
    </row>
    <row r="40" spans="1:26" x14ac:dyDescent="0.35">
      <c r="A40" s="172">
        <v>33</v>
      </c>
      <c r="B40" s="46" t="s">
        <v>243</v>
      </c>
      <c r="C40" s="189">
        <v>17983.400000000001</v>
      </c>
      <c r="D40" s="189">
        <v>18132.7</v>
      </c>
      <c r="E40" s="190">
        <v>18257.400000000001</v>
      </c>
      <c r="F40" s="190">
        <v>18391.8</v>
      </c>
      <c r="G40" s="190">
        <v>18362.3</v>
      </c>
      <c r="H40" s="190">
        <v>18377.400000000001</v>
      </c>
      <c r="I40" s="189">
        <v>18887</v>
      </c>
      <c r="J40" s="190">
        <v>18959</v>
      </c>
      <c r="K40" s="189">
        <v>18950</v>
      </c>
      <c r="L40" s="84">
        <v>19056.2</v>
      </c>
      <c r="M40" s="89">
        <v>19125.400000000001</v>
      </c>
      <c r="N40" s="102">
        <v>19228.3</v>
      </c>
      <c r="O40" s="176">
        <v>19351.5</v>
      </c>
      <c r="P40" s="89">
        <v>19417</v>
      </c>
      <c r="Q40" s="102">
        <v>19600.900000000001</v>
      </c>
      <c r="R40" s="84">
        <v>19622.8</v>
      </c>
      <c r="S40" s="89">
        <v>19683.8</v>
      </c>
      <c r="T40" s="107">
        <v>19779.3</v>
      </c>
      <c r="U40" s="84">
        <v>19796.7</v>
      </c>
      <c r="V40" s="89">
        <v>19919.400000000001</v>
      </c>
      <c r="W40" s="107">
        <v>20059.400000000001</v>
      </c>
      <c r="X40" s="113">
        <v>20102.2</v>
      </c>
    </row>
    <row r="41" spans="1:26" x14ac:dyDescent="0.35">
      <c r="A41" s="172">
        <v>34</v>
      </c>
      <c r="B41" s="128" t="s">
        <v>1715</v>
      </c>
      <c r="C41" s="191">
        <v>17420.3</v>
      </c>
      <c r="D41" s="191">
        <v>17550.900000000001</v>
      </c>
      <c r="E41" s="192">
        <v>17656.8</v>
      </c>
      <c r="F41" s="192">
        <v>17778.2</v>
      </c>
      <c r="G41" s="192">
        <v>17735</v>
      </c>
      <c r="H41" s="192">
        <v>17736.5</v>
      </c>
      <c r="I41" s="191">
        <v>18229.599999999999</v>
      </c>
      <c r="J41" s="192">
        <v>18296.5</v>
      </c>
      <c r="K41" s="191">
        <v>18282.599999999999</v>
      </c>
      <c r="L41" s="85">
        <v>18363.8</v>
      </c>
      <c r="M41" s="91">
        <v>18407.8</v>
      </c>
      <c r="N41" s="103">
        <v>18485.400000000001</v>
      </c>
      <c r="O41" s="177">
        <v>18595.400000000001</v>
      </c>
      <c r="P41" s="91">
        <v>18651.599999999999</v>
      </c>
      <c r="Q41" s="103">
        <v>18791.5</v>
      </c>
      <c r="R41" s="85">
        <v>18826.8</v>
      </c>
      <c r="S41" s="91">
        <v>18903</v>
      </c>
      <c r="T41" s="108">
        <v>19013.7</v>
      </c>
      <c r="U41" s="85">
        <v>19032.7</v>
      </c>
      <c r="V41" s="91">
        <v>19158.400000000001</v>
      </c>
      <c r="W41" s="108">
        <v>19301.5</v>
      </c>
      <c r="X41" s="114">
        <v>19340.599999999999</v>
      </c>
    </row>
    <row r="42" spans="1:26" ht="16.399999999999999" customHeight="1" x14ac:dyDescent="0.35">
      <c r="A42" s="172">
        <v>35</v>
      </c>
      <c r="B42" s="44" t="s">
        <v>1738</v>
      </c>
      <c r="C42" s="191">
        <v>5988.2</v>
      </c>
      <c r="D42" s="191">
        <v>5981.9</v>
      </c>
      <c r="E42" s="192">
        <v>5995.6</v>
      </c>
      <c r="F42" s="192">
        <v>6064.4</v>
      </c>
      <c r="G42" s="192">
        <v>5974.1</v>
      </c>
      <c r="H42" s="192">
        <v>5901.5</v>
      </c>
      <c r="I42" s="191">
        <v>6148.2</v>
      </c>
      <c r="J42" s="192">
        <v>6164.2</v>
      </c>
      <c r="K42" s="191">
        <v>6089.2</v>
      </c>
      <c r="L42" s="85">
        <v>6139.1</v>
      </c>
      <c r="M42" s="91">
        <v>6144.7</v>
      </c>
      <c r="N42" s="103">
        <v>6150.1</v>
      </c>
      <c r="O42" s="177">
        <v>6188.2</v>
      </c>
      <c r="P42" s="91">
        <v>6228.7</v>
      </c>
      <c r="Q42" s="103">
        <v>6278.4</v>
      </c>
      <c r="R42" s="85">
        <v>6250.7</v>
      </c>
      <c r="S42" s="91">
        <v>6242.4</v>
      </c>
      <c r="T42" s="108">
        <v>6273.8</v>
      </c>
      <c r="U42" s="85">
        <v>6179.8</v>
      </c>
      <c r="V42" s="91">
        <v>6203.5</v>
      </c>
      <c r="W42" s="108">
        <v>6271.1</v>
      </c>
      <c r="X42" s="114">
        <v>6261.1</v>
      </c>
      <c r="Y42" s="94"/>
    </row>
    <row r="43" spans="1:26" ht="16.399999999999999" customHeight="1" x14ac:dyDescent="0.35">
      <c r="A43" s="172">
        <v>36</v>
      </c>
      <c r="B43" s="135" t="s">
        <v>1782</v>
      </c>
      <c r="C43" s="191">
        <v>2189.5</v>
      </c>
      <c r="D43" s="191">
        <v>2197.8000000000002</v>
      </c>
      <c r="E43" s="192">
        <v>2200.1999999999998</v>
      </c>
      <c r="F43" s="192">
        <v>2238.9</v>
      </c>
      <c r="G43" s="192">
        <v>2167.3000000000002</v>
      </c>
      <c r="H43" s="192">
        <v>2134.9</v>
      </c>
      <c r="I43" s="191">
        <v>2213.6999999999998</v>
      </c>
      <c r="J43" s="192">
        <v>2203.6</v>
      </c>
      <c r="K43" s="191">
        <v>2167.3000000000002</v>
      </c>
      <c r="L43" s="85">
        <v>2183.6999999999998</v>
      </c>
      <c r="M43" s="91">
        <v>2202.8000000000002</v>
      </c>
      <c r="N43" s="103">
        <v>2194.1999999999998</v>
      </c>
      <c r="O43" s="177">
        <v>2206.9</v>
      </c>
      <c r="P43" s="91">
        <v>2193.1</v>
      </c>
      <c r="Q43" s="103">
        <v>2213.4</v>
      </c>
      <c r="R43" s="85">
        <v>2191.1</v>
      </c>
      <c r="S43" s="91">
        <v>2195.6999999999998</v>
      </c>
      <c r="T43" s="108">
        <v>2219.8000000000002</v>
      </c>
      <c r="U43" s="85">
        <v>2160.8000000000002</v>
      </c>
      <c r="V43" s="91">
        <v>2181.4</v>
      </c>
      <c r="W43" s="108">
        <v>2187.6</v>
      </c>
      <c r="X43" s="114">
        <v>2180.6999999999998</v>
      </c>
      <c r="Y43" s="94"/>
    </row>
    <row r="44" spans="1:26" ht="16.399999999999999" customHeight="1" x14ac:dyDescent="0.35">
      <c r="A44" s="172">
        <v>37</v>
      </c>
      <c r="B44" s="135" t="s">
        <v>1783</v>
      </c>
      <c r="C44" s="191">
        <v>3798.7</v>
      </c>
      <c r="D44" s="191">
        <v>3784.1</v>
      </c>
      <c r="E44" s="192">
        <v>3795.4</v>
      </c>
      <c r="F44" s="192">
        <v>3825.6</v>
      </c>
      <c r="G44" s="192">
        <v>3806.8</v>
      </c>
      <c r="H44" s="192">
        <v>3766.5</v>
      </c>
      <c r="I44" s="191">
        <v>3934.5</v>
      </c>
      <c r="J44" s="192">
        <v>3960.6</v>
      </c>
      <c r="K44" s="191">
        <v>3921.9</v>
      </c>
      <c r="L44" s="85">
        <v>3955.4</v>
      </c>
      <c r="M44" s="91">
        <v>3941.9</v>
      </c>
      <c r="N44" s="103">
        <v>3955.9</v>
      </c>
      <c r="O44" s="177">
        <v>3981.3</v>
      </c>
      <c r="P44" s="91">
        <v>4035.5</v>
      </c>
      <c r="Q44" s="103">
        <v>4065</v>
      </c>
      <c r="R44" s="85">
        <v>4059.7</v>
      </c>
      <c r="S44" s="91">
        <v>4046.7</v>
      </c>
      <c r="T44" s="108">
        <v>4054</v>
      </c>
      <c r="U44" s="85">
        <v>4019</v>
      </c>
      <c r="V44" s="91">
        <v>4022.1</v>
      </c>
      <c r="W44" s="108">
        <v>4083.5</v>
      </c>
      <c r="X44" s="114">
        <v>4080.4</v>
      </c>
      <c r="Y44" s="94"/>
      <c r="Z44" s="180"/>
    </row>
    <row r="45" spans="1:26" ht="16.399999999999999" customHeight="1" x14ac:dyDescent="0.35">
      <c r="A45" s="172">
        <v>38</v>
      </c>
      <c r="B45" s="44" t="s">
        <v>1739</v>
      </c>
      <c r="C45" s="191">
        <v>11432.1</v>
      </c>
      <c r="D45" s="191">
        <v>11568.9</v>
      </c>
      <c r="E45" s="192">
        <v>11661.2</v>
      </c>
      <c r="F45" s="192">
        <v>11713.7</v>
      </c>
      <c r="G45" s="192">
        <v>11760.9</v>
      </c>
      <c r="H45" s="192">
        <v>11835</v>
      </c>
      <c r="I45" s="191">
        <v>12081.4</v>
      </c>
      <c r="J45" s="192">
        <v>12132.4</v>
      </c>
      <c r="K45" s="191">
        <v>12193.4</v>
      </c>
      <c r="L45" s="85">
        <v>12224.7</v>
      </c>
      <c r="M45" s="91">
        <v>12263</v>
      </c>
      <c r="N45" s="103">
        <v>12335.3</v>
      </c>
      <c r="O45" s="177">
        <v>12407.2</v>
      </c>
      <c r="P45" s="91">
        <v>12422.9</v>
      </c>
      <c r="Q45" s="103">
        <v>12513</v>
      </c>
      <c r="R45" s="85">
        <v>12576.1</v>
      </c>
      <c r="S45" s="91">
        <v>12660.5</v>
      </c>
      <c r="T45" s="108">
        <v>12739.9</v>
      </c>
      <c r="U45" s="85">
        <v>12852.9</v>
      </c>
      <c r="V45" s="91">
        <v>12954.9</v>
      </c>
      <c r="W45" s="108">
        <v>13030.5</v>
      </c>
      <c r="X45" s="114">
        <v>13079.6</v>
      </c>
      <c r="Y45" s="94"/>
      <c r="Z45" s="180"/>
    </row>
    <row r="46" spans="1:26" ht="16.399999999999999" customHeight="1" x14ac:dyDescent="0.35">
      <c r="A46" s="172">
        <v>39</v>
      </c>
      <c r="B46" s="128" t="s">
        <v>1784</v>
      </c>
      <c r="C46" s="191">
        <v>338.7</v>
      </c>
      <c r="D46" s="191">
        <v>357.1</v>
      </c>
      <c r="E46" s="192">
        <v>375.6</v>
      </c>
      <c r="F46" s="192">
        <v>389.1</v>
      </c>
      <c r="G46" s="192">
        <v>402.6</v>
      </c>
      <c r="H46" s="192">
        <v>416.1</v>
      </c>
      <c r="I46" s="191">
        <v>415</v>
      </c>
      <c r="J46" s="192">
        <v>419.8</v>
      </c>
      <c r="K46" s="191">
        <v>424.7</v>
      </c>
      <c r="L46" s="85">
        <v>449.7</v>
      </c>
      <c r="M46" s="91">
        <v>474.7</v>
      </c>
      <c r="N46" s="103">
        <v>499.8</v>
      </c>
      <c r="O46" s="177">
        <v>510</v>
      </c>
      <c r="P46" s="91">
        <v>519</v>
      </c>
      <c r="Q46" s="103">
        <v>562.79999999999995</v>
      </c>
      <c r="R46" s="85">
        <v>547.29999999999995</v>
      </c>
      <c r="S46" s="91">
        <v>531.70000000000005</v>
      </c>
      <c r="T46" s="108">
        <v>516.1</v>
      </c>
      <c r="U46" s="85">
        <v>512.70000000000005</v>
      </c>
      <c r="V46" s="91">
        <v>509.3</v>
      </c>
      <c r="W46" s="108">
        <v>505.9</v>
      </c>
      <c r="X46" s="114">
        <v>509.3</v>
      </c>
      <c r="Y46" s="94"/>
      <c r="Z46" s="180"/>
    </row>
    <row r="47" spans="1:26" x14ac:dyDescent="0.35">
      <c r="A47" s="172">
        <v>40</v>
      </c>
      <c r="B47" s="128" t="s">
        <v>1785</v>
      </c>
      <c r="C47" s="191">
        <v>224.4</v>
      </c>
      <c r="D47" s="191">
        <v>224.7</v>
      </c>
      <c r="E47" s="192">
        <v>225</v>
      </c>
      <c r="F47" s="192">
        <v>224.5</v>
      </c>
      <c r="G47" s="192">
        <v>224.7</v>
      </c>
      <c r="H47" s="192">
        <v>224.8</v>
      </c>
      <c r="I47" s="191">
        <v>242.4</v>
      </c>
      <c r="J47" s="192">
        <v>242.6</v>
      </c>
      <c r="K47" s="191">
        <v>242.8</v>
      </c>
      <c r="L47" s="85">
        <v>242.6</v>
      </c>
      <c r="M47" s="91">
        <v>242.9</v>
      </c>
      <c r="N47" s="103">
        <v>243.1</v>
      </c>
      <c r="O47" s="177">
        <v>246.1</v>
      </c>
      <c r="P47" s="91">
        <v>246.4</v>
      </c>
      <c r="Q47" s="103">
        <v>246.7</v>
      </c>
      <c r="R47" s="85">
        <v>248.8</v>
      </c>
      <c r="S47" s="91">
        <v>249.1</v>
      </c>
      <c r="T47" s="108">
        <v>249.5</v>
      </c>
      <c r="U47" s="85">
        <v>251.3</v>
      </c>
      <c r="V47" s="91">
        <v>251.6</v>
      </c>
      <c r="W47" s="108">
        <v>252</v>
      </c>
      <c r="X47" s="114">
        <v>252.2</v>
      </c>
      <c r="Y47" s="94"/>
      <c r="Z47" s="180"/>
    </row>
    <row r="48" spans="1:26" x14ac:dyDescent="0.35">
      <c r="A48" s="172">
        <v>41</v>
      </c>
      <c r="B48" s="44" t="s">
        <v>1786</v>
      </c>
      <c r="C48" s="191">
        <v>116.1</v>
      </c>
      <c r="D48" s="191">
        <v>116.4</v>
      </c>
      <c r="E48" s="192">
        <v>116.7</v>
      </c>
      <c r="F48" s="192">
        <v>116.9</v>
      </c>
      <c r="G48" s="192">
        <v>117.1</v>
      </c>
      <c r="H48" s="192">
        <v>117.2</v>
      </c>
      <c r="I48" s="191">
        <v>129.5</v>
      </c>
      <c r="J48" s="192">
        <v>129.69999999999999</v>
      </c>
      <c r="K48" s="191">
        <v>129.9</v>
      </c>
      <c r="L48" s="85">
        <v>130.1</v>
      </c>
      <c r="M48" s="91">
        <v>130.4</v>
      </c>
      <c r="N48" s="103">
        <v>130.6</v>
      </c>
      <c r="O48" s="177">
        <v>130.9</v>
      </c>
      <c r="P48" s="91">
        <v>131.19999999999999</v>
      </c>
      <c r="Q48" s="103">
        <v>131.5</v>
      </c>
      <c r="R48" s="85">
        <v>131.80000000000001</v>
      </c>
      <c r="S48" s="91">
        <v>132.1</v>
      </c>
      <c r="T48" s="108">
        <v>132.5</v>
      </c>
      <c r="U48" s="85">
        <v>132.9</v>
      </c>
      <c r="V48" s="91">
        <v>133.30000000000001</v>
      </c>
      <c r="W48" s="108">
        <v>133.6</v>
      </c>
      <c r="X48" s="114">
        <v>133.9</v>
      </c>
      <c r="Y48" s="94"/>
      <c r="Z48" s="180"/>
    </row>
    <row r="49" spans="1:26" x14ac:dyDescent="0.35">
      <c r="A49" s="172">
        <v>42</v>
      </c>
      <c r="B49" s="44" t="s">
        <v>1787</v>
      </c>
      <c r="C49" s="191">
        <v>108.3</v>
      </c>
      <c r="D49" s="191">
        <v>108.3</v>
      </c>
      <c r="E49" s="192">
        <v>108.3</v>
      </c>
      <c r="F49" s="192">
        <v>107.6</v>
      </c>
      <c r="G49" s="192">
        <v>107.6</v>
      </c>
      <c r="H49" s="192">
        <v>107.6</v>
      </c>
      <c r="I49" s="191">
        <v>112.9</v>
      </c>
      <c r="J49" s="192">
        <v>112.9</v>
      </c>
      <c r="K49" s="191">
        <v>112.9</v>
      </c>
      <c r="L49" s="85">
        <v>112.5</v>
      </c>
      <c r="M49" s="91">
        <v>112.5</v>
      </c>
      <c r="N49" s="103">
        <v>112.5</v>
      </c>
      <c r="O49" s="177">
        <v>115.2</v>
      </c>
      <c r="P49" s="91">
        <v>115.2</v>
      </c>
      <c r="Q49" s="103">
        <v>115.2</v>
      </c>
      <c r="R49" s="85">
        <v>117</v>
      </c>
      <c r="S49" s="91">
        <v>117</v>
      </c>
      <c r="T49" s="108">
        <v>117</v>
      </c>
      <c r="U49" s="85">
        <v>118.4</v>
      </c>
      <c r="V49" s="91">
        <v>118.4</v>
      </c>
      <c r="W49" s="108">
        <v>118.4</v>
      </c>
      <c r="X49" s="114">
        <v>118.4</v>
      </c>
      <c r="Y49" s="94"/>
      <c r="Z49" s="180"/>
    </row>
    <row r="50" spans="1:26" x14ac:dyDescent="0.35">
      <c r="A50" s="172">
        <v>43</v>
      </c>
      <c r="B50" s="46" t="s">
        <v>244</v>
      </c>
      <c r="C50" s="189">
        <v>644.70000000000005</v>
      </c>
      <c r="D50" s="189">
        <v>606.4</v>
      </c>
      <c r="E50" s="190">
        <v>574.4</v>
      </c>
      <c r="F50" s="190">
        <v>577.4</v>
      </c>
      <c r="G50" s="190">
        <v>664.1</v>
      </c>
      <c r="H50" s="190">
        <v>702.3</v>
      </c>
      <c r="I50" s="189">
        <v>871.1</v>
      </c>
      <c r="J50" s="190">
        <v>926</v>
      </c>
      <c r="K50" s="189">
        <v>1047.5</v>
      </c>
      <c r="L50" s="84">
        <v>1042.5</v>
      </c>
      <c r="M50" s="89">
        <v>1060</v>
      </c>
      <c r="N50" s="102">
        <v>980.1</v>
      </c>
      <c r="O50" s="176">
        <v>890.7</v>
      </c>
      <c r="P50" s="89">
        <v>909.4</v>
      </c>
      <c r="Q50" s="102">
        <v>791.6</v>
      </c>
      <c r="R50" s="84">
        <v>781</v>
      </c>
      <c r="S50" s="89">
        <v>766</v>
      </c>
      <c r="T50" s="107">
        <v>732.3</v>
      </c>
      <c r="U50" s="84">
        <v>856.1</v>
      </c>
      <c r="V50" s="89">
        <v>786.7</v>
      </c>
      <c r="W50" s="107">
        <v>747.1</v>
      </c>
      <c r="X50" s="113">
        <v>744.5</v>
      </c>
      <c r="Y50" s="74"/>
    </row>
    <row r="51" spans="1:26" x14ac:dyDescent="0.35">
      <c r="A51" s="173">
        <v>44</v>
      </c>
      <c r="B51" s="161" t="s">
        <v>1788</v>
      </c>
      <c r="C51" s="189">
        <v>3.5</v>
      </c>
      <c r="D51" s="189">
        <v>3.2</v>
      </c>
      <c r="E51" s="190">
        <v>3</v>
      </c>
      <c r="F51" s="190">
        <v>3</v>
      </c>
      <c r="G51" s="190">
        <v>3.5</v>
      </c>
      <c r="H51" s="190">
        <v>3.7</v>
      </c>
      <c r="I51" s="189">
        <v>4.4000000000000004</v>
      </c>
      <c r="J51" s="190">
        <v>4.7</v>
      </c>
      <c r="K51" s="189">
        <v>5.2</v>
      </c>
      <c r="L51" s="84">
        <v>5.2</v>
      </c>
      <c r="M51" s="89">
        <v>5.3</v>
      </c>
      <c r="N51" s="102">
        <v>4.8</v>
      </c>
      <c r="O51" s="176">
        <v>4.4000000000000004</v>
      </c>
      <c r="P51" s="89">
        <v>4.5</v>
      </c>
      <c r="Q51" s="102">
        <v>3.9</v>
      </c>
      <c r="R51" s="84">
        <v>3.8</v>
      </c>
      <c r="S51" s="89">
        <v>3.7</v>
      </c>
      <c r="T51" s="107">
        <v>3.6</v>
      </c>
      <c r="U51" s="84">
        <v>4.0999999999999996</v>
      </c>
      <c r="V51" s="89">
        <v>3.8</v>
      </c>
      <c r="W51" s="107">
        <v>3.6</v>
      </c>
      <c r="X51" s="113">
        <v>3.6</v>
      </c>
      <c r="Y51" s="74"/>
    </row>
    <row r="52" spans="1:26" x14ac:dyDescent="0.35">
      <c r="A52" s="172"/>
      <c r="B52" s="46" t="s">
        <v>1740</v>
      </c>
      <c r="C52" s="189"/>
      <c r="D52" s="189"/>
      <c r="E52" s="190"/>
      <c r="F52" s="190"/>
      <c r="G52" s="190"/>
      <c r="H52" s="190"/>
      <c r="I52" s="189"/>
      <c r="J52" s="190"/>
      <c r="K52" s="189"/>
      <c r="L52" s="84"/>
      <c r="M52" s="89"/>
      <c r="N52" s="102"/>
      <c r="O52" s="176"/>
      <c r="P52" s="89"/>
      <c r="Q52" s="102"/>
      <c r="R52" s="84"/>
      <c r="S52" s="89"/>
      <c r="T52" s="107"/>
      <c r="U52" s="84"/>
      <c r="V52" s="89"/>
      <c r="W52" s="107"/>
      <c r="X52" s="113"/>
    </row>
    <row r="53" spans="1:26" ht="31" customHeight="1" x14ac:dyDescent="0.35">
      <c r="A53" s="173">
        <v>45</v>
      </c>
      <c r="B53" s="161" t="s">
        <v>1789</v>
      </c>
      <c r="C53" s="189">
        <v>14559.1</v>
      </c>
      <c r="D53" s="189">
        <v>14618.2</v>
      </c>
      <c r="E53" s="190">
        <v>14653.2</v>
      </c>
      <c r="F53" s="190">
        <v>14618.1</v>
      </c>
      <c r="G53" s="190">
        <v>14607</v>
      </c>
      <c r="H53" s="190">
        <v>14604.2</v>
      </c>
      <c r="I53" s="189">
        <v>15496.1</v>
      </c>
      <c r="J53" s="190">
        <v>15529.2</v>
      </c>
      <c r="K53" s="189">
        <v>15596.8</v>
      </c>
      <c r="L53" s="84">
        <v>15592.2</v>
      </c>
      <c r="M53" s="89">
        <v>15622.4</v>
      </c>
      <c r="N53" s="102">
        <v>15638</v>
      </c>
      <c r="O53" s="176">
        <v>15691.7</v>
      </c>
      <c r="P53" s="89">
        <v>15726.6</v>
      </c>
      <c r="Q53" s="102">
        <v>15741.9</v>
      </c>
      <c r="R53" s="84">
        <v>15749.7</v>
      </c>
      <c r="S53" s="89">
        <v>15795.9</v>
      </c>
      <c r="T53" s="107">
        <v>15823.3</v>
      </c>
      <c r="U53" s="84">
        <v>15868</v>
      </c>
      <c r="V53" s="89">
        <v>15835.4</v>
      </c>
      <c r="W53" s="107">
        <v>15858.4</v>
      </c>
      <c r="X53" s="113">
        <v>15858.9</v>
      </c>
    </row>
    <row r="54" spans="1:26" x14ac:dyDescent="0.35">
      <c r="A54" s="172"/>
      <c r="B54" s="129" t="s">
        <v>1790</v>
      </c>
      <c r="C54" s="189"/>
      <c r="D54" s="189"/>
      <c r="E54" s="190"/>
      <c r="F54" s="190"/>
      <c r="G54" s="190"/>
      <c r="H54" s="190"/>
      <c r="I54" s="189"/>
      <c r="J54" s="190"/>
      <c r="K54" s="189"/>
      <c r="L54" s="84"/>
      <c r="M54" s="89"/>
      <c r="N54" s="102"/>
      <c r="O54" s="176"/>
      <c r="P54" s="89"/>
      <c r="Q54" s="102"/>
      <c r="R54" s="84"/>
      <c r="S54" s="89"/>
      <c r="T54" s="107"/>
      <c r="U54" s="84"/>
      <c r="V54" s="89"/>
      <c r="W54" s="107"/>
      <c r="X54" s="113"/>
    </row>
    <row r="55" spans="1:26" ht="16.399999999999999" customHeight="1" x14ac:dyDescent="0.35">
      <c r="A55" s="172">
        <v>46</v>
      </c>
      <c r="B55" s="132" t="s">
        <v>1791</v>
      </c>
      <c r="C55" s="191">
        <v>15100.2</v>
      </c>
      <c r="D55" s="191">
        <v>15149.6</v>
      </c>
      <c r="E55" s="192">
        <v>15172.2</v>
      </c>
      <c r="F55" s="192">
        <v>15218.9</v>
      </c>
      <c r="G55" s="192">
        <v>15238.7</v>
      </c>
      <c r="H55" s="192">
        <v>15250.6</v>
      </c>
      <c r="I55" s="191">
        <v>16601.900000000001</v>
      </c>
      <c r="J55" s="192">
        <v>16656.099999999999</v>
      </c>
      <c r="K55" s="191">
        <v>16730.2</v>
      </c>
      <c r="L55" s="85">
        <v>16763.900000000001</v>
      </c>
      <c r="M55" s="91">
        <v>16818.5</v>
      </c>
      <c r="N55" s="103">
        <v>16809.5</v>
      </c>
      <c r="O55" s="177">
        <v>16816.400000000001</v>
      </c>
      <c r="P55" s="91">
        <v>16826.2</v>
      </c>
      <c r="Q55" s="103">
        <v>16816.3</v>
      </c>
      <c r="R55" s="85">
        <v>16819.900000000001</v>
      </c>
      <c r="S55" s="91">
        <v>16859.599999999999</v>
      </c>
      <c r="T55" s="108">
        <v>16889.2</v>
      </c>
      <c r="U55" s="85">
        <v>16937.8</v>
      </c>
      <c r="V55" s="91">
        <v>16924.3</v>
      </c>
      <c r="W55" s="108">
        <v>16949</v>
      </c>
      <c r="X55" s="114">
        <v>16938.2</v>
      </c>
    </row>
    <row r="56" spans="1:26" x14ac:dyDescent="0.35">
      <c r="A56" s="172"/>
      <c r="B56" s="44" t="s">
        <v>1792</v>
      </c>
      <c r="C56" s="191"/>
      <c r="D56" s="191"/>
      <c r="E56" s="192"/>
      <c r="F56" s="192"/>
      <c r="G56" s="192"/>
      <c r="H56" s="192"/>
      <c r="I56" s="191"/>
      <c r="J56" s="192"/>
      <c r="K56" s="191"/>
      <c r="L56" s="85"/>
      <c r="M56" s="91"/>
      <c r="N56" s="103"/>
      <c r="O56" s="177"/>
      <c r="P56" s="91"/>
      <c r="Q56" s="103"/>
      <c r="R56" s="85"/>
      <c r="S56" s="91"/>
      <c r="T56" s="108"/>
      <c r="U56" s="85"/>
      <c r="V56" s="91"/>
      <c r="W56" s="108"/>
      <c r="X56" s="114"/>
    </row>
    <row r="57" spans="1:26" x14ac:dyDescent="0.35">
      <c r="A57" s="172">
        <v>47</v>
      </c>
      <c r="B57" s="135" t="s">
        <v>1793</v>
      </c>
      <c r="C57" s="193">
        <v>55836</v>
      </c>
      <c r="D57" s="193">
        <v>56139</v>
      </c>
      <c r="E57" s="194">
        <v>56387</v>
      </c>
      <c r="F57" s="194">
        <v>56770</v>
      </c>
      <c r="G57" s="194">
        <v>56917</v>
      </c>
      <c r="H57" s="194">
        <v>57053</v>
      </c>
      <c r="I57" s="193">
        <v>59062</v>
      </c>
      <c r="J57" s="194">
        <v>59423</v>
      </c>
      <c r="K57" s="193">
        <v>59738</v>
      </c>
      <c r="L57" s="86">
        <v>60018</v>
      </c>
      <c r="M57" s="92">
        <v>60253</v>
      </c>
      <c r="N57" s="104">
        <v>60309</v>
      </c>
      <c r="O57" s="178">
        <v>60380</v>
      </c>
      <c r="P57" s="92">
        <v>60598</v>
      </c>
      <c r="Q57" s="104">
        <v>60762</v>
      </c>
      <c r="R57" s="86">
        <v>60767</v>
      </c>
      <c r="S57" s="92">
        <v>60876</v>
      </c>
      <c r="T57" s="109">
        <v>61033</v>
      </c>
      <c r="U57" s="86">
        <v>61431</v>
      </c>
      <c r="V57" s="92">
        <v>61569</v>
      </c>
      <c r="W57" s="109">
        <v>61846</v>
      </c>
      <c r="X57" s="115">
        <v>61942</v>
      </c>
    </row>
    <row r="58" spans="1:26" x14ac:dyDescent="0.35">
      <c r="A58" s="172">
        <v>48</v>
      </c>
      <c r="B58" s="135" t="s">
        <v>1794</v>
      </c>
      <c r="C58" s="193">
        <v>45261</v>
      </c>
      <c r="D58" s="193">
        <v>45385</v>
      </c>
      <c r="E58" s="194">
        <v>45429</v>
      </c>
      <c r="F58" s="194">
        <v>45546</v>
      </c>
      <c r="G58" s="194">
        <v>45586</v>
      </c>
      <c r="H58" s="194">
        <v>45603</v>
      </c>
      <c r="I58" s="193">
        <v>49627</v>
      </c>
      <c r="J58" s="194">
        <v>49774</v>
      </c>
      <c r="K58" s="193">
        <v>49978</v>
      </c>
      <c r="L58" s="86">
        <v>50060</v>
      </c>
      <c r="M58" s="92">
        <v>50203</v>
      </c>
      <c r="N58" s="104">
        <v>50166</v>
      </c>
      <c r="O58" s="178">
        <v>50161</v>
      </c>
      <c r="P58" s="92">
        <v>50163</v>
      </c>
      <c r="Q58" s="104">
        <v>50106</v>
      </c>
      <c r="R58" s="86">
        <v>50093</v>
      </c>
      <c r="S58" s="92">
        <v>50188</v>
      </c>
      <c r="T58" s="109">
        <v>50255</v>
      </c>
      <c r="U58" s="86">
        <v>50381</v>
      </c>
      <c r="V58" s="92">
        <v>50324</v>
      </c>
      <c r="W58" s="109">
        <v>50380</v>
      </c>
      <c r="X58" s="115">
        <v>50329</v>
      </c>
    </row>
    <row r="59" spans="1:26" ht="15" customHeight="1" x14ac:dyDescent="0.35">
      <c r="A59" s="174">
        <v>49</v>
      </c>
      <c r="B59" s="128" t="s">
        <v>1795</v>
      </c>
      <c r="C59" s="195">
        <v>333624</v>
      </c>
      <c r="D59" s="195">
        <v>333799</v>
      </c>
      <c r="E59" s="79">
        <v>333976</v>
      </c>
      <c r="F59" s="79">
        <v>334141</v>
      </c>
      <c r="G59" s="79">
        <v>334287</v>
      </c>
      <c r="H59" s="79">
        <v>334420</v>
      </c>
      <c r="I59" s="195">
        <v>334533</v>
      </c>
      <c r="J59" s="79">
        <v>334637</v>
      </c>
      <c r="K59" s="195">
        <v>334753</v>
      </c>
      <c r="L59" s="111">
        <v>334880</v>
      </c>
      <c r="M59" s="93">
        <v>335013</v>
      </c>
      <c r="N59" s="105">
        <v>335080</v>
      </c>
      <c r="O59" s="179">
        <v>335248</v>
      </c>
      <c r="P59" s="93">
        <v>335431</v>
      </c>
      <c r="Q59" s="105">
        <v>335612</v>
      </c>
      <c r="R59" s="111">
        <v>335773</v>
      </c>
      <c r="S59" s="93">
        <v>335925</v>
      </c>
      <c r="T59" s="110">
        <v>336070</v>
      </c>
      <c r="U59" s="111">
        <v>336194</v>
      </c>
      <c r="V59" s="93">
        <v>336306</v>
      </c>
      <c r="W59" s="110">
        <v>336423</v>
      </c>
      <c r="X59" s="116">
        <v>336550</v>
      </c>
    </row>
    <row r="60" spans="1:26" x14ac:dyDescent="0.35">
      <c r="A60" s="1275" t="s">
        <v>1796</v>
      </c>
      <c r="B60" s="1275"/>
      <c r="C60" s="1275"/>
      <c r="D60" s="1275"/>
      <c r="E60" s="1275"/>
      <c r="F60" s="1275"/>
      <c r="G60" s="1275"/>
      <c r="H60" s="1275"/>
      <c r="I60" s="1275"/>
      <c r="J60" s="1275"/>
      <c r="K60" s="185"/>
      <c r="L60" s="152"/>
      <c r="M60" s="164"/>
      <c r="N60" s="139"/>
      <c r="O60" s="152"/>
      <c r="P60" s="164"/>
      <c r="Q60" s="139"/>
      <c r="R60" s="152"/>
      <c r="S60" s="164"/>
      <c r="T60" s="139"/>
      <c r="U60" s="152"/>
      <c r="V60" s="164"/>
      <c r="W60" s="139"/>
      <c r="X60" s="152"/>
    </row>
    <row r="61" spans="1:26" x14ac:dyDescent="0.35">
      <c r="A61" s="1258" t="s">
        <v>1797</v>
      </c>
      <c r="B61" s="1258"/>
      <c r="C61" s="1258"/>
      <c r="D61" s="1258"/>
      <c r="E61" s="1258"/>
      <c r="F61" s="1258"/>
      <c r="G61" s="1258"/>
      <c r="H61" s="1258"/>
      <c r="I61" s="1258"/>
      <c r="J61" s="1258"/>
      <c r="K61" s="122"/>
      <c r="L61" s="153"/>
      <c r="M61" s="165"/>
      <c r="N61" s="140"/>
      <c r="O61" s="153"/>
      <c r="P61" s="165"/>
      <c r="Q61" s="140"/>
      <c r="R61" s="153"/>
      <c r="S61" s="165"/>
      <c r="T61" s="140"/>
      <c r="U61" s="153"/>
      <c r="V61" s="165"/>
      <c r="W61" s="140"/>
      <c r="X61" s="153"/>
    </row>
    <row r="62" spans="1:26" x14ac:dyDescent="0.35">
      <c r="A62" s="1258" t="s">
        <v>1798</v>
      </c>
      <c r="B62" s="1258"/>
      <c r="C62" s="1258"/>
      <c r="D62" s="1258"/>
      <c r="E62" s="1258"/>
      <c r="F62" s="1258"/>
      <c r="G62" s="1258"/>
      <c r="H62" s="1258"/>
      <c r="I62" s="1258"/>
      <c r="J62" s="1258"/>
      <c r="K62" s="122"/>
      <c r="L62" s="153"/>
      <c r="M62" s="165"/>
      <c r="N62" s="140"/>
      <c r="O62" s="153"/>
      <c r="P62" s="165"/>
      <c r="Q62" s="140"/>
      <c r="R62" s="153"/>
      <c r="S62" s="165"/>
      <c r="T62" s="140"/>
      <c r="U62" s="153"/>
      <c r="V62" s="165"/>
      <c r="W62" s="140"/>
      <c r="X62" s="153"/>
    </row>
    <row r="63" spans="1:26" x14ac:dyDescent="0.35">
      <c r="A63" s="1258" t="s">
        <v>1799</v>
      </c>
      <c r="B63" s="1258"/>
      <c r="C63" s="1258"/>
      <c r="D63" s="1258"/>
      <c r="E63" s="1258"/>
      <c r="F63" s="1258"/>
      <c r="G63" s="1258"/>
      <c r="H63" s="1258"/>
      <c r="I63" s="1258"/>
      <c r="J63" s="1258"/>
      <c r="K63" s="122"/>
      <c r="L63" s="153"/>
      <c r="M63" s="165"/>
      <c r="N63" s="140"/>
      <c r="O63" s="153"/>
      <c r="P63" s="165"/>
      <c r="Q63" s="140"/>
      <c r="R63" s="153"/>
      <c r="S63" s="165"/>
      <c r="T63" s="140"/>
      <c r="U63" s="153"/>
      <c r="V63" s="165"/>
      <c r="W63" s="140"/>
      <c r="X63" s="153"/>
    </row>
    <row r="64" spans="1:26" x14ac:dyDescent="0.35">
      <c r="A64" s="1258" t="s">
        <v>1800</v>
      </c>
      <c r="B64" s="1258"/>
      <c r="C64" s="1258"/>
      <c r="D64" s="1258"/>
      <c r="E64" s="1258"/>
      <c r="F64" s="1258"/>
      <c r="G64" s="1258"/>
      <c r="H64" s="1258"/>
      <c r="I64" s="1258"/>
      <c r="J64" s="1258"/>
      <c r="K64" s="122"/>
      <c r="L64" s="153"/>
      <c r="M64" s="165"/>
      <c r="N64" s="140"/>
      <c r="O64" s="153"/>
      <c r="P64" s="165"/>
      <c r="Q64" s="140"/>
      <c r="R64" s="153"/>
      <c r="S64" s="165"/>
      <c r="T64" s="140"/>
      <c r="U64" s="153"/>
      <c r="V64" s="165"/>
      <c r="W64" s="140"/>
      <c r="X64" s="153"/>
    </row>
    <row r="65" spans="1:24" x14ac:dyDescent="0.35">
      <c r="A65" s="1258" t="s">
        <v>1801</v>
      </c>
      <c r="B65" s="1258"/>
      <c r="C65" s="1258"/>
      <c r="D65" s="1258"/>
      <c r="E65" s="1258"/>
      <c r="F65" s="1258"/>
      <c r="G65" s="1258"/>
      <c r="H65" s="1258"/>
      <c r="I65" s="1258"/>
      <c r="J65" s="1258"/>
      <c r="K65" s="122"/>
      <c r="L65" s="153"/>
      <c r="M65" s="165"/>
      <c r="N65" s="140"/>
      <c r="O65" s="153"/>
      <c r="P65" s="165"/>
      <c r="Q65" s="140"/>
      <c r="R65" s="153"/>
      <c r="S65" s="165"/>
      <c r="T65" s="140"/>
      <c r="U65" s="153"/>
      <c r="V65" s="165"/>
      <c r="W65" s="140"/>
      <c r="X65" s="153"/>
    </row>
    <row r="66" spans="1:24" ht="14.5" customHeight="1" x14ac:dyDescent="0.35">
      <c r="A66" s="1258" t="s">
        <v>1802</v>
      </c>
      <c r="B66" s="1258"/>
      <c r="C66" s="1258"/>
      <c r="D66" s="1258"/>
      <c r="E66" s="1258"/>
      <c r="F66" s="1258"/>
      <c r="G66" s="1258"/>
      <c r="H66" s="1258"/>
      <c r="I66" s="1258"/>
      <c r="J66" s="1258"/>
      <c r="K66" s="122"/>
      <c r="L66" s="153"/>
      <c r="M66" s="165"/>
      <c r="N66" s="140"/>
      <c r="O66" s="153"/>
      <c r="P66" s="165"/>
      <c r="Q66" s="140"/>
      <c r="R66" s="153"/>
      <c r="S66" s="165"/>
      <c r="T66" s="140"/>
      <c r="U66" s="153"/>
      <c r="V66" s="165"/>
      <c r="W66" s="140"/>
      <c r="X66" s="153"/>
    </row>
    <row r="67" spans="1:24" ht="14.5" customHeight="1" x14ac:dyDescent="0.35">
      <c r="A67" s="1259" t="s">
        <v>1803</v>
      </c>
      <c r="B67" s="1259"/>
      <c r="C67" s="1259"/>
      <c r="D67" s="1259"/>
      <c r="E67" s="1259"/>
      <c r="F67" s="1259"/>
      <c r="G67" s="1259"/>
      <c r="H67" s="1259"/>
      <c r="I67" s="1259"/>
      <c r="J67" s="1259"/>
      <c r="K67" s="127"/>
      <c r="L67" s="154"/>
      <c r="M67" s="167"/>
      <c r="N67" s="141"/>
      <c r="O67" s="154"/>
      <c r="P67" s="167"/>
      <c r="Q67" s="141"/>
      <c r="R67" s="154"/>
      <c r="S67" s="167"/>
      <c r="T67" s="141"/>
      <c r="U67" s="154"/>
      <c r="V67" s="167"/>
      <c r="W67" s="141"/>
      <c r="X67" s="154"/>
    </row>
    <row r="68" spans="1:24" ht="14.5" customHeight="1" x14ac:dyDescent="0.35">
      <c r="A68" s="1260" t="s">
        <v>246</v>
      </c>
      <c r="B68" s="1260"/>
      <c r="C68" s="1260"/>
      <c r="D68" s="1260"/>
      <c r="E68" s="1260"/>
      <c r="F68" s="1260"/>
      <c r="G68" s="1260"/>
      <c r="H68" s="1260"/>
      <c r="I68" s="1260"/>
      <c r="J68" s="1260"/>
      <c r="K68" s="128"/>
      <c r="L68" s="155"/>
      <c r="M68" s="168"/>
      <c r="N68" s="142"/>
      <c r="O68" s="155"/>
      <c r="P68" s="168"/>
      <c r="Q68" s="142"/>
      <c r="R68" s="155"/>
      <c r="S68" s="168"/>
      <c r="T68" s="142"/>
      <c r="U68" s="155"/>
      <c r="V68" s="168"/>
      <c r="W68" s="142"/>
      <c r="X68" s="155"/>
    </row>
    <row r="69" spans="1:24" x14ac:dyDescent="0.35">
      <c r="A69" s="1257" t="s">
        <v>885</v>
      </c>
      <c r="B69" s="1257"/>
      <c r="C69" s="1257"/>
      <c r="D69" s="1257"/>
      <c r="E69" s="1257"/>
      <c r="F69" s="1257"/>
      <c r="G69" s="1257"/>
    </row>
    <row r="70" spans="1:24" x14ac:dyDescent="0.35">
      <c r="A70" s="1261" t="s">
        <v>886</v>
      </c>
      <c r="B70" s="1261"/>
      <c r="C70" s="1261"/>
      <c r="D70" s="1261"/>
      <c r="E70" s="1261"/>
      <c r="F70" s="1261"/>
      <c r="G70" s="1261"/>
    </row>
    <row r="71" spans="1:24" x14ac:dyDescent="0.35">
      <c r="A71" s="1256" t="s">
        <v>887</v>
      </c>
      <c r="B71" s="1256"/>
      <c r="C71" s="1256"/>
      <c r="D71" s="1256"/>
      <c r="E71" s="1256"/>
      <c r="F71" s="1256"/>
      <c r="G71" s="1256"/>
    </row>
    <row r="72" spans="1:24" x14ac:dyDescent="0.35">
      <c r="A72" s="1255" t="s">
        <v>888</v>
      </c>
      <c r="B72" s="1255"/>
      <c r="C72" s="1255"/>
      <c r="D72" s="1255"/>
      <c r="E72" s="1255"/>
      <c r="F72" s="1255"/>
      <c r="G72" s="1255"/>
    </row>
    <row r="73" spans="1:24" x14ac:dyDescent="0.35">
      <c r="A73" s="1255" t="s">
        <v>889</v>
      </c>
      <c r="B73" s="1255"/>
      <c r="C73" s="1255"/>
      <c r="D73" s="1255"/>
      <c r="E73" s="1255"/>
      <c r="F73" s="1255"/>
      <c r="G73" s="1255"/>
    </row>
    <row r="74" spans="1:24" x14ac:dyDescent="0.35">
      <c r="A74" s="1256" t="s">
        <v>890</v>
      </c>
      <c r="B74" s="1256"/>
      <c r="C74" s="1256"/>
      <c r="D74" s="1256"/>
      <c r="E74" s="1256"/>
      <c r="F74" s="1256"/>
      <c r="G74" s="1256"/>
    </row>
    <row r="76" spans="1:24" x14ac:dyDescent="0.35">
      <c r="A76" s="1257" t="s">
        <v>891</v>
      </c>
      <c r="B76" s="1257"/>
      <c r="C76" s="1257"/>
      <c r="D76" s="1257"/>
      <c r="E76" s="1257"/>
      <c r="F76" s="1257"/>
      <c r="G76" s="1257"/>
    </row>
    <row r="78" spans="1:24" x14ac:dyDescent="0.35">
      <c r="A78" s="56" t="s">
        <v>245</v>
      </c>
    </row>
    <row r="80" spans="1:24" x14ac:dyDescent="0.35">
      <c r="A80" s="56" t="s">
        <v>246</v>
      </c>
    </row>
    <row r="82" spans="1:25" x14ac:dyDescent="0.35">
      <c r="A82" t="s">
        <v>881</v>
      </c>
      <c r="B82" t="s">
        <v>882</v>
      </c>
      <c r="C82" s="182">
        <v>44743</v>
      </c>
      <c r="D82" s="182">
        <v>44774</v>
      </c>
      <c r="E82" s="182">
        <v>44805</v>
      </c>
      <c r="F82" s="182">
        <v>44835</v>
      </c>
      <c r="G82" s="182">
        <v>44866</v>
      </c>
      <c r="H82" s="182">
        <v>44896</v>
      </c>
      <c r="I82" s="182">
        <v>44927</v>
      </c>
      <c r="J82" s="182">
        <v>44958</v>
      </c>
      <c r="K82" s="182">
        <v>44986</v>
      </c>
      <c r="L82" s="157">
        <v>45017</v>
      </c>
      <c r="M82" s="170">
        <v>45047</v>
      </c>
      <c r="N82" s="144">
        <v>45078</v>
      </c>
      <c r="O82" s="157">
        <v>45108</v>
      </c>
      <c r="P82" s="170">
        <v>45139</v>
      </c>
      <c r="Q82" s="144">
        <v>45170</v>
      </c>
      <c r="R82" s="157">
        <v>45200</v>
      </c>
      <c r="S82" s="170">
        <v>45231</v>
      </c>
      <c r="T82" s="144">
        <v>45261</v>
      </c>
      <c r="U82" s="157">
        <v>45292</v>
      </c>
      <c r="V82" s="170">
        <v>45323</v>
      </c>
      <c r="W82" s="144">
        <v>45352</v>
      </c>
      <c r="X82" s="144">
        <v>45383</v>
      </c>
    </row>
    <row r="83" spans="1:25" x14ac:dyDescent="0.35">
      <c r="A83" s="95" t="s">
        <v>1937</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56">
        <f>'Federal and State Purchases'!AE33</f>
        <v>5263</v>
      </c>
      <c r="M83" s="169">
        <f>'Federal and State Purchases'!AF33</f>
        <v>5280</v>
      </c>
      <c r="N83" s="143">
        <f>'Federal and State Purchases'!AG33</f>
        <v>5301</v>
      </c>
      <c r="O83" s="156">
        <f>'Federal and State Purchases'!AH33</f>
        <v>5301</v>
      </c>
      <c r="P83" s="169">
        <f>'Federal and State Purchases'!AI33</f>
        <v>5329</v>
      </c>
      <c r="Q83" s="143">
        <f>'Federal and State Purchases'!AJ33</f>
        <v>5346</v>
      </c>
      <c r="R83" s="156">
        <f>'Federal and State Purchases'!AK33</f>
        <v>5375</v>
      </c>
      <c r="S83" s="169">
        <f>'Federal and State Purchases'!AL33</f>
        <v>5383</v>
      </c>
      <c r="T83" s="143">
        <f>'Federal and State Purchases'!AM33</f>
        <v>5404</v>
      </c>
      <c r="U83" s="156">
        <f>'Federal and State Purchases'!AN33</f>
        <v>5420</v>
      </c>
      <c r="V83" s="169">
        <f>'Federal and State Purchases'!AO33</f>
        <v>5434</v>
      </c>
      <c r="W83" s="143">
        <f>'Federal and State Purchases'!AP33</f>
        <v>5445</v>
      </c>
      <c r="X83" s="143">
        <f>'Federal and State Purchases'!AQ33</f>
        <v>5451</v>
      </c>
    </row>
    <row r="84" spans="1:25" x14ac:dyDescent="0.3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56">
        <f>'Federal and State Purchases'!AE34</f>
        <v>14482</v>
      </c>
      <c r="M84" s="169">
        <f>'Federal and State Purchases'!AF34</f>
        <v>14508</v>
      </c>
      <c r="N84" s="143">
        <f>'Federal and State Purchases'!AG34</f>
        <v>14536</v>
      </c>
      <c r="O84" s="156">
        <f>'Federal and State Purchases'!AH34</f>
        <v>14564</v>
      </c>
      <c r="P84" s="169">
        <f>'Federal and State Purchases'!AI34</f>
        <v>14585</v>
      </c>
      <c r="Q84" s="143">
        <f>'Federal and State Purchases'!AJ34</f>
        <v>14612</v>
      </c>
      <c r="R84" s="156">
        <f>'Federal and State Purchases'!AK34</f>
        <v>14642</v>
      </c>
      <c r="S84" s="169">
        <f>'Federal and State Purchases'!AL34</f>
        <v>14665</v>
      </c>
      <c r="T84" s="143">
        <f>'Federal and State Purchases'!AM34</f>
        <v>14711</v>
      </c>
      <c r="U84" s="156">
        <f>'Federal and State Purchases'!AN34</f>
        <v>14742</v>
      </c>
      <c r="V84" s="169">
        <f>'Federal and State Purchases'!AO34</f>
        <v>14776</v>
      </c>
      <c r="W84" s="143">
        <f>'Federal and State Purchases'!AP34</f>
        <v>14827</v>
      </c>
      <c r="X84" s="143">
        <f>'Federal and State Purchases'!AQ34</f>
        <v>14827</v>
      </c>
    </row>
    <row r="85" spans="1:25" x14ac:dyDescent="0.35">
      <c r="B85" t="s">
        <v>1926</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56">
        <f>'Federal and State Purchases'!AE35</f>
        <v>19745</v>
      </c>
      <c r="M85" s="169">
        <f>'Federal and State Purchases'!AF35</f>
        <v>19788</v>
      </c>
      <c r="N85" s="143">
        <f>'Federal and State Purchases'!AG35</f>
        <v>19837</v>
      </c>
      <c r="O85" s="156">
        <f>'Federal and State Purchases'!AH35</f>
        <v>19865</v>
      </c>
      <c r="P85" s="169">
        <f>'Federal and State Purchases'!AI35</f>
        <v>19914</v>
      </c>
      <c r="Q85" s="143">
        <f>'Federal and State Purchases'!AJ35</f>
        <v>19958</v>
      </c>
      <c r="R85" s="156">
        <f>'Federal and State Purchases'!AK35</f>
        <v>20017</v>
      </c>
      <c r="S85" s="169">
        <f>'Federal and State Purchases'!AL35</f>
        <v>20048</v>
      </c>
      <c r="T85" s="143">
        <f>'Federal and State Purchases'!AM35</f>
        <v>20115</v>
      </c>
      <c r="U85" s="156">
        <f>'Federal and State Purchases'!AN35</f>
        <v>20162</v>
      </c>
      <c r="V85" s="169">
        <f>'Federal and State Purchases'!AO35</f>
        <v>20210</v>
      </c>
      <c r="W85" s="143">
        <f>'Federal and State Purchases'!AP35</f>
        <v>20272</v>
      </c>
      <c r="X85" s="143">
        <f>'Federal and State Purchases'!AQ35</f>
        <v>20278</v>
      </c>
      <c r="Y85">
        <f>(W85/V85)^4</f>
        <v>1.0123277364184935</v>
      </c>
    </row>
    <row r="86" spans="1:25"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56">
        <f>'Federal and State Purchases'!AE36</f>
        <v>382073</v>
      </c>
      <c r="M86" s="169">
        <f>'Federal and State Purchases'!AF36</f>
        <v>388978</v>
      </c>
      <c r="N86" s="143">
        <f>'Federal and State Purchases'!AG36</f>
        <v>396538</v>
      </c>
      <c r="O86" s="156">
        <f>'Federal and State Purchases'!AH36</f>
        <v>404059</v>
      </c>
      <c r="P86" s="169">
        <f>'Federal and State Purchases'!AI36</f>
        <v>407847</v>
      </c>
      <c r="Q86" s="143">
        <f>'Federal and State Purchases'!AJ36</f>
        <v>418897</v>
      </c>
      <c r="R86" s="156">
        <f>'Federal and State Purchases'!AK36</f>
        <v>432334</v>
      </c>
      <c r="S86" s="169">
        <f>'Federal and State Purchases'!AL36</f>
        <v>440095</v>
      </c>
      <c r="T86" s="143">
        <f>'Federal and State Purchases'!AM36</f>
        <v>446894</v>
      </c>
      <c r="U86" s="156">
        <f>'Federal and State Purchases'!AN36</f>
        <v>445408</v>
      </c>
      <c r="V86" s="169">
        <f>'Federal and State Purchases'!AO36</f>
        <v>444717</v>
      </c>
      <c r="W86" s="143">
        <f>'Federal and State Purchases'!AP36</f>
        <v>447315</v>
      </c>
      <c r="X86" s="143">
        <f>'Federal and State Purchases'!AQ36</f>
        <v>0</v>
      </c>
    </row>
    <row r="88" spans="1:25" x14ac:dyDescent="0.35">
      <c r="A88" s="124"/>
    </row>
    <row r="89" spans="1:25" ht="16.5" customHeight="1" x14ac:dyDescent="0.35">
      <c r="A89" s="124"/>
      <c r="B89" t="s">
        <v>1931</v>
      </c>
      <c r="I89" s="184">
        <v>119.011</v>
      </c>
      <c r="J89" s="184">
        <v>119.386</v>
      </c>
      <c r="K89" s="184">
        <v>119.53</v>
      </c>
      <c r="L89" s="184">
        <v>119.893</v>
      </c>
      <c r="M89" s="184">
        <v>120.02</v>
      </c>
      <c r="N89" s="184">
        <v>120.221</v>
      </c>
      <c r="O89" s="118">
        <v>120.373</v>
      </c>
      <c r="P89" s="118">
        <v>120.803</v>
      </c>
      <c r="Q89" s="118">
        <v>121.267</v>
      </c>
      <c r="R89" s="118">
        <v>121.309</v>
      </c>
      <c r="S89" s="118">
        <v>121.29600000000001</v>
      </c>
      <c r="T89" s="118">
        <v>121.44799999999999</v>
      </c>
      <c r="U89" s="118">
        <v>121.934</v>
      </c>
      <c r="V89" s="118">
        <v>122.34699999999999</v>
      </c>
      <c r="W89" s="118">
        <v>122.761</v>
      </c>
      <c r="X89" s="118">
        <v>123.07599999999999</v>
      </c>
      <c r="Y89">
        <f>X89*(X89/W89)</f>
        <v>123.39180827787327</v>
      </c>
    </row>
    <row r="90" spans="1:25" x14ac:dyDescent="0.35">
      <c r="A90" s="124"/>
      <c r="U90" s="156">
        <f>V89/U89</f>
        <v>1.0033870782554497</v>
      </c>
    </row>
    <row r="92" spans="1:25" x14ac:dyDescent="0.35">
      <c r="O92" s="156">
        <f>AVERAGE(O89:Q89)</f>
        <v>120.81433333333332</v>
      </c>
      <c r="R92" s="156">
        <f>AVERAGE(R89:T89)</f>
        <v>121.351</v>
      </c>
      <c r="U92" s="156">
        <f>AVERAGE(U89:Y89)</f>
        <v>122.70196165557465</v>
      </c>
      <c r="X92">
        <f>AVERAGE(U89:W89)</f>
        <v>122.34733333333334</v>
      </c>
    </row>
    <row r="93" spans="1:25" x14ac:dyDescent="0.35">
      <c r="O93" s="183">
        <f>(R92/O92)^4-1</f>
        <v>1.7887054480272058E-2</v>
      </c>
      <c r="R93" s="183">
        <f>(U92/R92)^4-1</f>
        <v>4.5279867080300296E-2</v>
      </c>
    </row>
    <row r="94" spans="1:25" x14ac:dyDescent="0.35">
      <c r="X94">
        <f>(Y89/X92)^4-1</f>
        <v>3.4587634037771764E-2</v>
      </c>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 ref="A83" r:id="rId8" xr:uid="{00000000-0004-0000-0800-000007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Revisions</vt:lpstr>
      <vt:lpstr>Checklist (CBO Budget Release)</vt:lpstr>
      <vt:lpstr>Haver Pivoted</vt:lpstr>
      <vt:lpstr>forecast comparison</vt:lpstr>
      <vt:lpstr>forecast</vt:lpstr>
      <vt:lpstr>April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Georgia Nabors</cp:lastModifiedBy>
  <cp:revision/>
  <dcterms:created xsi:type="dcterms:W3CDTF">2021-05-28T15:43:48Z</dcterms:created>
  <dcterms:modified xsi:type="dcterms:W3CDTF">2024-06-27T17:08:30Z</dcterms:modified>
  <cp:category/>
  <cp:contentStatus/>
</cp:coreProperties>
</file>