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23040" windowHeight="10176" tabRatio="656" firstSheet="4" activeTab="4"/>
  </bookViews>
  <sheets>
    <sheet name="FW20季Cold cement 調整工作天數0508 " sheetId="9" state="hidden" r:id="rId1"/>
    <sheet name="FW20 季Cold cement-0508" sheetId="8" state="hidden" r:id="rId2"/>
    <sheet name="SS21 季Cold cement " sheetId="17" state="hidden" r:id="rId3"/>
    <sheet name="SS21 季 Cold cement " sheetId="18" state="hidden" r:id="rId4"/>
    <sheet name="FW21 季 Cold cement" sheetId="19" r:id="rId5"/>
    <sheet name="SS22 季 Cold cement " sheetId="20" r:id="rId6"/>
    <sheet name="FW21 季 Cold cement(0805)" sheetId="21" r:id="rId7"/>
    <sheet name="SS22 季 Cold cement(0805)" sheetId="22" r:id="rId8"/>
    <sheet name="FW21 季 Cold cement(0815)" sheetId="23" r:id="rId9"/>
    <sheet name="SS22 季 Cold cement(0815)" sheetId="24" r:id="rId10"/>
    <sheet name="FW21 季 Cold cement(0831)" sheetId="25" r:id="rId11"/>
    <sheet name="SS22 季 Cold cement(0831)" sheetId="26" r:id="rId12"/>
    <sheet name="SS21 季Cold cement" sheetId="15" state="hidden" r:id="rId13"/>
    <sheet name="工作表1" sheetId="16" state="hidden" r:id="rId14"/>
    <sheet name="FW20 季Cold cement-0417" sheetId="5" state="hidden" r:id="rId15"/>
    <sheet name="FW20 季Cold cement-0411" sheetId="4" state="hidden" r:id="rId16"/>
    <sheet name="FW20 季Cold cement-0320" sheetId="3" state="hidden" r:id="rId17"/>
    <sheet name="FW20 季Cold cement-0307" sheetId="7" state="hidden" r:id="rId18"/>
    <sheet name="FW20 季Cold cement-0218" sheetId="6" state="hidden" r:id="rId19"/>
    <sheet name="SS21季Cold cement" sheetId="1" state="hidden" r:id="rId20"/>
  </sheets>
  <externalReferences>
    <externalReference r:id="rId21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" l="1"/>
  <c r="L17" i="1"/>
  <c r="K17" i="1"/>
  <c r="J17" i="1"/>
  <c r="L18" i="1" s="1"/>
  <c r="H17" i="1"/>
  <c r="Q16" i="1"/>
  <c r="R16" i="1" s="1"/>
  <c r="I16" i="1"/>
  <c r="G16" i="1"/>
  <c r="Q15" i="1"/>
  <c r="R15" i="1" s="1"/>
  <c r="G15" i="1"/>
  <c r="I15" i="1" s="1"/>
  <c r="R14" i="1"/>
  <c r="Q14" i="1"/>
  <c r="G14" i="1"/>
  <c r="I14" i="1" s="1"/>
  <c r="R13" i="1"/>
  <c r="Q13" i="1"/>
  <c r="G13" i="1"/>
  <c r="I13" i="1" s="1"/>
  <c r="R12" i="1"/>
  <c r="Q12" i="1"/>
  <c r="G12" i="1"/>
  <c r="R11" i="1"/>
  <c r="Q11" i="1"/>
  <c r="I11" i="1"/>
  <c r="G11" i="1"/>
  <c r="R10" i="1"/>
  <c r="Q10" i="1"/>
  <c r="I10" i="1"/>
  <c r="D10" i="1"/>
  <c r="R9" i="1"/>
  <c r="Q9" i="1"/>
  <c r="I9" i="1"/>
  <c r="D9" i="1"/>
  <c r="Q8" i="1"/>
  <c r="R8" i="1" s="1"/>
  <c r="I8" i="1"/>
  <c r="C8" i="1"/>
  <c r="Q7" i="1"/>
  <c r="R7" i="1" s="1"/>
  <c r="I7" i="1"/>
  <c r="C7" i="1"/>
  <c r="Q6" i="1"/>
  <c r="I6" i="1"/>
  <c r="C6" i="1"/>
  <c r="U5" i="1"/>
  <c r="S6" i="1" s="1"/>
  <c r="U6" i="1" s="1"/>
  <c r="W6" i="1" s="1"/>
  <c r="S5" i="1"/>
  <c r="Q5" i="1"/>
  <c r="Q17" i="1" s="1"/>
  <c r="Q18" i="1" s="1"/>
  <c r="I5" i="1"/>
  <c r="Q23" i="6"/>
  <c r="O17" i="6"/>
  <c r="O18" i="6" s="1"/>
  <c r="M17" i="6"/>
  <c r="L17" i="6"/>
  <c r="L18" i="6" s="1"/>
  <c r="K17" i="6"/>
  <c r="K18" i="6" s="1"/>
  <c r="J17" i="6"/>
  <c r="H17" i="6"/>
  <c r="P16" i="6"/>
  <c r="I16" i="6"/>
  <c r="G16" i="6"/>
  <c r="P15" i="6"/>
  <c r="G15" i="6"/>
  <c r="I15" i="6" s="1"/>
  <c r="P14" i="6"/>
  <c r="G14" i="6"/>
  <c r="I14" i="6" s="1"/>
  <c r="P13" i="6"/>
  <c r="I13" i="6"/>
  <c r="G13" i="6"/>
  <c r="P12" i="6"/>
  <c r="I12" i="6"/>
  <c r="G12" i="6"/>
  <c r="P11" i="6"/>
  <c r="I11" i="6"/>
  <c r="G11" i="6"/>
  <c r="P10" i="6"/>
  <c r="G10" i="6"/>
  <c r="I10" i="6" s="1"/>
  <c r="P9" i="6"/>
  <c r="G9" i="6"/>
  <c r="I9" i="6" s="1"/>
  <c r="P8" i="6"/>
  <c r="I8" i="6"/>
  <c r="G8" i="6"/>
  <c r="P7" i="6"/>
  <c r="I7" i="6"/>
  <c r="G7" i="6"/>
  <c r="P6" i="6"/>
  <c r="G6" i="6"/>
  <c r="I6" i="6" s="1"/>
  <c r="R5" i="6"/>
  <c r="P5" i="6"/>
  <c r="P17" i="6" s="1"/>
  <c r="G5" i="6"/>
  <c r="P18" i="7"/>
  <c r="P17" i="7"/>
  <c r="M17" i="7"/>
  <c r="L17" i="7"/>
  <c r="L18" i="7" s="1"/>
  <c r="K17" i="7"/>
  <c r="K18" i="7" s="1"/>
  <c r="J17" i="7"/>
  <c r="H17" i="7"/>
  <c r="Q16" i="7"/>
  <c r="R16" i="7" s="1"/>
  <c r="I16" i="7"/>
  <c r="G16" i="7"/>
  <c r="Q15" i="7"/>
  <c r="R15" i="7" s="1"/>
  <c r="I15" i="7"/>
  <c r="G15" i="7"/>
  <c r="Q14" i="7"/>
  <c r="R14" i="7" s="1"/>
  <c r="I14" i="7"/>
  <c r="G14" i="7"/>
  <c r="Q13" i="7"/>
  <c r="R13" i="7" s="1"/>
  <c r="G13" i="7"/>
  <c r="I13" i="7" s="1"/>
  <c r="Q12" i="7"/>
  <c r="R12" i="7" s="1"/>
  <c r="G12" i="7"/>
  <c r="I12" i="7" s="1"/>
  <c r="R11" i="7"/>
  <c r="Q11" i="7"/>
  <c r="I11" i="7"/>
  <c r="G11" i="7"/>
  <c r="R10" i="7"/>
  <c r="Q10" i="7"/>
  <c r="G10" i="7"/>
  <c r="I10" i="7" s="1"/>
  <c r="R9" i="7"/>
  <c r="Q9" i="7"/>
  <c r="I9" i="7"/>
  <c r="G9" i="7"/>
  <c r="R8" i="7"/>
  <c r="Q8" i="7"/>
  <c r="I8" i="7"/>
  <c r="G8" i="7"/>
  <c r="Q7" i="7"/>
  <c r="R7" i="7" s="1"/>
  <c r="I7" i="7"/>
  <c r="G7" i="7"/>
  <c r="R6" i="7"/>
  <c r="Q6" i="7"/>
  <c r="I6" i="7"/>
  <c r="G6" i="7"/>
  <c r="R5" i="7"/>
  <c r="S5" i="7" s="1"/>
  <c r="Q5" i="7"/>
  <c r="I5" i="7"/>
  <c r="G5" i="7"/>
  <c r="K18" i="3"/>
  <c r="P17" i="3"/>
  <c r="P18" i="3" s="1"/>
  <c r="M17" i="3"/>
  <c r="L17" i="3"/>
  <c r="L18" i="3" s="1"/>
  <c r="K17" i="3"/>
  <c r="J17" i="3"/>
  <c r="H17" i="3"/>
  <c r="Q16" i="3"/>
  <c r="R16" i="3" s="1"/>
  <c r="G16" i="3"/>
  <c r="I16" i="3" s="1"/>
  <c r="R15" i="3"/>
  <c r="Q15" i="3"/>
  <c r="G15" i="3"/>
  <c r="I15" i="3" s="1"/>
  <c r="R14" i="3"/>
  <c r="Q14" i="3"/>
  <c r="G14" i="3"/>
  <c r="I14" i="3" s="1"/>
  <c r="R13" i="3"/>
  <c r="Q13" i="3"/>
  <c r="I13" i="3"/>
  <c r="G13" i="3"/>
  <c r="Q12" i="3"/>
  <c r="R12" i="3" s="1"/>
  <c r="I12" i="3"/>
  <c r="G12" i="3"/>
  <c r="R11" i="3"/>
  <c r="Q11" i="3"/>
  <c r="I11" i="3"/>
  <c r="G11" i="3"/>
  <c r="R10" i="3"/>
  <c r="Q10" i="3"/>
  <c r="I10" i="3"/>
  <c r="G10" i="3"/>
  <c r="Q9" i="3"/>
  <c r="R9" i="3" s="1"/>
  <c r="I9" i="3"/>
  <c r="G9" i="3"/>
  <c r="Q8" i="3"/>
  <c r="R8" i="3" s="1"/>
  <c r="I8" i="3"/>
  <c r="G8" i="3"/>
  <c r="R7" i="3"/>
  <c r="Q7" i="3"/>
  <c r="G7" i="3"/>
  <c r="I7" i="3" s="1"/>
  <c r="S6" i="3"/>
  <c r="U6" i="3" s="1"/>
  <c r="Q6" i="3"/>
  <c r="G6" i="3"/>
  <c r="I6" i="3" s="1"/>
  <c r="S5" i="3"/>
  <c r="U5" i="3" s="1"/>
  <c r="W5" i="3" s="1"/>
  <c r="Q5" i="3"/>
  <c r="R6" i="3" s="1"/>
  <c r="I5" i="3"/>
  <c r="I17" i="3" s="1"/>
  <c r="G5" i="3"/>
  <c r="P17" i="4"/>
  <c r="P18" i="4" s="1"/>
  <c r="M17" i="4"/>
  <c r="L17" i="4"/>
  <c r="K17" i="4"/>
  <c r="K18" i="4" s="1"/>
  <c r="J17" i="4"/>
  <c r="H17" i="4"/>
  <c r="R16" i="4"/>
  <c r="Q16" i="4"/>
  <c r="G16" i="4"/>
  <c r="I16" i="4" s="1"/>
  <c r="R15" i="4"/>
  <c r="Q15" i="4"/>
  <c r="G15" i="4"/>
  <c r="I15" i="4" s="1"/>
  <c r="Q14" i="4"/>
  <c r="R14" i="4" s="1"/>
  <c r="I14" i="4"/>
  <c r="G14" i="4"/>
  <c r="Q13" i="4"/>
  <c r="R13" i="4" s="1"/>
  <c r="I13" i="4"/>
  <c r="G13" i="4"/>
  <c r="Q12" i="4"/>
  <c r="R12" i="4" s="1"/>
  <c r="I12" i="4"/>
  <c r="G12" i="4"/>
  <c r="Q11" i="4"/>
  <c r="R11" i="4" s="1"/>
  <c r="I11" i="4"/>
  <c r="G11" i="4"/>
  <c r="Q10" i="4"/>
  <c r="R10" i="4" s="1"/>
  <c r="I10" i="4"/>
  <c r="G10" i="4"/>
  <c r="Q9" i="4"/>
  <c r="R9" i="4" s="1"/>
  <c r="I9" i="4"/>
  <c r="G9" i="4"/>
  <c r="R8" i="4"/>
  <c r="Q8" i="4"/>
  <c r="G8" i="4"/>
  <c r="I8" i="4" s="1"/>
  <c r="Q7" i="4"/>
  <c r="I7" i="4"/>
  <c r="G7" i="4"/>
  <c r="S6" i="4"/>
  <c r="U6" i="4" s="1"/>
  <c r="Q6" i="4"/>
  <c r="G6" i="4"/>
  <c r="I6" i="4" s="1"/>
  <c r="S5" i="4"/>
  <c r="U5" i="4" s="1"/>
  <c r="W5" i="4" s="1"/>
  <c r="Q5" i="4"/>
  <c r="G5" i="4"/>
  <c r="I5" i="4" s="1"/>
  <c r="O19" i="5"/>
  <c r="O18" i="5"/>
  <c r="M18" i="5"/>
  <c r="L18" i="5"/>
  <c r="L19" i="5" s="1"/>
  <c r="K18" i="5"/>
  <c r="K19" i="5" s="1"/>
  <c r="J18" i="5"/>
  <c r="H18" i="5"/>
  <c r="P17" i="5"/>
  <c r="Q17" i="5" s="1"/>
  <c r="I17" i="5"/>
  <c r="G17" i="5"/>
  <c r="Q16" i="5"/>
  <c r="P16" i="5"/>
  <c r="I16" i="5"/>
  <c r="G16" i="5"/>
  <c r="P15" i="5"/>
  <c r="Q15" i="5" s="1"/>
  <c r="I15" i="5"/>
  <c r="G15" i="5"/>
  <c r="P14" i="5"/>
  <c r="Q14" i="5" s="1"/>
  <c r="I14" i="5"/>
  <c r="G14" i="5"/>
  <c r="P13" i="5"/>
  <c r="Q13" i="5" s="1"/>
  <c r="I13" i="5"/>
  <c r="G13" i="5"/>
  <c r="P12" i="5"/>
  <c r="Q12" i="5" s="1"/>
  <c r="I12" i="5"/>
  <c r="G12" i="5"/>
  <c r="Q11" i="5"/>
  <c r="P11" i="5"/>
  <c r="G11" i="5"/>
  <c r="I11" i="5" s="1"/>
  <c r="Q10" i="5"/>
  <c r="P10" i="5"/>
  <c r="G10" i="5"/>
  <c r="I10" i="5" s="1"/>
  <c r="P9" i="5"/>
  <c r="I9" i="5"/>
  <c r="G9" i="5"/>
  <c r="P8" i="5"/>
  <c r="I8" i="5"/>
  <c r="G8" i="5"/>
  <c r="P7" i="5"/>
  <c r="Q9" i="5" s="1"/>
  <c r="I7" i="5"/>
  <c r="G7" i="5"/>
  <c r="R6" i="5"/>
  <c r="P6" i="5"/>
  <c r="G6" i="5"/>
  <c r="AB16" i="16"/>
  <c r="AA16" i="16"/>
  <c r="AB14" i="16"/>
  <c r="AA14" i="16"/>
  <c r="AB13" i="16"/>
  <c r="AA13" i="16"/>
  <c r="AB12" i="16"/>
  <c r="AA12" i="16"/>
  <c r="AB11" i="16"/>
  <c r="AB15" i="16" s="1"/>
  <c r="AA11" i="16"/>
  <c r="Q11" i="16"/>
  <c r="P11" i="16"/>
  <c r="O11" i="16"/>
  <c r="K19" i="15"/>
  <c r="O18" i="15"/>
  <c r="M18" i="15"/>
  <c r="L18" i="15"/>
  <c r="K18" i="15"/>
  <c r="J18" i="15"/>
  <c r="O19" i="15" s="1"/>
  <c r="I18" i="15"/>
  <c r="H18" i="15"/>
  <c r="P17" i="15"/>
  <c r="Q17" i="15" s="1"/>
  <c r="I17" i="15"/>
  <c r="G17" i="15"/>
  <c r="P16" i="15"/>
  <c r="Q16" i="15" s="1"/>
  <c r="I16" i="15"/>
  <c r="G16" i="15"/>
  <c r="P15" i="15"/>
  <c r="Q15" i="15" s="1"/>
  <c r="G15" i="15"/>
  <c r="I15" i="15" s="1"/>
  <c r="Q14" i="15"/>
  <c r="P14" i="15"/>
  <c r="G14" i="15"/>
  <c r="I14" i="15" s="1"/>
  <c r="Q13" i="15"/>
  <c r="P13" i="15"/>
  <c r="G13" i="15"/>
  <c r="I13" i="15" s="1"/>
  <c r="P12" i="15"/>
  <c r="Q12" i="15" s="1"/>
  <c r="I12" i="15"/>
  <c r="G12" i="15"/>
  <c r="Q11" i="15"/>
  <c r="P11" i="15"/>
  <c r="I11" i="15"/>
  <c r="G11" i="15"/>
  <c r="P10" i="15"/>
  <c r="Q10" i="15" s="1"/>
  <c r="I10" i="15"/>
  <c r="G10" i="15"/>
  <c r="P9" i="15"/>
  <c r="I9" i="15"/>
  <c r="G9" i="15"/>
  <c r="P8" i="15"/>
  <c r="I8" i="15"/>
  <c r="G8" i="15"/>
  <c r="G18" i="15" s="1"/>
  <c r="R7" i="15"/>
  <c r="S7" i="15" s="1"/>
  <c r="P7" i="15"/>
  <c r="G7" i="15"/>
  <c r="I7" i="15" s="1"/>
  <c r="S6" i="15"/>
  <c r="T6" i="15" s="1"/>
  <c r="R6" i="15"/>
  <c r="P6" i="15"/>
  <c r="I6" i="15"/>
  <c r="G6" i="15"/>
  <c r="P17" i="26"/>
  <c r="P18" i="26" s="1"/>
  <c r="N17" i="26"/>
  <c r="M17" i="26"/>
  <c r="M18" i="26" s="1"/>
  <c r="L17" i="26"/>
  <c r="K17" i="26"/>
  <c r="L18" i="26" s="1"/>
  <c r="H17" i="26"/>
  <c r="X16" i="26"/>
  <c r="Q16" i="26"/>
  <c r="R16" i="26" s="1"/>
  <c r="I16" i="26"/>
  <c r="G16" i="26"/>
  <c r="X15" i="26"/>
  <c r="Q15" i="26"/>
  <c r="R15" i="26" s="1"/>
  <c r="I15" i="26"/>
  <c r="G15" i="26"/>
  <c r="X14" i="26"/>
  <c r="R14" i="26"/>
  <c r="Q14" i="26"/>
  <c r="G14" i="26"/>
  <c r="I14" i="26" s="1"/>
  <c r="X13" i="26"/>
  <c r="R13" i="26"/>
  <c r="Q13" i="26"/>
  <c r="G13" i="26"/>
  <c r="I13" i="26" s="1"/>
  <c r="X12" i="26"/>
  <c r="Q12" i="26"/>
  <c r="R12" i="26" s="1"/>
  <c r="I12" i="26"/>
  <c r="G12" i="26"/>
  <c r="X11" i="26"/>
  <c r="Q11" i="26"/>
  <c r="R11" i="26" s="1"/>
  <c r="I11" i="26"/>
  <c r="G11" i="26"/>
  <c r="X10" i="26"/>
  <c r="R10" i="26"/>
  <c r="Q10" i="26"/>
  <c r="G10" i="26"/>
  <c r="I10" i="26" s="1"/>
  <c r="X9" i="26"/>
  <c r="R9" i="26"/>
  <c r="Q9" i="26"/>
  <c r="G9" i="26"/>
  <c r="I9" i="26" s="1"/>
  <c r="X8" i="26"/>
  <c r="Q8" i="26"/>
  <c r="R8" i="26" s="1"/>
  <c r="I8" i="26"/>
  <c r="G8" i="26"/>
  <c r="X7" i="26"/>
  <c r="Q7" i="26"/>
  <c r="R7" i="26" s="1"/>
  <c r="I7" i="26"/>
  <c r="G7" i="26"/>
  <c r="X6" i="26"/>
  <c r="R6" i="26"/>
  <c r="S6" i="26" s="1"/>
  <c r="T6" i="26" s="1"/>
  <c r="U6" i="26" s="1"/>
  <c r="Q6" i="26"/>
  <c r="G6" i="26"/>
  <c r="I6" i="26" s="1"/>
  <c r="G5" i="26"/>
  <c r="P17" i="25"/>
  <c r="P18" i="25" s="1"/>
  <c r="N17" i="25"/>
  <c r="M17" i="25"/>
  <c r="M18" i="25" s="1"/>
  <c r="L17" i="25"/>
  <c r="L18" i="25" s="1"/>
  <c r="K17" i="25"/>
  <c r="H17" i="25"/>
  <c r="X16" i="25"/>
  <c r="R16" i="25"/>
  <c r="Q16" i="25"/>
  <c r="G16" i="25"/>
  <c r="I16" i="25" s="1"/>
  <c r="X15" i="25"/>
  <c r="R15" i="25"/>
  <c r="Q15" i="25"/>
  <c r="G15" i="25"/>
  <c r="I15" i="25" s="1"/>
  <c r="X14" i="25"/>
  <c r="Q14" i="25"/>
  <c r="G14" i="25"/>
  <c r="I14" i="25" s="1"/>
  <c r="X13" i="25"/>
  <c r="U13" i="25"/>
  <c r="S13" i="25"/>
  <c r="R13" i="25"/>
  <c r="Q13" i="25"/>
  <c r="G13" i="25"/>
  <c r="X12" i="25"/>
  <c r="U12" i="25"/>
  <c r="R12" i="25"/>
  <c r="S12" i="25" s="1"/>
  <c r="Q12" i="25"/>
  <c r="G12" i="25"/>
  <c r="X11" i="25"/>
  <c r="U11" i="25"/>
  <c r="R11" i="25"/>
  <c r="S11" i="25" s="1"/>
  <c r="Q11" i="25"/>
  <c r="G11" i="25"/>
  <c r="X10" i="25"/>
  <c r="U10" i="25"/>
  <c r="S10" i="25"/>
  <c r="R10" i="25"/>
  <c r="Q10" i="25"/>
  <c r="G10" i="25"/>
  <c r="X9" i="25"/>
  <c r="U9" i="25"/>
  <c r="R9" i="25"/>
  <c r="S9" i="25" s="1"/>
  <c r="Q9" i="25"/>
  <c r="G9" i="25"/>
  <c r="X8" i="25"/>
  <c r="U8" i="25"/>
  <c r="S8" i="25"/>
  <c r="R8" i="25"/>
  <c r="Q8" i="25"/>
  <c r="G8" i="25"/>
  <c r="X7" i="25"/>
  <c r="U7" i="25"/>
  <c r="R7" i="25"/>
  <c r="S7" i="25" s="1"/>
  <c r="Q7" i="25"/>
  <c r="Q17" i="25" s="1"/>
  <c r="G7" i="25"/>
  <c r="X6" i="25"/>
  <c r="S6" i="25"/>
  <c r="R6" i="25"/>
  <c r="Q6" i="25"/>
  <c r="C6" i="25"/>
  <c r="G6" i="25" s="1"/>
  <c r="G17" i="25" s="1"/>
  <c r="X5" i="25"/>
  <c r="U5" i="25"/>
  <c r="S5" i="25"/>
  <c r="R5" i="25"/>
  <c r="Q5" i="25"/>
  <c r="G5" i="25"/>
  <c r="P17" i="24"/>
  <c r="N17" i="24"/>
  <c r="M17" i="24"/>
  <c r="L17" i="24"/>
  <c r="K17" i="24"/>
  <c r="P18" i="24" s="1"/>
  <c r="H17" i="24"/>
  <c r="X16" i="24"/>
  <c r="Q16" i="24"/>
  <c r="R16" i="24" s="1"/>
  <c r="I16" i="24"/>
  <c r="G16" i="24"/>
  <c r="X15" i="24"/>
  <c r="R15" i="24"/>
  <c r="Q15" i="24"/>
  <c r="G15" i="24"/>
  <c r="I15" i="24" s="1"/>
  <c r="X14" i="24"/>
  <c r="R14" i="24"/>
  <c r="Q14" i="24"/>
  <c r="G14" i="24"/>
  <c r="I14" i="24" s="1"/>
  <c r="X13" i="24"/>
  <c r="Q13" i="24"/>
  <c r="R13" i="24" s="1"/>
  <c r="I13" i="24"/>
  <c r="G13" i="24"/>
  <c r="X12" i="24"/>
  <c r="Q12" i="24"/>
  <c r="R12" i="24" s="1"/>
  <c r="I12" i="24"/>
  <c r="G12" i="24"/>
  <c r="X11" i="24"/>
  <c r="R11" i="24"/>
  <c r="Q11" i="24"/>
  <c r="G11" i="24"/>
  <c r="I11" i="24" s="1"/>
  <c r="X10" i="24"/>
  <c r="R10" i="24"/>
  <c r="Q10" i="24"/>
  <c r="G10" i="24"/>
  <c r="I10" i="24" s="1"/>
  <c r="X9" i="24"/>
  <c r="R9" i="24"/>
  <c r="Q9" i="24"/>
  <c r="G9" i="24"/>
  <c r="I9" i="24" s="1"/>
  <c r="X8" i="24"/>
  <c r="R8" i="24"/>
  <c r="Q8" i="24"/>
  <c r="G8" i="24"/>
  <c r="I8" i="24" s="1"/>
  <c r="X7" i="24"/>
  <c r="R7" i="24"/>
  <c r="Q7" i="24"/>
  <c r="G7" i="24"/>
  <c r="I7" i="24" s="1"/>
  <c r="X6" i="24"/>
  <c r="S6" i="24"/>
  <c r="R6" i="24"/>
  <c r="Q6" i="24"/>
  <c r="G6" i="24"/>
  <c r="I6" i="24" s="1"/>
  <c r="G5" i="24"/>
  <c r="L18" i="23"/>
  <c r="P17" i="23"/>
  <c r="P18" i="23" s="1"/>
  <c r="N17" i="23"/>
  <c r="M17" i="23"/>
  <c r="M18" i="23" s="1"/>
  <c r="L17" i="23"/>
  <c r="K17" i="23"/>
  <c r="H17" i="23"/>
  <c r="X16" i="23"/>
  <c r="Q16" i="23"/>
  <c r="R16" i="23" s="1"/>
  <c r="I16" i="23"/>
  <c r="G16" i="23"/>
  <c r="X15" i="23"/>
  <c r="Q15" i="23"/>
  <c r="R15" i="23" s="1"/>
  <c r="I15" i="23"/>
  <c r="G15" i="23"/>
  <c r="X14" i="23"/>
  <c r="Q14" i="23"/>
  <c r="I14" i="23"/>
  <c r="I17" i="23" s="1"/>
  <c r="G14" i="23"/>
  <c r="X13" i="23"/>
  <c r="U13" i="23"/>
  <c r="S13" i="23"/>
  <c r="R13" i="23"/>
  <c r="Q13" i="23"/>
  <c r="G13" i="23"/>
  <c r="X12" i="23"/>
  <c r="U12" i="23"/>
  <c r="R12" i="23"/>
  <c r="S12" i="23" s="1"/>
  <c r="Q12" i="23"/>
  <c r="G12" i="23"/>
  <c r="X11" i="23"/>
  <c r="U11" i="23"/>
  <c r="S11" i="23"/>
  <c r="R11" i="23"/>
  <c r="Q11" i="23"/>
  <c r="G11" i="23"/>
  <c r="X10" i="23"/>
  <c r="U10" i="23"/>
  <c r="R10" i="23"/>
  <c r="S10" i="23" s="1"/>
  <c r="Q10" i="23"/>
  <c r="G10" i="23"/>
  <c r="X9" i="23"/>
  <c r="U9" i="23"/>
  <c r="S9" i="23"/>
  <c r="R9" i="23"/>
  <c r="Q9" i="23"/>
  <c r="R14" i="23" s="1"/>
  <c r="S14" i="23" s="1"/>
  <c r="T14" i="23" s="1"/>
  <c r="U14" i="23" s="1"/>
  <c r="G9" i="23"/>
  <c r="X8" i="23"/>
  <c r="U8" i="23"/>
  <c r="R8" i="23"/>
  <c r="S8" i="23" s="1"/>
  <c r="Q8" i="23"/>
  <c r="G8" i="23"/>
  <c r="X7" i="23"/>
  <c r="U7" i="23"/>
  <c r="S7" i="23"/>
  <c r="R7" i="23"/>
  <c r="Q7" i="23"/>
  <c r="G7" i="23"/>
  <c r="X6" i="23"/>
  <c r="R6" i="23"/>
  <c r="S6" i="23" s="1"/>
  <c r="Q6" i="23"/>
  <c r="G6" i="23"/>
  <c r="C6" i="23"/>
  <c r="U6" i="23" s="1"/>
  <c r="X5" i="23"/>
  <c r="U5" i="23"/>
  <c r="S5" i="23"/>
  <c r="R5" i="23"/>
  <c r="Q5" i="23"/>
  <c r="Q17" i="23" s="1"/>
  <c r="G5" i="23"/>
  <c r="G17" i="23" s="1"/>
  <c r="P18" i="22"/>
  <c r="P17" i="22"/>
  <c r="N17" i="22"/>
  <c r="M17" i="22"/>
  <c r="M18" i="22" s="1"/>
  <c r="L17" i="22"/>
  <c r="L18" i="22" s="1"/>
  <c r="K17" i="22"/>
  <c r="I17" i="22"/>
  <c r="H17" i="22"/>
  <c r="X16" i="22"/>
  <c r="Q16" i="22"/>
  <c r="R16" i="22" s="1"/>
  <c r="I16" i="22"/>
  <c r="G16" i="22"/>
  <c r="X15" i="22"/>
  <c r="Q15" i="22"/>
  <c r="R15" i="22" s="1"/>
  <c r="I15" i="22"/>
  <c r="G15" i="22"/>
  <c r="X14" i="22"/>
  <c r="Q14" i="22"/>
  <c r="R14" i="22" s="1"/>
  <c r="I14" i="22"/>
  <c r="G14" i="22"/>
  <c r="X13" i="22"/>
  <c r="Q13" i="22"/>
  <c r="R13" i="22" s="1"/>
  <c r="I13" i="22"/>
  <c r="G13" i="22"/>
  <c r="X12" i="22"/>
  <c r="Q12" i="22"/>
  <c r="R12" i="22" s="1"/>
  <c r="I12" i="22"/>
  <c r="G12" i="22"/>
  <c r="X11" i="22"/>
  <c r="Q11" i="22"/>
  <c r="R11" i="22" s="1"/>
  <c r="I11" i="22"/>
  <c r="G11" i="22"/>
  <c r="X10" i="22"/>
  <c r="Q10" i="22"/>
  <c r="R10" i="22" s="1"/>
  <c r="I10" i="22"/>
  <c r="G10" i="22"/>
  <c r="X9" i="22"/>
  <c r="Q9" i="22"/>
  <c r="R9" i="22" s="1"/>
  <c r="I9" i="22"/>
  <c r="G9" i="22"/>
  <c r="X8" i="22"/>
  <c r="Q8" i="22"/>
  <c r="R8" i="22" s="1"/>
  <c r="I8" i="22"/>
  <c r="G8" i="22"/>
  <c r="X7" i="22"/>
  <c r="Q7" i="22"/>
  <c r="R7" i="22" s="1"/>
  <c r="S7" i="22" s="1"/>
  <c r="T7" i="22" s="1"/>
  <c r="U7" i="22" s="1"/>
  <c r="I7" i="22"/>
  <c r="G7" i="22"/>
  <c r="X6" i="22"/>
  <c r="Q6" i="22"/>
  <c r="R6" i="22" s="1"/>
  <c r="S6" i="22" s="1"/>
  <c r="T6" i="22" s="1"/>
  <c r="U6" i="22" s="1"/>
  <c r="I6" i="22"/>
  <c r="G6" i="22"/>
  <c r="I5" i="22"/>
  <c r="G5" i="22"/>
  <c r="G17" i="22" s="1"/>
  <c r="P17" i="21"/>
  <c r="P18" i="21" s="1"/>
  <c r="N17" i="21"/>
  <c r="M17" i="21"/>
  <c r="L17" i="21"/>
  <c r="K17" i="21"/>
  <c r="M18" i="21" s="1"/>
  <c r="H17" i="21"/>
  <c r="X16" i="21"/>
  <c r="R16" i="21"/>
  <c r="Q16" i="21"/>
  <c r="G16" i="21"/>
  <c r="I16" i="21" s="1"/>
  <c r="X15" i="21"/>
  <c r="R15" i="21"/>
  <c r="Q15" i="21"/>
  <c r="G15" i="21"/>
  <c r="I15" i="21" s="1"/>
  <c r="X14" i="21"/>
  <c r="Q14" i="21"/>
  <c r="G14" i="21"/>
  <c r="I14" i="21" s="1"/>
  <c r="I17" i="21" s="1"/>
  <c r="X13" i="21"/>
  <c r="U13" i="21"/>
  <c r="R13" i="21"/>
  <c r="S13" i="21" s="1"/>
  <c r="Q13" i="21"/>
  <c r="G13" i="21"/>
  <c r="X12" i="21"/>
  <c r="U12" i="21"/>
  <c r="S12" i="21"/>
  <c r="R12" i="21"/>
  <c r="Q12" i="21"/>
  <c r="G12" i="21"/>
  <c r="X11" i="21"/>
  <c r="U11" i="21"/>
  <c r="R11" i="21"/>
  <c r="S11" i="21" s="1"/>
  <c r="Q11" i="21"/>
  <c r="G11" i="21"/>
  <c r="X10" i="21"/>
  <c r="U10" i="21"/>
  <c r="S10" i="21"/>
  <c r="R10" i="21"/>
  <c r="Q10" i="21"/>
  <c r="G10" i="21"/>
  <c r="X9" i="21"/>
  <c r="U9" i="21"/>
  <c r="R9" i="21"/>
  <c r="S9" i="21" s="1"/>
  <c r="Q9" i="21"/>
  <c r="R14" i="21" s="1"/>
  <c r="S14" i="21" s="1"/>
  <c r="T14" i="21" s="1"/>
  <c r="U14" i="21" s="1"/>
  <c r="G9" i="21"/>
  <c r="X8" i="21"/>
  <c r="U8" i="21"/>
  <c r="S8" i="21"/>
  <c r="R8" i="21"/>
  <c r="Q8" i="21"/>
  <c r="G8" i="21"/>
  <c r="X7" i="21"/>
  <c r="U7" i="21"/>
  <c r="R7" i="21"/>
  <c r="S7" i="21" s="1"/>
  <c r="Q7" i="21"/>
  <c r="G7" i="21"/>
  <c r="X6" i="21"/>
  <c r="S6" i="21"/>
  <c r="R6" i="21"/>
  <c r="Q6" i="21"/>
  <c r="C6" i="21"/>
  <c r="X5" i="21"/>
  <c r="U5" i="21"/>
  <c r="R5" i="21"/>
  <c r="S5" i="21" s="1"/>
  <c r="Q5" i="21"/>
  <c r="G5" i="21"/>
  <c r="M18" i="20"/>
  <c r="P17" i="20"/>
  <c r="P18" i="20" s="1"/>
  <c r="N17" i="20"/>
  <c r="M17" i="20"/>
  <c r="L17" i="20"/>
  <c r="L18" i="20" s="1"/>
  <c r="K17" i="20"/>
  <c r="H17" i="20"/>
  <c r="X16" i="20"/>
  <c r="Q16" i="20"/>
  <c r="R16" i="20" s="1"/>
  <c r="G16" i="20"/>
  <c r="I16" i="20" s="1"/>
  <c r="X15" i="20"/>
  <c r="Q15" i="20"/>
  <c r="R15" i="20" s="1"/>
  <c r="G15" i="20"/>
  <c r="I15" i="20" s="1"/>
  <c r="X14" i="20"/>
  <c r="Q14" i="20"/>
  <c r="R14" i="20" s="1"/>
  <c r="G14" i="20"/>
  <c r="I14" i="20" s="1"/>
  <c r="X13" i="20"/>
  <c r="Q13" i="20"/>
  <c r="R13" i="20" s="1"/>
  <c r="G13" i="20"/>
  <c r="I13" i="20" s="1"/>
  <c r="X12" i="20"/>
  <c r="Q12" i="20"/>
  <c r="R12" i="20" s="1"/>
  <c r="G12" i="20"/>
  <c r="I12" i="20" s="1"/>
  <c r="X11" i="20"/>
  <c r="Q11" i="20"/>
  <c r="R11" i="20" s="1"/>
  <c r="G11" i="20"/>
  <c r="I11" i="20" s="1"/>
  <c r="X10" i="20"/>
  <c r="Q10" i="20"/>
  <c r="R10" i="20" s="1"/>
  <c r="G10" i="20"/>
  <c r="I10" i="20" s="1"/>
  <c r="X9" i="20"/>
  <c r="Q9" i="20"/>
  <c r="R9" i="20" s="1"/>
  <c r="G9" i="20"/>
  <c r="I9" i="20" s="1"/>
  <c r="X8" i="20"/>
  <c r="Q8" i="20"/>
  <c r="R8" i="20" s="1"/>
  <c r="G8" i="20"/>
  <c r="I8" i="20" s="1"/>
  <c r="X7" i="20"/>
  <c r="Q7" i="20"/>
  <c r="R7" i="20" s="1"/>
  <c r="S7" i="20" s="1"/>
  <c r="T7" i="20" s="1"/>
  <c r="U7" i="20" s="1"/>
  <c r="G7" i="20"/>
  <c r="I7" i="20" s="1"/>
  <c r="X6" i="20"/>
  <c r="Q6" i="20"/>
  <c r="R6" i="20" s="1"/>
  <c r="S6" i="20" s="1"/>
  <c r="T6" i="20" s="1"/>
  <c r="U6" i="20" s="1"/>
  <c r="G6" i="20"/>
  <c r="I6" i="20" s="1"/>
  <c r="G5" i="20"/>
  <c r="I5" i="20" s="1"/>
  <c r="P18" i="19"/>
  <c r="P17" i="19"/>
  <c r="N17" i="19"/>
  <c r="M17" i="19"/>
  <c r="M18" i="19" s="1"/>
  <c r="L17" i="19"/>
  <c r="L18" i="19" s="1"/>
  <c r="K17" i="19"/>
  <c r="H17" i="19"/>
  <c r="X16" i="19"/>
  <c r="Q16" i="19"/>
  <c r="R16" i="19" s="1"/>
  <c r="I16" i="19"/>
  <c r="G16" i="19"/>
  <c r="X15" i="19"/>
  <c r="Q15" i="19"/>
  <c r="R15" i="19" s="1"/>
  <c r="I15" i="19"/>
  <c r="G15" i="19"/>
  <c r="X14" i="19"/>
  <c r="Q14" i="19"/>
  <c r="I14" i="19"/>
  <c r="G14" i="19"/>
  <c r="X13" i="19"/>
  <c r="U13" i="19"/>
  <c r="S13" i="19"/>
  <c r="R13" i="19"/>
  <c r="Q13" i="19"/>
  <c r="G13" i="19"/>
  <c r="X12" i="19"/>
  <c r="U12" i="19"/>
  <c r="R12" i="19"/>
  <c r="S12" i="19" s="1"/>
  <c r="Q12" i="19"/>
  <c r="G12" i="19"/>
  <c r="X11" i="19"/>
  <c r="U11" i="19"/>
  <c r="S11" i="19"/>
  <c r="R11" i="19"/>
  <c r="Q11" i="19"/>
  <c r="G11" i="19"/>
  <c r="X10" i="19"/>
  <c r="U10" i="19"/>
  <c r="R10" i="19"/>
  <c r="S10" i="19" s="1"/>
  <c r="Q10" i="19"/>
  <c r="G10" i="19"/>
  <c r="X9" i="19"/>
  <c r="U9" i="19"/>
  <c r="S9" i="19"/>
  <c r="R9" i="19"/>
  <c r="Q9" i="19"/>
  <c r="G9" i="19"/>
  <c r="X8" i="19"/>
  <c r="U8" i="19"/>
  <c r="R8" i="19"/>
  <c r="S8" i="19" s="1"/>
  <c r="Q8" i="19"/>
  <c r="G8" i="19"/>
  <c r="X7" i="19"/>
  <c r="U7" i="19"/>
  <c r="S7" i="19"/>
  <c r="R7" i="19"/>
  <c r="Q7" i="19"/>
  <c r="G7" i="19"/>
  <c r="X6" i="19"/>
  <c r="U6" i="19"/>
  <c r="R6" i="19"/>
  <c r="S6" i="19" s="1"/>
  <c r="Q6" i="19"/>
  <c r="G6" i="19"/>
  <c r="C6" i="19"/>
  <c r="X5" i="19"/>
  <c r="U5" i="19"/>
  <c r="S5" i="19"/>
  <c r="R5" i="19"/>
  <c r="Q5" i="19"/>
  <c r="G5" i="19"/>
  <c r="G17" i="19" s="1"/>
  <c r="P17" i="18"/>
  <c r="P18" i="18" s="1"/>
  <c r="N17" i="18"/>
  <c r="M17" i="18"/>
  <c r="M18" i="18" s="1"/>
  <c r="L17" i="18"/>
  <c r="L18" i="18" s="1"/>
  <c r="K17" i="18"/>
  <c r="G17" i="18"/>
  <c r="R16" i="18"/>
  <c r="Q16" i="18"/>
  <c r="I16" i="18"/>
  <c r="R15" i="18"/>
  <c r="Q15" i="18"/>
  <c r="I15" i="18"/>
  <c r="R14" i="18"/>
  <c r="Q14" i="18"/>
  <c r="I14" i="18"/>
  <c r="R13" i="18"/>
  <c r="Q13" i="18"/>
  <c r="I13" i="18"/>
  <c r="R12" i="18"/>
  <c r="Q12" i="18"/>
  <c r="I12" i="18"/>
  <c r="E12" i="18"/>
  <c r="R11" i="18"/>
  <c r="Q11" i="18"/>
  <c r="I11" i="18"/>
  <c r="H11" i="18"/>
  <c r="H17" i="18" s="1"/>
  <c r="E11" i="18"/>
  <c r="R10" i="18"/>
  <c r="Q10" i="18"/>
  <c r="I10" i="18"/>
  <c r="E10" i="18"/>
  <c r="R9" i="18"/>
  <c r="Q9" i="18"/>
  <c r="I9" i="18"/>
  <c r="E9" i="18"/>
  <c r="R8" i="18"/>
  <c r="Q8" i="18"/>
  <c r="I8" i="18"/>
  <c r="R7" i="18"/>
  <c r="Q7" i="18"/>
  <c r="I7" i="18"/>
  <c r="E7" i="18"/>
  <c r="R6" i="18"/>
  <c r="S6" i="18" s="1"/>
  <c r="T6" i="18" s="1"/>
  <c r="Q6" i="18"/>
  <c r="I6" i="18"/>
  <c r="C6" i="18"/>
  <c r="S5" i="18"/>
  <c r="T5" i="18" s="1"/>
  <c r="U5" i="18" s="1"/>
  <c r="R5" i="18"/>
  <c r="R17" i="18" s="1"/>
  <c r="Q5" i="18"/>
  <c r="Q17" i="18" s="1"/>
  <c r="I5" i="18"/>
  <c r="I17" i="18" s="1"/>
  <c r="C5" i="18"/>
  <c r="T1" i="18"/>
  <c r="P18" i="17"/>
  <c r="P17" i="17"/>
  <c r="N17" i="17"/>
  <c r="M17" i="17"/>
  <c r="M18" i="17" s="1"/>
  <c r="L17" i="17"/>
  <c r="L18" i="17" s="1"/>
  <c r="K17" i="17"/>
  <c r="H17" i="17"/>
  <c r="R16" i="17"/>
  <c r="Q16" i="17"/>
  <c r="I16" i="17"/>
  <c r="G16" i="17"/>
  <c r="Q15" i="17"/>
  <c r="R15" i="17" s="1"/>
  <c r="G15" i="17"/>
  <c r="I15" i="17" s="1"/>
  <c r="Q14" i="17"/>
  <c r="R14" i="17" s="1"/>
  <c r="I14" i="17"/>
  <c r="G14" i="17"/>
  <c r="R13" i="17"/>
  <c r="Q13" i="17"/>
  <c r="G13" i="17"/>
  <c r="I13" i="17" s="1"/>
  <c r="Q12" i="17"/>
  <c r="R12" i="17" s="1"/>
  <c r="G12" i="17"/>
  <c r="I12" i="17" s="1"/>
  <c r="Q11" i="17"/>
  <c r="R11" i="17" s="1"/>
  <c r="I11" i="17"/>
  <c r="G11" i="17"/>
  <c r="R10" i="17"/>
  <c r="Q10" i="17"/>
  <c r="G10" i="17"/>
  <c r="I10" i="17" s="1"/>
  <c r="Q9" i="17"/>
  <c r="R9" i="17" s="1"/>
  <c r="G9" i="17"/>
  <c r="I9" i="17" s="1"/>
  <c r="R8" i="17"/>
  <c r="Q8" i="17"/>
  <c r="I8" i="17"/>
  <c r="G8" i="17"/>
  <c r="Q7" i="17"/>
  <c r="R7" i="17" s="1"/>
  <c r="G7" i="17"/>
  <c r="I7" i="17" s="1"/>
  <c r="Q6" i="17"/>
  <c r="R6" i="17" s="1"/>
  <c r="I6" i="17"/>
  <c r="G6" i="17"/>
  <c r="R5" i="17"/>
  <c r="R17" i="17" s="1"/>
  <c r="Q5" i="17"/>
  <c r="Q17" i="17" s="1"/>
  <c r="G5" i="17"/>
  <c r="G17" i="17" s="1"/>
  <c r="T1" i="17"/>
  <c r="O17" i="8"/>
  <c r="M17" i="8"/>
  <c r="L17" i="8"/>
  <c r="L18" i="8" s="1"/>
  <c r="K17" i="8"/>
  <c r="J17" i="8"/>
  <c r="K18" i="8" s="1"/>
  <c r="H17" i="8"/>
  <c r="Q16" i="8"/>
  <c r="R16" i="8" s="1"/>
  <c r="P16" i="8"/>
  <c r="I16" i="8"/>
  <c r="G16" i="8"/>
  <c r="Q15" i="8"/>
  <c r="R15" i="8" s="1"/>
  <c r="P15" i="8"/>
  <c r="I15" i="8"/>
  <c r="G15" i="8"/>
  <c r="Q14" i="8"/>
  <c r="R14" i="8" s="1"/>
  <c r="P14" i="8"/>
  <c r="I14" i="8"/>
  <c r="G14" i="8"/>
  <c r="Q13" i="8"/>
  <c r="R13" i="8" s="1"/>
  <c r="P13" i="8"/>
  <c r="I13" i="8"/>
  <c r="G13" i="8"/>
  <c r="Q12" i="8"/>
  <c r="R12" i="8" s="1"/>
  <c r="P12" i="8"/>
  <c r="I12" i="8"/>
  <c r="G12" i="8"/>
  <c r="Q11" i="8"/>
  <c r="R11" i="8" s="1"/>
  <c r="P11" i="8"/>
  <c r="I11" i="8"/>
  <c r="G11" i="8"/>
  <c r="Q10" i="8"/>
  <c r="R10" i="8" s="1"/>
  <c r="P10" i="8"/>
  <c r="I10" i="8"/>
  <c r="G10" i="8"/>
  <c r="Q9" i="8"/>
  <c r="P9" i="8"/>
  <c r="I9" i="8"/>
  <c r="G9" i="8"/>
  <c r="Q8" i="8"/>
  <c r="P8" i="8"/>
  <c r="I8" i="8"/>
  <c r="G8" i="8"/>
  <c r="Q7" i="8"/>
  <c r="P7" i="8"/>
  <c r="G7" i="8"/>
  <c r="I7" i="8" s="1"/>
  <c r="Q6" i="8"/>
  <c r="P6" i="8"/>
  <c r="G6" i="8"/>
  <c r="I6" i="8" s="1"/>
  <c r="U5" i="8"/>
  <c r="T5" i="8"/>
  <c r="S6" i="8" s="1"/>
  <c r="T6" i="8" s="1"/>
  <c r="S5" i="8"/>
  <c r="Q5" i="8"/>
  <c r="R9" i="8" s="1"/>
  <c r="P5" i="8"/>
  <c r="P17" i="8" s="1"/>
  <c r="I5" i="8"/>
  <c r="G5" i="8"/>
  <c r="G17" i="8" s="1"/>
  <c r="F25" i="9"/>
  <c r="F23" i="9"/>
  <c r="F24" i="9" s="1"/>
  <c r="G22" i="9"/>
  <c r="G21" i="9"/>
  <c r="AB17" i="9"/>
  <c r="R17" i="9"/>
  <c r="AG16" i="9"/>
  <c r="AG17" i="9" s="1"/>
  <c r="AF16" i="9"/>
  <c r="AE16" i="9"/>
  <c r="AE17" i="9" s="1"/>
  <c r="AD16" i="9"/>
  <c r="AB16" i="9"/>
  <c r="AA16" i="9"/>
  <c r="AA17" i="9" s="1"/>
  <c r="Z16" i="9"/>
  <c r="Z17" i="9" s="1"/>
  <c r="Y16" i="9"/>
  <c r="Y17" i="9" s="1"/>
  <c r="X16" i="9"/>
  <c r="V16" i="9"/>
  <c r="V17" i="9" s="1"/>
  <c r="U16" i="9"/>
  <c r="U17" i="9" s="1"/>
  <c r="T16" i="9"/>
  <c r="R16" i="9"/>
  <c r="Q16" i="9"/>
  <c r="Q17" i="9" s="1"/>
  <c r="N16" i="9"/>
  <c r="N17" i="9" s="1"/>
  <c r="L16" i="9"/>
  <c r="J16" i="9"/>
  <c r="I16" i="9"/>
  <c r="H16" i="9"/>
  <c r="AH15" i="9"/>
  <c r="AC15" i="9"/>
  <c r="AI15" i="9" s="1"/>
  <c r="W15" i="9"/>
  <c r="S15" i="9"/>
  <c r="P15" i="9"/>
  <c r="G15" i="9"/>
  <c r="AI14" i="9"/>
  <c r="AH14" i="9"/>
  <c r="AC14" i="9"/>
  <c r="W14" i="9"/>
  <c r="S14" i="9"/>
  <c r="P14" i="9"/>
  <c r="G14" i="9"/>
  <c r="AH13" i="9"/>
  <c r="AI13" i="9" s="1"/>
  <c r="AC13" i="9"/>
  <c r="W13" i="9"/>
  <c r="S13" i="9"/>
  <c r="P13" i="9"/>
  <c r="G13" i="9"/>
  <c r="AI12" i="9"/>
  <c r="AH12" i="9"/>
  <c r="AC12" i="9"/>
  <c r="W12" i="9"/>
  <c r="S12" i="9"/>
  <c r="P12" i="9"/>
  <c r="G12" i="9"/>
  <c r="AH11" i="9"/>
  <c r="AI11" i="9" s="1"/>
  <c r="AC11" i="9"/>
  <c r="W11" i="9"/>
  <c r="S11" i="9"/>
  <c r="P11" i="9"/>
  <c r="G11" i="9"/>
  <c r="AI10" i="9"/>
  <c r="AH10" i="9"/>
  <c r="AC10" i="9"/>
  <c r="W10" i="9"/>
  <c r="S10" i="9"/>
  <c r="P10" i="9"/>
  <c r="G10" i="9"/>
  <c r="AH9" i="9"/>
  <c r="AI9" i="9" s="1"/>
  <c r="AC9" i="9"/>
  <c r="W9" i="9"/>
  <c r="S9" i="9"/>
  <c r="P9" i="9"/>
  <c r="K9" i="9"/>
  <c r="G9" i="9"/>
  <c r="AH8" i="9"/>
  <c r="AI8" i="9" s="1"/>
  <c r="AC8" i="9"/>
  <c r="W8" i="9"/>
  <c r="S8" i="9"/>
  <c r="P8" i="9"/>
  <c r="K8" i="9"/>
  <c r="G8" i="9"/>
  <c r="AH7" i="9"/>
  <c r="AC7" i="9"/>
  <c r="AI7" i="9" s="1"/>
  <c r="W7" i="9"/>
  <c r="S7" i="9"/>
  <c r="P7" i="9"/>
  <c r="K7" i="9"/>
  <c r="E7" i="9" s="1"/>
  <c r="AI6" i="9"/>
  <c r="AH6" i="9"/>
  <c r="AC6" i="9"/>
  <c r="W6" i="9"/>
  <c r="S6" i="9"/>
  <c r="P6" i="9"/>
  <c r="K6" i="9"/>
  <c r="E6" i="9"/>
  <c r="AI5" i="9"/>
  <c r="AH5" i="9"/>
  <c r="AC5" i="9"/>
  <c r="W5" i="9"/>
  <c r="S5" i="9"/>
  <c r="P5" i="9"/>
  <c r="K5" i="9"/>
  <c r="E5" i="9"/>
  <c r="AH4" i="9"/>
  <c r="AH16" i="9" s="1"/>
  <c r="AC4" i="9"/>
  <c r="AC16" i="9" s="1"/>
  <c r="AC17" i="9" s="1"/>
  <c r="W4" i="9"/>
  <c r="W16" i="9" s="1"/>
  <c r="W17" i="9" s="1"/>
  <c r="S4" i="9"/>
  <c r="S16" i="9" s="1"/>
  <c r="S17" i="9" s="1"/>
  <c r="P4" i="9"/>
  <c r="P16" i="9" s="1"/>
  <c r="P17" i="9" s="1"/>
  <c r="K4" i="9"/>
  <c r="E4" i="9"/>
  <c r="R24" i="8" l="1"/>
  <c r="P18" i="8"/>
  <c r="S7" i="18"/>
  <c r="T7" i="18" s="1"/>
  <c r="U7" i="18" s="1"/>
  <c r="U6" i="18"/>
  <c r="AH17" i="9"/>
  <c r="T21" i="9"/>
  <c r="T22" i="9"/>
  <c r="R17" i="8"/>
  <c r="S8" i="20"/>
  <c r="T8" i="20" s="1"/>
  <c r="U8" i="20" s="1"/>
  <c r="S7" i="8"/>
  <c r="T7" i="8" s="1"/>
  <c r="U6" i="8"/>
  <c r="S9" i="20"/>
  <c r="T9" i="20" s="1"/>
  <c r="U9" i="20" s="1"/>
  <c r="I17" i="8"/>
  <c r="S15" i="23"/>
  <c r="T15" i="23" s="1"/>
  <c r="U15" i="23" s="1"/>
  <c r="Q17" i="8"/>
  <c r="R14" i="19"/>
  <c r="Q17" i="21"/>
  <c r="S16" i="21"/>
  <c r="T16" i="21" s="1"/>
  <c r="G17" i="24"/>
  <c r="I5" i="24"/>
  <c r="I17" i="24" s="1"/>
  <c r="G17" i="26"/>
  <c r="I5" i="26"/>
  <c r="I17" i="26" s="1"/>
  <c r="G16" i="9"/>
  <c r="K10" i="9"/>
  <c r="M10" i="9" s="1"/>
  <c r="K12" i="9"/>
  <c r="M12" i="9" s="1"/>
  <c r="K14" i="9"/>
  <c r="M14" i="9" s="1"/>
  <c r="I5" i="17"/>
  <c r="I17" i="17" s="1"/>
  <c r="I17" i="20"/>
  <c r="R8" i="15"/>
  <c r="S8" i="15" s="1"/>
  <c r="T8" i="15" s="1"/>
  <c r="T7" i="15"/>
  <c r="S7" i="3"/>
  <c r="U7" i="3" s="1"/>
  <c r="W7" i="3" s="1"/>
  <c r="W6" i="3"/>
  <c r="S8" i="26"/>
  <c r="T8" i="26" s="1"/>
  <c r="U8" i="26" s="1"/>
  <c r="Q17" i="4"/>
  <c r="I17" i="19"/>
  <c r="U6" i="21"/>
  <c r="G6" i="21"/>
  <c r="S15" i="21"/>
  <c r="T15" i="21" s="1"/>
  <c r="U15" i="21" s="1"/>
  <c r="T6" i="24"/>
  <c r="W6" i="4"/>
  <c r="S7" i="4"/>
  <c r="U7" i="4" s="1"/>
  <c r="R23" i="1"/>
  <c r="S7" i="1"/>
  <c r="U7" i="1" s="1"/>
  <c r="W7" i="1" s="1"/>
  <c r="G23" i="9"/>
  <c r="S5" i="17"/>
  <c r="T5" i="17" s="1"/>
  <c r="U5" i="17" s="1"/>
  <c r="S8" i="22"/>
  <c r="T8" i="22" s="1"/>
  <c r="U8" i="22" s="1"/>
  <c r="R17" i="23"/>
  <c r="P18" i="15"/>
  <c r="Q18" i="5"/>
  <c r="R17" i="4"/>
  <c r="R21" i="4" s="1"/>
  <c r="Q17" i="19"/>
  <c r="AI4" i="9"/>
  <c r="K11" i="9"/>
  <c r="M11" i="9" s="1"/>
  <c r="K13" i="9"/>
  <c r="M13" i="9" s="1"/>
  <c r="K15" i="9"/>
  <c r="M15" i="9" s="1"/>
  <c r="S16" i="23"/>
  <c r="T16" i="23" s="1"/>
  <c r="AA15" i="16"/>
  <c r="R17" i="3"/>
  <c r="G17" i="21"/>
  <c r="S7" i="26"/>
  <c r="T7" i="26" s="1"/>
  <c r="U7" i="26" s="1"/>
  <c r="I17" i="4"/>
  <c r="I23" i="4"/>
  <c r="U6" i="25"/>
  <c r="L19" i="15"/>
  <c r="G17" i="4"/>
  <c r="G17" i="7"/>
  <c r="R17" i="21"/>
  <c r="Q9" i="15"/>
  <c r="G18" i="5"/>
  <c r="I6" i="5"/>
  <c r="I18" i="5" s="1"/>
  <c r="I17" i="7"/>
  <c r="K18" i="1"/>
  <c r="L18" i="21"/>
  <c r="L18" i="24"/>
  <c r="I17" i="25"/>
  <c r="P18" i="5"/>
  <c r="S8" i="3"/>
  <c r="U8" i="3" s="1"/>
  <c r="W8" i="3" s="1"/>
  <c r="Q17" i="7"/>
  <c r="W5" i="1"/>
  <c r="G17" i="1"/>
  <c r="I12" i="1"/>
  <c r="I17" i="1" s="1"/>
  <c r="G17" i="20"/>
  <c r="M18" i="24"/>
  <c r="U5" i="7"/>
  <c r="W5" i="7" s="1"/>
  <c r="S6" i="5"/>
  <c r="L18" i="4"/>
  <c r="M24" i="4"/>
  <c r="P23" i="4"/>
  <c r="P18" i="1"/>
  <c r="G17" i="3"/>
  <c r="Q17" i="3"/>
  <c r="R14" i="25"/>
  <c r="S14" i="25" s="1"/>
  <c r="T14" i="25" s="1"/>
  <c r="T5" i="6"/>
  <c r="G17" i="6"/>
  <c r="I5" i="6"/>
  <c r="I23" i="1"/>
  <c r="S23" i="1" s="1"/>
  <c r="R9" i="15" l="1"/>
  <c r="S9" i="15" s="1"/>
  <c r="Q18" i="15"/>
  <c r="S9" i="22"/>
  <c r="T9" i="22" s="1"/>
  <c r="S8" i="18"/>
  <c r="T8" i="18" s="1"/>
  <c r="U16" i="21"/>
  <c r="O5" i="22"/>
  <c r="I17" i="6"/>
  <c r="I23" i="6"/>
  <c r="R23" i="6" s="1"/>
  <c r="U22" i="7"/>
  <c r="O5" i="24"/>
  <c r="U16" i="23"/>
  <c r="S6" i="7"/>
  <c r="U6" i="7" s="1"/>
  <c r="U6" i="24"/>
  <c r="S7" i="24"/>
  <c r="T7" i="24" s="1"/>
  <c r="S14" i="19"/>
  <c r="T14" i="19" s="1"/>
  <c r="R17" i="19"/>
  <c r="R22" i="3"/>
  <c r="K16" i="9"/>
  <c r="T23" i="9"/>
  <c r="U7" i="8"/>
  <c r="S8" i="8"/>
  <c r="T8" i="8" s="1"/>
  <c r="Q23" i="4"/>
  <c r="N24" i="4" s="1"/>
  <c r="S9" i="26"/>
  <c r="T9" i="26" s="1"/>
  <c r="S9" i="3"/>
  <c r="U9" i="3" s="1"/>
  <c r="R17" i="25"/>
  <c r="U14" i="25"/>
  <c r="S15" i="25"/>
  <c r="T15" i="25" s="1"/>
  <c r="AJ4" i="9"/>
  <c r="AK4" i="9" s="1"/>
  <c r="AI16" i="9"/>
  <c r="AI17" i="9" s="1"/>
  <c r="G25" i="9"/>
  <c r="G24" i="9"/>
  <c r="M16" i="9"/>
  <c r="R22" i="8"/>
  <c r="R6" i="6"/>
  <c r="T6" i="6" s="1"/>
  <c r="V5" i="6"/>
  <c r="R7" i="5"/>
  <c r="S7" i="5" s="1"/>
  <c r="T6" i="5"/>
  <c r="S8" i="1"/>
  <c r="U8" i="1" s="1"/>
  <c r="W7" i="4"/>
  <c r="S8" i="4"/>
  <c r="U8" i="4" s="1"/>
  <c r="S6" i="17"/>
  <c r="T6" i="17" s="1"/>
  <c r="S10" i="20"/>
  <c r="T10" i="20" s="1"/>
  <c r="W9" i="3" l="1"/>
  <c r="S10" i="3"/>
  <c r="U10" i="3" s="1"/>
  <c r="U7" i="24"/>
  <c r="S8" i="24"/>
  <c r="T8" i="24" s="1"/>
  <c r="O17" i="22"/>
  <c r="Q5" i="22"/>
  <c r="AL4" i="9"/>
  <c r="AJ5" i="9"/>
  <c r="AK5" i="9" s="1"/>
  <c r="U8" i="8"/>
  <c r="S9" i="8"/>
  <c r="T9" i="8" s="1"/>
  <c r="U14" i="19"/>
  <c r="S15" i="19"/>
  <c r="T15" i="19" s="1"/>
  <c r="W6" i="7"/>
  <c r="S7" i="7"/>
  <c r="U7" i="7" s="1"/>
  <c r="U8" i="18"/>
  <c r="S9" i="18"/>
  <c r="T9" i="18" s="1"/>
  <c r="U9" i="26"/>
  <c r="S10" i="26"/>
  <c r="T10" i="26" s="1"/>
  <c r="U15" i="25"/>
  <c r="S16" i="25"/>
  <c r="T16" i="25" s="1"/>
  <c r="V6" i="6"/>
  <c r="R7" i="6"/>
  <c r="T7" i="6" s="1"/>
  <c r="U9" i="22"/>
  <c r="S10" i="22"/>
  <c r="T10" i="22" s="1"/>
  <c r="U10" i="20"/>
  <c r="S11" i="20"/>
  <c r="T11" i="20" s="1"/>
  <c r="O17" i="24"/>
  <c r="Q5" i="24"/>
  <c r="W8" i="1"/>
  <c r="S9" i="1"/>
  <c r="U9" i="1" s="1"/>
  <c r="T7" i="5"/>
  <c r="R8" i="5"/>
  <c r="S8" i="5" s="1"/>
  <c r="U6" i="17"/>
  <c r="S7" i="17"/>
  <c r="T7" i="17" s="1"/>
  <c r="W8" i="4"/>
  <c r="S9" i="4"/>
  <c r="U9" i="4" s="1"/>
  <c r="O17" i="9"/>
  <c r="AF17" i="9"/>
  <c r="T9" i="15"/>
  <c r="R10" i="15"/>
  <c r="S10" i="15" s="1"/>
  <c r="V7" i="6" l="1"/>
  <c r="R8" i="6"/>
  <c r="T8" i="6" s="1"/>
  <c r="W7" i="7"/>
  <c r="S8" i="7"/>
  <c r="U8" i="7" s="1"/>
  <c r="Q17" i="22"/>
  <c r="R5" i="22"/>
  <c r="T10" i="15"/>
  <c r="R11" i="15"/>
  <c r="S11" i="15" s="1"/>
  <c r="AL5" i="9"/>
  <c r="AJ6" i="9"/>
  <c r="AK6" i="9" s="1"/>
  <c r="W9" i="4"/>
  <c r="S10" i="4"/>
  <c r="U10" i="4" s="1"/>
  <c r="U15" i="19"/>
  <c r="S16" i="19"/>
  <c r="T16" i="19" s="1"/>
  <c r="U8" i="24"/>
  <c r="S9" i="24"/>
  <c r="T9" i="24" s="1"/>
  <c r="T8" i="5"/>
  <c r="R9" i="5"/>
  <c r="S9" i="5" s="1"/>
  <c r="R5" i="24"/>
  <c r="Q17" i="24"/>
  <c r="U10" i="22"/>
  <c r="S11" i="22"/>
  <c r="T11" i="22" s="1"/>
  <c r="W9" i="1"/>
  <c r="S10" i="1"/>
  <c r="U10" i="1" s="1"/>
  <c r="U7" i="17"/>
  <c r="S8" i="17"/>
  <c r="T8" i="17" s="1"/>
  <c r="U11" i="20"/>
  <c r="S12" i="20"/>
  <c r="T12" i="20" s="1"/>
  <c r="U10" i="26"/>
  <c r="S11" i="26"/>
  <c r="T11" i="26" s="1"/>
  <c r="U9" i="8"/>
  <c r="S10" i="8"/>
  <c r="T10" i="8" s="1"/>
  <c r="W10" i="3"/>
  <c r="S11" i="3"/>
  <c r="U11" i="3" s="1"/>
  <c r="U9" i="18"/>
  <c r="S10" i="18"/>
  <c r="T10" i="18" s="1"/>
  <c r="U16" i="25"/>
  <c r="O5" i="26"/>
  <c r="U10" i="8" l="1"/>
  <c r="S11" i="8"/>
  <c r="T11" i="8" s="1"/>
  <c r="S11" i="1"/>
  <c r="U11" i="1" s="1"/>
  <c r="W10" i="1"/>
  <c r="U9" i="24"/>
  <c r="S10" i="24"/>
  <c r="T10" i="24" s="1"/>
  <c r="T11" i="15"/>
  <c r="R12" i="15"/>
  <c r="S12" i="15" s="1"/>
  <c r="U11" i="22"/>
  <c r="S12" i="22"/>
  <c r="T12" i="22" s="1"/>
  <c r="O5" i="20"/>
  <c r="U16" i="19"/>
  <c r="S5" i="22"/>
  <c r="T5" i="22" s="1"/>
  <c r="U5" i="22" s="1"/>
  <c r="R17" i="22"/>
  <c r="O17" i="26"/>
  <c r="Q5" i="26"/>
  <c r="U12" i="20"/>
  <c r="S13" i="20"/>
  <c r="T13" i="20" s="1"/>
  <c r="W10" i="4"/>
  <c r="S11" i="4"/>
  <c r="U11" i="4" s="1"/>
  <c r="W8" i="7"/>
  <c r="S9" i="7"/>
  <c r="U9" i="7" s="1"/>
  <c r="U10" i="18"/>
  <c r="S11" i="18"/>
  <c r="T11" i="18" s="1"/>
  <c r="S5" i="24"/>
  <c r="T5" i="24" s="1"/>
  <c r="U5" i="24" s="1"/>
  <c r="R17" i="24"/>
  <c r="U11" i="26"/>
  <c r="S12" i="26"/>
  <c r="T12" i="26" s="1"/>
  <c r="W11" i="3"/>
  <c r="S12" i="3"/>
  <c r="U12" i="3" s="1"/>
  <c r="T9" i="5"/>
  <c r="R10" i="5"/>
  <c r="S10" i="5" s="1"/>
  <c r="AL6" i="9"/>
  <c r="AJ7" i="9"/>
  <c r="AK7" i="9" s="1"/>
  <c r="R9" i="6"/>
  <c r="T9" i="6" s="1"/>
  <c r="V8" i="6"/>
  <c r="U8" i="17"/>
  <c r="S9" i="17"/>
  <c r="T9" i="17" s="1"/>
  <c r="R11" i="5" l="1"/>
  <c r="S11" i="5" s="1"/>
  <c r="T10" i="5"/>
  <c r="S12" i="18"/>
  <c r="T12" i="18" s="1"/>
  <c r="U11" i="18"/>
  <c r="R5" i="26"/>
  <c r="Q17" i="26"/>
  <c r="T12" i="15"/>
  <c r="R13" i="15"/>
  <c r="S13" i="15" s="1"/>
  <c r="S10" i="7"/>
  <c r="U10" i="7" s="1"/>
  <c r="W9" i="7"/>
  <c r="U10" i="24"/>
  <c r="S11" i="24"/>
  <c r="T11" i="24" s="1"/>
  <c r="W11" i="4"/>
  <c r="S12" i="4"/>
  <c r="U12" i="4" s="1"/>
  <c r="W12" i="3"/>
  <c r="S13" i="3"/>
  <c r="U13" i="3" s="1"/>
  <c r="U12" i="26"/>
  <c r="S13" i="26"/>
  <c r="T13" i="26" s="1"/>
  <c r="R10" i="6"/>
  <c r="T10" i="6" s="1"/>
  <c r="V9" i="6"/>
  <c r="Q5" i="20"/>
  <c r="O17" i="20"/>
  <c r="S12" i="1"/>
  <c r="U12" i="1" s="1"/>
  <c r="W11" i="1"/>
  <c r="U9" i="17"/>
  <c r="S10" i="17"/>
  <c r="T10" i="17" s="1"/>
  <c r="AL7" i="9"/>
  <c r="AJ8" i="9"/>
  <c r="AK8" i="9" s="1"/>
  <c r="U13" i="20"/>
  <c r="S14" i="20"/>
  <c r="T14" i="20" s="1"/>
  <c r="U12" i="22"/>
  <c r="S13" i="22"/>
  <c r="T13" i="22" s="1"/>
  <c r="U11" i="8"/>
  <c r="S12" i="8"/>
  <c r="T12" i="8" s="1"/>
  <c r="U13" i="22" l="1"/>
  <c r="S14" i="22"/>
  <c r="T14" i="22" s="1"/>
  <c r="W12" i="4"/>
  <c r="S13" i="4"/>
  <c r="U13" i="4" s="1"/>
  <c r="R14" i="15"/>
  <c r="S14" i="15" s="1"/>
  <c r="T13" i="15"/>
  <c r="Q17" i="20"/>
  <c r="R5" i="20"/>
  <c r="S5" i="26"/>
  <c r="T5" i="26" s="1"/>
  <c r="U5" i="26" s="1"/>
  <c r="R17" i="26"/>
  <c r="AL8" i="9"/>
  <c r="AJ9" i="9"/>
  <c r="AK9" i="9" s="1"/>
  <c r="U11" i="24"/>
  <c r="S12" i="24"/>
  <c r="T12" i="24" s="1"/>
  <c r="W13" i="3"/>
  <c r="S14" i="3"/>
  <c r="U14" i="3" s="1"/>
  <c r="V10" i="6"/>
  <c r="R11" i="6"/>
  <c r="T11" i="6" s="1"/>
  <c r="U12" i="18"/>
  <c r="S13" i="18"/>
  <c r="T13" i="18" s="1"/>
  <c r="S13" i="1"/>
  <c r="U13" i="1" s="1"/>
  <c r="X12" i="1"/>
  <c r="W12" i="1"/>
  <c r="U12" i="8"/>
  <c r="S13" i="8"/>
  <c r="T13" i="8" s="1"/>
  <c r="U10" i="17"/>
  <c r="S11" i="17"/>
  <c r="T11" i="17" s="1"/>
  <c r="U13" i="26"/>
  <c r="S14" i="26"/>
  <c r="T14" i="26" s="1"/>
  <c r="U14" i="20"/>
  <c r="S15" i="20"/>
  <c r="T15" i="20" s="1"/>
  <c r="S11" i="7"/>
  <c r="U11" i="7" s="1"/>
  <c r="W10" i="7"/>
  <c r="T11" i="5"/>
  <c r="R12" i="5"/>
  <c r="S12" i="5" s="1"/>
  <c r="U15" i="20" l="1"/>
  <c r="S16" i="20"/>
  <c r="T16" i="20" s="1"/>
  <c r="U16" i="20" s="1"/>
  <c r="U12" i="24"/>
  <c r="S13" i="24"/>
  <c r="T13" i="24" s="1"/>
  <c r="S14" i="1"/>
  <c r="U14" i="1" s="1"/>
  <c r="W13" i="1"/>
  <c r="T14" i="15"/>
  <c r="R15" i="15"/>
  <c r="S15" i="15" s="1"/>
  <c r="U13" i="18"/>
  <c r="S14" i="18"/>
  <c r="T14" i="18" s="1"/>
  <c r="AL9" i="9"/>
  <c r="AJ10" i="9"/>
  <c r="AK10" i="9" s="1"/>
  <c r="W13" i="4"/>
  <c r="S14" i="4"/>
  <c r="U14" i="4" s="1"/>
  <c r="W11" i="7"/>
  <c r="S12" i="7"/>
  <c r="U12" i="7" s="1"/>
  <c r="U14" i="26"/>
  <c r="S15" i="26"/>
  <c r="T15" i="26" s="1"/>
  <c r="T12" i="5"/>
  <c r="R13" i="5"/>
  <c r="S13" i="5" s="1"/>
  <c r="U11" i="17"/>
  <c r="S12" i="17"/>
  <c r="T12" i="17" s="1"/>
  <c r="S15" i="3"/>
  <c r="U15" i="3" s="1"/>
  <c r="W14" i="3"/>
  <c r="V11" i="6"/>
  <c r="R12" i="6"/>
  <c r="T12" i="6" s="1"/>
  <c r="U14" i="22"/>
  <c r="S15" i="22"/>
  <c r="T15" i="22" s="1"/>
  <c r="R17" i="20"/>
  <c r="S5" i="20"/>
  <c r="T5" i="20" s="1"/>
  <c r="U5" i="20" s="1"/>
  <c r="U13" i="8"/>
  <c r="S14" i="8"/>
  <c r="T14" i="8" s="1"/>
  <c r="U14" i="8" l="1"/>
  <c r="S15" i="8"/>
  <c r="T15" i="8" s="1"/>
  <c r="U12" i="17"/>
  <c r="S13" i="17"/>
  <c r="T13" i="17" s="1"/>
  <c r="W14" i="1"/>
  <c r="S15" i="1"/>
  <c r="U15" i="1" s="1"/>
  <c r="W15" i="3"/>
  <c r="S16" i="3"/>
  <c r="AL10" i="9"/>
  <c r="AJ11" i="9"/>
  <c r="AK11" i="9" s="1"/>
  <c r="U13" i="24"/>
  <c r="S14" i="24"/>
  <c r="T14" i="24" s="1"/>
  <c r="T15" i="15"/>
  <c r="R16" i="15"/>
  <c r="S16" i="15" s="1"/>
  <c r="T13" i="5"/>
  <c r="R14" i="5"/>
  <c r="S14" i="5" s="1"/>
  <c r="W12" i="7"/>
  <c r="X12" i="7"/>
  <c r="S13" i="7"/>
  <c r="U13" i="7" s="1"/>
  <c r="W14" i="4"/>
  <c r="S15" i="4"/>
  <c r="U15" i="4" s="1"/>
  <c r="U15" i="22"/>
  <c r="S16" i="22"/>
  <c r="T16" i="22" s="1"/>
  <c r="U16" i="22" s="1"/>
  <c r="U15" i="26"/>
  <c r="S16" i="26"/>
  <c r="T16" i="26" s="1"/>
  <c r="U16" i="26" s="1"/>
  <c r="U14" i="18"/>
  <c r="S15" i="18"/>
  <c r="T15" i="18" s="1"/>
  <c r="R13" i="6"/>
  <c r="T13" i="6" s="1"/>
  <c r="W12" i="6"/>
  <c r="V12" i="6"/>
  <c r="U16" i="3" l="1"/>
  <c r="W16" i="3" s="1"/>
  <c r="S21" i="3"/>
  <c r="T16" i="15"/>
  <c r="R17" i="15"/>
  <c r="S17" i="15" s="1"/>
  <c r="T17" i="15" s="1"/>
  <c r="T14" i="5"/>
  <c r="R15" i="5"/>
  <c r="S15" i="5" s="1"/>
  <c r="U13" i="17"/>
  <c r="S14" i="17"/>
  <c r="T14" i="17" s="1"/>
  <c r="W15" i="1"/>
  <c r="S16" i="1"/>
  <c r="R14" i="6"/>
  <c r="T14" i="6" s="1"/>
  <c r="V13" i="6"/>
  <c r="W13" i="7"/>
  <c r="S14" i="7"/>
  <c r="U14" i="7" s="1"/>
  <c r="S16" i="18"/>
  <c r="T16" i="18" s="1"/>
  <c r="U16" i="18" s="1"/>
  <c r="U15" i="18"/>
  <c r="AL11" i="9"/>
  <c r="AJ12" i="9"/>
  <c r="AK12" i="9" s="1"/>
  <c r="U15" i="8"/>
  <c r="S16" i="8"/>
  <c r="S16" i="4"/>
  <c r="W15" i="4"/>
  <c r="U14" i="24"/>
  <c r="S15" i="24"/>
  <c r="T15" i="24" s="1"/>
  <c r="W14" i="7" l="1"/>
  <c r="S15" i="7"/>
  <c r="U15" i="7" s="1"/>
  <c r="U14" i="17"/>
  <c r="S15" i="17"/>
  <c r="T15" i="17" s="1"/>
  <c r="V14" i="6"/>
  <c r="R15" i="6"/>
  <c r="T15" i="6" s="1"/>
  <c r="U15" i="24"/>
  <c r="S16" i="24"/>
  <c r="T16" i="24" s="1"/>
  <c r="U16" i="24" s="1"/>
  <c r="T15" i="5"/>
  <c r="R16" i="5"/>
  <c r="S16" i="5" s="1"/>
  <c r="S21" i="8"/>
  <c r="T16" i="8"/>
  <c r="U16" i="8" s="1"/>
  <c r="AL12" i="9"/>
  <c r="AJ13" i="9"/>
  <c r="AK13" i="9" s="1"/>
  <c r="U16" i="1"/>
  <c r="S21" i="1"/>
  <c r="U16" i="4"/>
  <c r="W16" i="4" s="1"/>
  <c r="S21" i="4"/>
  <c r="AL13" i="9" l="1"/>
  <c r="AJ14" i="9"/>
  <c r="AK14" i="9" s="1"/>
  <c r="V15" i="6"/>
  <c r="R16" i="6"/>
  <c r="U15" i="17"/>
  <c r="S16" i="17"/>
  <c r="T16" i="17" s="1"/>
  <c r="U16" i="17" s="1"/>
  <c r="U23" i="1"/>
  <c r="W16" i="1"/>
  <c r="T16" i="5"/>
  <c r="R17" i="5"/>
  <c r="S17" i="5" s="1"/>
  <c r="T17" i="5" s="1"/>
  <c r="W15" i="7"/>
  <c r="S16" i="7"/>
  <c r="R21" i="6" l="1"/>
  <c r="T16" i="6"/>
  <c r="S21" i="7"/>
  <c r="U16" i="7"/>
  <c r="W16" i="7" s="1"/>
  <c r="AL14" i="9"/>
  <c r="AJ15" i="9"/>
  <c r="AK15" i="9" s="1"/>
  <c r="AL15" i="9" s="1"/>
  <c r="T23" i="6" l="1"/>
  <c r="V16" i="6"/>
</calcChain>
</file>

<file path=xl/comments1.xml><?xml version="1.0" encoding="utf-8"?>
<comments xmlns="http://schemas.openxmlformats.org/spreadsheetml/2006/main">
  <authors>
    <author>(SHC-901) Cannie Chang</author>
    <author>(CB-451) Kamy Tao</author>
    <author>(CB-429) Rocky Li</author>
    <author>(CB-419) Logan Ha</author>
  </authors>
  <commentList>
    <comment ref="M2" authorId="0" shapeId="0">
      <text>
        <r>
          <rPr>
            <b/>
            <sz val="9"/>
            <color indexed="81"/>
            <rFont val="Tahoma"/>
            <family val="2"/>
          </rPr>
          <t>(SHC-901) Cannie Chang: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D7" authorId="1" shapeId="0">
      <text>
        <r>
          <rPr>
            <b/>
            <sz val="9"/>
            <color indexed="81"/>
            <rFont val="細明體"/>
            <family val="3"/>
            <charset val="136"/>
          </rPr>
          <t>周休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細明體"/>
            <family val="3"/>
            <charset val="136"/>
          </rPr>
          <t>天</t>
        </r>
      </text>
    </comment>
    <comment ref="D8" authorId="1" shapeId="0">
      <text>
        <r>
          <rPr>
            <b/>
            <sz val="9"/>
            <color indexed="81"/>
            <rFont val="細明體"/>
            <family val="3"/>
            <charset val="136"/>
          </rPr>
          <t>5/9全廠停工</t>
        </r>
      </text>
    </comment>
    <comment ref="D9" authorId="1" shapeId="0">
      <text>
        <r>
          <rPr>
            <b/>
            <sz val="9"/>
            <color indexed="81"/>
            <rFont val="細明體"/>
            <family val="3"/>
            <charset val="136"/>
          </rPr>
          <t>5/16，5/23，5/29，5/30全廠停工</t>
        </r>
      </text>
    </comment>
    <comment ref="AK9" authorId="2" shapeId="0">
      <text>
        <r>
          <rPr>
            <b/>
            <sz val="9"/>
            <color indexed="81"/>
            <rFont val="Tahoma"/>
            <family val="2"/>
          </rPr>
          <t>5/30  HOLD   TO 6/15</t>
        </r>
        <r>
          <rPr>
            <b/>
            <sz val="9"/>
            <color indexed="81"/>
            <rFont val="MingLiU"/>
            <family val="3"/>
            <charset val="136"/>
          </rPr>
          <t xml:space="preserve">
</t>
        </r>
        <r>
          <rPr>
            <b/>
            <sz val="9"/>
            <color indexed="81"/>
            <rFont val="Tahoma"/>
            <family val="2"/>
          </rPr>
          <t>39,890</t>
        </r>
        <r>
          <rPr>
            <b/>
            <sz val="9"/>
            <color indexed="81"/>
            <rFont val="MingLiU"/>
            <family val="3"/>
            <charset val="136"/>
          </rPr>
          <t>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1" shapeId="0">
      <text>
        <r>
          <rPr>
            <b/>
            <sz val="9"/>
            <color indexed="81"/>
            <rFont val="細明體"/>
            <family val="3"/>
            <charset val="136"/>
          </rPr>
          <t>周休3天</t>
        </r>
      </text>
    </comment>
    <comment ref="AK10" authorId="2" shapeId="0">
      <text>
        <r>
          <rPr>
            <sz val="9"/>
            <color indexed="81"/>
            <rFont val="Tahoma"/>
            <family val="2"/>
          </rPr>
          <t>6/15 HOLD TO 6/30   36,156</t>
        </r>
        <r>
          <rPr>
            <sz val="9"/>
            <color indexed="81"/>
            <rFont val="MingLiU"/>
            <family val="3"/>
            <charset val="136"/>
          </rPr>
          <t>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1" shapeId="0">
      <text>
        <r>
          <rPr>
            <b/>
            <sz val="9"/>
            <color indexed="81"/>
            <rFont val="細明體"/>
            <family val="3"/>
            <charset val="136"/>
          </rPr>
          <t>周休3天</t>
        </r>
      </text>
    </comment>
    <comment ref="AE11" authorId="3" shapeId="0">
      <text>
        <r>
          <rPr>
            <b/>
            <sz val="9"/>
            <color indexed="81"/>
            <rFont val="Tahoma"/>
            <family val="2"/>
          </rPr>
          <t>include 90860 prs transfer from SY2</t>
        </r>
      </text>
    </comment>
    <comment ref="D12" authorId="1" shapeId="0">
      <text>
        <r>
          <rPr>
            <b/>
            <sz val="9"/>
            <color indexed="81"/>
            <rFont val="細明體"/>
            <family val="3"/>
            <charset val="136"/>
          </rPr>
          <t>周休3天</t>
        </r>
      </text>
    </comment>
    <comment ref="D13" authorId="1" shapeId="0">
      <text>
        <r>
          <rPr>
            <b/>
            <sz val="9"/>
            <color indexed="81"/>
            <rFont val="細明體"/>
            <family val="3"/>
            <charset val="136"/>
          </rPr>
          <t>周休3天</t>
        </r>
      </text>
    </comment>
    <comment ref="AE13" authorId="3" shapeId="0">
      <text>
        <r>
          <rPr>
            <b/>
            <sz val="9"/>
            <color indexed="81"/>
            <rFont val="Tahoma"/>
            <family val="2"/>
          </rPr>
          <t>include 76585 prs transfer from SY2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1" shapeId="0">
      <text>
        <r>
          <rPr>
            <b/>
            <sz val="9"/>
            <color indexed="81"/>
            <rFont val="細明體"/>
            <family val="3"/>
            <charset val="136"/>
          </rPr>
          <t>周休3天</t>
        </r>
      </text>
    </comment>
    <comment ref="D15" authorId="1" shapeId="0">
      <text>
        <r>
          <rPr>
            <b/>
            <sz val="9"/>
            <color indexed="81"/>
            <rFont val="細明體"/>
            <family val="3"/>
            <charset val="136"/>
          </rPr>
          <t>周休3天</t>
        </r>
      </text>
    </comment>
    <comment ref="AE15" authorId="3" shapeId="0">
      <text>
        <r>
          <rPr>
            <b/>
            <sz val="9"/>
            <color indexed="81"/>
            <rFont val="Tahoma"/>
            <family val="2"/>
          </rPr>
          <t>include 28766 prs transfer from SY2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(SHC-909) Curtis Wang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CRD unfinish qty by pair + OPFC+ previous season CRD unfinish qty by pair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by pair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當月訂單可排訂單數量扣除pull forward 到上個半月的數量或加上從上個半月push out 到本半月的數量</t>
        </r>
      </text>
    </comment>
  </commentList>
</comments>
</file>

<file path=xl/comments3.xml><?xml version="1.0" encoding="utf-8"?>
<comments xmlns="http://schemas.openxmlformats.org/spreadsheetml/2006/main">
  <authors>
    <author>(SHC-909) Curtis Wang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The Qty outsourced from other Fty 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Include inline, Pre-planned, MTF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</commentList>
</comments>
</file>

<file path=xl/comments4.xml><?xml version="1.0" encoding="utf-8"?>
<comments xmlns="http://schemas.openxmlformats.org/spreadsheetml/2006/main">
  <authors>
    <author>(SHC-909) Curtis Wang</author>
    <author>(SHC-A01) Karen Xu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The Qty outsourced from other Fty (based on assembly date)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Include inline, Pre-planned, MTF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F6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P7-E7-I10</t>
        </r>
      </text>
    </comment>
    <comment ref="F7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P7-E7-I10-I5-I9-I6</t>
        </r>
      </text>
    </comment>
    <comment ref="J7" authorId="1" shapeId="0">
      <text>
        <r>
          <rPr>
            <b/>
            <sz val="9"/>
            <color indexed="81"/>
            <rFont val="Tahoma"/>
            <family val="2"/>
          </rPr>
          <t xml:space="preserve">(SHC-A01) Karen Xu:
</t>
        </r>
        <r>
          <rPr>
            <b/>
            <sz val="9"/>
            <color indexed="81"/>
            <rFont val="細明體"/>
            <family val="3"/>
            <charset val="136"/>
          </rPr>
          <t>不含代工產量</t>
        </r>
      </text>
    </comment>
    <comment ref="F8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P7-E7-I10-I5-I9-I6</t>
        </r>
      </text>
    </comment>
    <comment ref="F9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P7-E7-I4-I5-I6-I8-I9-I10
</t>
        </r>
      </text>
    </comment>
    <comment ref="F10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P7-E7-I4-I5-I6-I8-I9-I10
</t>
        </r>
      </text>
    </comment>
    <comment ref="F11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P7-E7-I4-I5-I6-I8-I9-I10
</t>
        </r>
      </text>
    </comment>
    <comment ref="F12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P7-E7-I4-I5-I6-I8-I9-I10
</t>
        </r>
      </text>
    </comment>
    <comment ref="F13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P7-E7-I4-I5-I6-I8-I9-I10
</t>
        </r>
      </text>
    </comment>
    <comment ref="F14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P7-E7-I4-I5-I6-I8-I9-I10
</t>
        </r>
      </text>
    </comment>
    <comment ref="F15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P7-E7-I4-I5-I6-I8-I9-I10
E1+L5
</t>
        </r>
      </text>
    </comment>
    <comment ref="F16" authorId="1" shapeId="0">
      <text>
        <r>
          <rPr>
            <b/>
            <sz val="9"/>
            <color indexed="81"/>
            <rFont val="Tahoma"/>
            <family val="2"/>
          </rPr>
          <t>(SHC-A01) Karen Xu:</t>
        </r>
        <r>
          <rPr>
            <sz val="9"/>
            <color indexed="81"/>
            <rFont val="Tahoma"/>
            <family val="2"/>
          </rPr>
          <t xml:space="preserve">
P7-E7-I4-I5-I6-I8-I9-I10
E1+L5
</t>
        </r>
      </text>
    </comment>
  </commentList>
</comments>
</file>

<file path=xl/comments5.xml><?xml version="1.0" encoding="utf-8"?>
<comments xmlns="http://schemas.openxmlformats.org/spreadsheetml/2006/main">
  <authors>
    <author>(SHC-909) Curtis Wang</author>
    <author>(SHC-A01) Karen Xu</author>
    <author>(SHC-E02) Coni Lin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The Qty outsourced from other Fty (based on assembly date)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Include inline, Pre-planned, MTF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F5" authorId="1" shapeId="0">
      <text>
        <r>
          <rPr>
            <sz val="9"/>
            <color indexed="81"/>
            <rFont val="Tahoma"/>
            <family val="2"/>
          </rPr>
          <t xml:space="preserve">E7, P7, I4,I6 I8, I9,I10
</t>
        </r>
      </text>
    </comment>
    <comment ref="F6" authorId="1" shapeId="0">
      <text>
        <r>
          <rPr>
            <sz val="9"/>
            <color indexed="81"/>
            <rFont val="Tahoma"/>
            <family val="2"/>
          </rPr>
          <t xml:space="preserve">E7, P7, I4,I6 I8, I9,I10
</t>
        </r>
      </text>
    </comment>
    <comment ref="F11" authorId="2" shapeId="0">
      <text>
        <r>
          <rPr>
            <b/>
            <sz val="9"/>
            <color indexed="81"/>
            <rFont val="Tahoma"/>
            <family val="2"/>
          </rPr>
          <t>(SHC-E02) Coni Lin:</t>
        </r>
        <r>
          <rPr>
            <sz val="9"/>
            <color indexed="81"/>
            <rFont val="Tahoma"/>
            <family val="2"/>
          </rPr>
          <t xml:space="preserve">
P7, L5, I6, I10 持續沒開線,
I8, I9代工亞瑟士
</t>
        </r>
      </text>
    </comment>
    <comment ref="F12" authorId="2" shapeId="0">
      <text>
        <r>
          <rPr>
            <b/>
            <sz val="9"/>
            <color indexed="81"/>
            <rFont val="Tahoma"/>
            <family val="2"/>
          </rPr>
          <t>(SHC-E02) Coni Lin:</t>
        </r>
        <r>
          <rPr>
            <sz val="9"/>
            <color indexed="81"/>
            <rFont val="Tahoma"/>
            <family val="2"/>
          </rPr>
          <t xml:space="preserve">
P7, L5, I6, I10 持續沒開線,
I8, I9代工亞瑟士
</t>
        </r>
      </text>
    </comment>
  </commentList>
</comments>
</file>

<file path=xl/comments6.xml><?xml version="1.0" encoding="utf-8"?>
<comments xmlns="http://schemas.openxmlformats.org/spreadsheetml/2006/main">
  <authors>
    <author>(SHC-909) Curtis Wang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The Qty outsourced from other Fty (based on assembly date)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Include inline, Pre-planned, MTF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</commentList>
</comments>
</file>

<file path=xl/comments7.xml><?xml version="1.0" encoding="utf-8"?>
<comments xmlns="http://schemas.openxmlformats.org/spreadsheetml/2006/main">
  <authors>
    <author>(SHC-909) Curtis Wang</author>
    <author>(SHC-A01) Karen Xu</author>
    <author>(SHC-E02) Coni Lin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The Qty outsourced from other Fty (based on assembly date)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Include inline, Pre-planned, MTF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F5" authorId="1" shapeId="0">
      <text>
        <r>
          <rPr>
            <sz val="9"/>
            <color indexed="81"/>
            <rFont val="Tahoma"/>
            <family val="2"/>
          </rPr>
          <t xml:space="preserve">E7, P7, I4,I6 I8, I9,I10
</t>
        </r>
      </text>
    </comment>
    <comment ref="F6" authorId="1" shapeId="0">
      <text>
        <r>
          <rPr>
            <sz val="9"/>
            <color indexed="81"/>
            <rFont val="Tahoma"/>
            <family val="2"/>
          </rPr>
          <t xml:space="preserve">E7, P7, I4,I6 I8, I9,I10
</t>
        </r>
      </text>
    </comment>
    <comment ref="F11" authorId="2" shapeId="0">
      <text>
        <r>
          <rPr>
            <b/>
            <sz val="9"/>
            <color indexed="81"/>
            <rFont val="Tahoma"/>
            <family val="2"/>
          </rPr>
          <t>(SHC-E02) Coni Lin:</t>
        </r>
        <r>
          <rPr>
            <sz val="9"/>
            <color indexed="81"/>
            <rFont val="Tahoma"/>
            <family val="2"/>
          </rPr>
          <t xml:space="preserve">
P7, L5, I6, I10 持續沒開線,
I8, I9代工亞瑟士
</t>
        </r>
      </text>
    </comment>
    <comment ref="F12" authorId="2" shapeId="0">
      <text>
        <r>
          <rPr>
            <b/>
            <sz val="9"/>
            <color indexed="81"/>
            <rFont val="Tahoma"/>
            <family val="2"/>
          </rPr>
          <t>(SHC-E02) Coni Lin:</t>
        </r>
        <r>
          <rPr>
            <sz val="9"/>
            <color indexed="81"/>
            <rFont val="Tahoma"/>
            <family val="2"/>
          </rPr>
          <t xml:space="preserve">
P7, L5, I6, I10 持續沒開線,
I8, I9代工亞瑟士
</t>
        </r>
      </text>
    </comment>
  </commentList>
</comments>
</file>

<file path=xl/comments8.xml><?xml version="1.0" encoding="utf-8"?>
<comments xmlns="http://schemas.openxmlformats.org/spreadsheetml/2006/main">
  <authors>
    <author>(SHC-909) Curtis Wang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The Qty outsourced from other Fty (based on assembly date)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Include inline, Pre-planned, MTF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</commentList>
</comments>
</file>

<file path=xl/comments9.xml><?xml version="1.0" encoding="utf-8"?>
<comments xmlns="http://schemas.openxmlformats.org/spreadsheetml/2006/main">
  <authors>
    <author>(SHC-909) Curtis Wang</author>
    <author>(SHC-A01) Karen Xu</author>
    <author>(SHC-E02) Coni Lin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The Qty outsourced from other Fty (based on assembly date)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Include inline, Pre-planned, MTF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F5" authorId="1" shapeId="0">
      <text>
        <r>
          <rPr>
            <sz val="9"/>
            <color indexed="81"/>
            <rFont val="Tahoma"/>
            <family val="2"/>
          </rPr>
          <t xml:space="preserve">E7, P7, I4,I6 I8, I9,I10
</t>
        </r>
      </text>
    </comment>
    <comment ref="F6" authorId="1" shapeId="0">
      <text>
        <r>
          <rPr>
            <sz val="9"/>
            <color indexed="81"/>
            <rFont val="Tahoma"/>
            <family val="2"/>
          </rPr>
          <t xml:space="preserve">E7, P7, I4,I6 I8, I9,I10
</t>
        </r>
      </text>
    </comment>
    <comment ref="F11" authorId="2" shapeId="0">
      <text>
        <r>
          <rPr>
            <b/>
            <sz val="9"/>
            <color indexed="81"/>
            <rFont val="Tahoma"/>
            <family val="2"/>
          </rPr>
          <t>(SHC-E02) Coni Lin:</t>
        </r>
        <r>
          <rPr>
            <sz val="9"/>
            <color indexed="81"/>
            <rFont val="Tahoma"/>
            <family val="2"/>
          </rPr>
          <t xml:space="preserve">
P7, L5, I6, I10 持續沒開線,
I8, I9代工亞瑟士
</t>
        </r>
      </text>
    </comment>
    <comment ref="F12" authorId="2" shapeId="0">
      <text>
        <r>
          <rPr>
            <b/>
            <sz val="9"/>
            <color indexed="81"/>
            <rFont val="Tahoma"/>
            <family val="2"/>
          </rPr>
          <t>(SHC-E02) Coni Lin:</t>
        </r>
        <r>
          <rPr>
            <sz val="9"/>
            <color indexed="81"/>
            <rFont val="Tahoma"/>
            <family val="2"/>
          </rPr>
          <t xml:space="preserve">
P7, L5, I6, I10 持續沒開線,
I8, I9代工亞瑟士
</t>
        </r>
      </text>
    </comment>
  </commentList>
</comments>
</file>

<file path=xl/comments10.xml><?xml version="1.0" encoding="utf-8"?>
<comments xmlns="http://schemas.openxmlformats.org/spreadsheetml/2006/main">
  <authors>
    <author>(SHC-909) Curtis Wang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The Qty outsourced from other Fty (based on assembly date)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Include inline, Pre-planned, MTF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</commentList>
</comments>
</file>

<file path=xl/comments11.xml><?xml version="1.0" encoding="utf-8"?>
<comments xmlns="http://schemas.openxmlformats.org/spreadsheetml/2006/main">
  <authors>
    <author>(SHC-909) Curtis Wang</author>
    <author>(SHC-A01) Karen Xu</author>
    <author>(SHC-E02) Coni Lin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The Qty outsourced from other Fty (based on assembly date)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Include inline, Pre-planned, MTF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F5" authorId="1" shapeId="0">
      <text>
        <r>
          <rPr>
            <sz val="9"/>
            <color indexed="81"/>
            <rFont val="Tahoma"/>
            <family val="2"/>
          </rPr>
          <t xml:space="preserve">E7, P7, I4,I6 I8, I9,I10
</t>
        </r>
      </text>
    </comment>
    <comment ref="F6" authorId="1" shapeId="0">
      <text>
        <r>
          <rPr>
            <sz val="9"/>
            <color indexed="81"/>
            <rFont val="Tahoma"/>
            <family val="2"/>
          </rPr>
          <t xml:space="preserve">E7, P7, I4,I6 I8, I9,I10
</t>
        </r>
      </text>
    </comment>
    <comment ref="F11" authorId="2" shapeId="0">
      <text>
        <r>
          <rPr>
            <b/>
            <sz val="9"/>
            <color indexed="81"/>
            <rFont val="Tahoma"/>
            <family val="2"/>
          </rPr>
          <t>(SHC-E02) Coni Lin:</t>
        </r>
        <r>
          <rPr>
            <sz val="9"/>
            <color indexed="81"/>
            <rFont val="Tahoma"/>
            <family val="2"/>
          </rPr>
          <t xml:space="preserve">
P7, L5, I6, I10 持續沒開線,
I8, I9代工亞瑟士
</t>
        </r>
      </text>
    </comment>
    <comment ref="F12" authorId="2" shapeId="0">
      <text>
        <r>
          <rPr>
            <b/>
            <sz val="9"/>
            <color indexed="81"/>
            <rFont val="Tahoma"/>
            <family val="2"/>
          </rPr>
          <t>(SHC-E02) Coni Lin:</t>
        </r>
        <r>
          <rPr>
            <sz val="9"/>
            <color indexed="81"/>
            <rFont val="Tahoma"/>
            <family val="2"/>
          </rPr>
          <t xml:space="preserve">
P7, L5, I6, I10 持續沒開線,
I8, I9代工亞瑟士
</t>
        </r>
      </text>
    </comment>
  </commentList>
</comments>
</file>

<file path=xl/comments12.xml><?xml version="1.0" encoding="utf-8"?>
<comments xmlns="http://schemas.openxmlformats.org/spreadsheetml/2006/main">
  <authors>
    <author>(SHC-909) Curtis Wang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The Qty outsourced from other Fty (based on assembly date)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Include inline, Pre-planned, MTF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</commentList>
</comments>
</file>

<file path=xl/comments13.xml><?xml version="1.0" encoding="utf-8"?>
<comments xmlns="http://schemas.openxmlformats.org/spreadsheetml/2006/main">
  <authors>
    <author>(SHC-909) Curtis Wang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The Qty outsourced to other Fty 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by pair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當月訂單可排訂單數量扣除pull forward 到上個半月的數量或加上從上個半月push out 到本半月的數量</t>
        </r>
      </text>
    </comment>
  </commentList>
</comments>
</file>

<file path=xl/comments14.xml><?xml version="1.0" encoding="utf-8"?>
<comments xmlns="http://schemas.openxmlformats.org/spreadsheetml/2006/main">
  <authors>
    <author>(SHC-909) Curtis Wang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b/>
            <sz val="14"/>
            <color indexed="81"/>
            <rFont val="Tahoma"/>
            <family val="2"/>
          </rPr>
          <t>For Past half moth</t>
        </r>
        <r>
          <rPr>
            <sz val="14"/>
            <color indexed="81"/>
            <rFont val="Tahoma"/>
            <family val="2"/>
          </rPr>
          <t xml:space="preserve">
Actual output
</t>
        </r>
        <r>
          <rPr>
            <b/>
            <sz val="14"/>
            <color indexed="81"/>
            <rFont val="Tahoma"/>
            <family val="2"/>
          </rPr>
          <t>For current and future half month</t>
        </r>
        <r>
          <rPr>
            <sz val="14"/>
            <color indexed="81"/>
            <rFont val="Tahoma"/>
            <family val="2"/>
          </rPr>
          <t xml:space="preserve">
Avg work hour * Work day *output * Prod lines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The Qty outsourced to other Fty 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production Qty + sub-con Qty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committed capa approved by adidas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 xml:space="preserve">(SHC-909) Curtis Wang:
</t>
        </r>
        <r>
          <rPr>
            <sz val="14"/>
            <color indexed="81"/>
            <rFont val="Tahoma"/>
            <family val="2"/>
          </rPr>
          <t xml:space="preserve">Include: inline buy plan OPFC, ISC OPFC
Don’t Include: CKD/SKD OPFC, SMU marketing FC
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Concept: </t>
        </r>
        <r>
          <rPr>
            <sz val="12"/>
            <color indexed="81"/>
            <rFont val="Tahoma"/>
            <family val="2"/>
          </rPr>
          <t xml:space="preserve">How many order Qty you can arrange for production in each half month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Calculation: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Past half month</t>
        </r>
        <r>
          <rPr>
            <sz val="12"/>
            <color indexed="81"/>
            <rFont val="Tahoma"/>
            <family val="2"/>
          </rPr>
          <t xml:space="preserve"> = actual output
</t>
        </r>
        <r>
          <rPr>
            <b/>
            <sz val="12"/>
            <color indexed="81"/>
            <rFont val="Tahoma"/>
            <family val="2"/>
          </rPr>
          <t>Current half month</t>
        </r>
        <r>
          <rPr>
            <sz val="12"/>
            <color indexed="81"/>
            <rFont val="Tahoma"/>
            <family val="2"/>
          </rPr>
          <t xml:space="preserve"> = sum up on-hand + OPFC (column P ) Qty from first half month to current half month 
</t>
        </r>
        <r>
          <rPr>
            <b/>
            <sz val="12"/>
            <color indexed="81"/>
            <rFont val="Tahoma"/>
            <family val="2"/>
          </rPr>
          <t xml:space="preserve">Future half month </t>
        </r>
        <r>
          <rPr>
            <sz val="12"/>
            <color indexed="81"/>
            <rFont val="Tahoma"/>
            <family val="2"/>
          </rPr>
          <t xml:space="preserve">=  same as on-hand + OPFC (column P ) Qty 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If [avalible order for produciton] &gt; [Prod Qty].the amount will be positive, it means overloaded.
If [avalible order for produciton] &lt; [Prod Qty].the amount will be - number, it means lack of order.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overload or lacking order qty ÷ Avg work hour ÷ output÷ Prod lines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the PO Qty based on CRD in this half month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in this half month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Sum up un-finish CRD Qty by pair delay from previos season.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by pair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當月訂單可排訂單數量扣除pull forward 到上個半月的數量或加上從上個半月push out 到本半月的數量</t>
        </r>
      </text>
    </comment>
  </commentList>
</comments>
</file>

<file path=xl/comments15.xml><?xml version="1.0" encoding="utf-8"?>
<comments xmlns="http://schemas.openxmlformats.org/spreadsheetml/2006/main">
  <authors>
    <author>(SHC-909) Curtis Wang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CRD unfinish qty by pair + OPFC+ previous season CRD unfinish qty by pair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by pair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當月訂單可排訂單數量扣除pull forward 到上個半月的數量或加上從上個半月push out 到本半月的數量</t>
        </r>
      </text>
    </comment>
  </commentList>
</comments>
</file>

<file path=xl/comments16.xml><?xml version="1.0" encoding="utf-8"?>
<comments xmlns="http://schemas.openxmlformats.org/spreadsheetml/2006/main">
  <authors>
    <author>(SHC-909) Curtis Wang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CRD unfinish qty by pair + OPFC+ previous season CRD unfinish qty by pair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by pair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當月訂單可排訂單數量扣除pull forward 到上個半月的數量或加上從上個半月push out 到本半月的數量</t>
        </r>
      </text>
    </comment>
  </commentList>
</comments>
</file>

<file path=xl/comments17.xml><?xml version="1.0" encoding="utf-8"?>
<comments xmlns="http://schemas.openxmlformats.org/spreadsheetml/2006/main">
  <authors>
    <author>(SHC-909) Curtis Wang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CRD unfinish qty by pair + OPFC+ previous season CRD unfinish qty by pair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by pair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當月訂單可排訂單數量扣除pull forward 到上個半月的數量或加上從上個半月push out 到本半月的數量</t>
        </r>
      </text>
    </comment>
  </commentList>
</comments>
</file>

<file path=xl/comments18.xml><?xml version="1.0" encoding="utf-8"?>
<comments xmlns="http://schemas.openxmlformats.org/spreadsheetml/2006/main">
  <authors>
    <author>(SHC-909) Curtis Wang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CRD unfinish qty by pair + OPFC+ previous season CRD unfinish qty by pair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by pair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當月訂單可排訂單數量扣除pull forward 到上個半月的數量或加上從上個半月push out 到本半月的數量</t>
        </r>
      </text>
    </comment>
  </commentList>
</comments>
</file>

<file path=xl/comments19.xml><?xml version="1.0" encoding="utf-8"?>
<comments xmlns="http://schemas.openxmlformats.org/spreadsheetml/2006/main">
  <authors>
    <author>(SHC-909) Curtis Wang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CRD unfinish qty by pair + OPFC+ previous season CRD unfinish qty by pair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by pair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(SHC-909) Curtis 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當月訂單可排訂單數量扣除pull forward 到上個半月的數量或加上從上個半月push out 到本半月的數量</t>
        </r>
      </text>
    </comment>
  </commentList>
</comments>
</file>

<file path=xl/sharedStrings.xml><?xml version="1.0" encoding="utf-8"?>
<sst xmlns="http://schemas.openxmlformats.org/spreadsheetml/2006/main" count="1129" uniqueCount="240">
  <si>
    <t>2020 Master Plan---Cold Cement</t>
  </si>
  <si>
    <t>Season</t>
  </si>
  <si>
    <t>Month</t>
  </si>
  <si>
    <t>Avg work hour</t>
  </si>
  <si>
    <t>Work day/halfmonth</t>
  </si>
  <si>
    <t>output/hour</t>
  </si>
  <si>
    <t>Prod lines</t>
  </si>
  <si>
    <t>Prod qty</t>
  </si>
  <si>
    <t>sub cont qty</t>
  </si>
  <si>
    <t>Overall prod capa</t>
  </si>
  <si>
    <t>approved
committed capacity</t>
  </si>
  <si>
    <t>LPD (inline &amp; Pre-planned &amp; MTF)</t>
  </si>
  <si>
    <t>CRD</t>
  </si>
  <si>
    <t>OPFC
(Inline,ISC,out of buy plan)</t>
  </si>
  <si>
    <t>CRD unfinish qty + OPFC</t>
  </si>
  <si>
    <t>avalible order for production</t>
  </si>
  <si>
    <t>CRD avalible order for production after pull forward and push out</t>
  </si>
  <si>
    <t>estimated overload
/lacking</t>
  </si>
  <si>
    <t>Buffer days</t>
    <phoneticPr fontId="0" type="noConversion"/>
  </si>
  <si>
    <t>Current Season</t>
  </si>
  <si>
    <t>Previous Season</t>
  </si>
  <si>
    <t>季節</t>
  </si>
  <si>
    <t>月</t>
  </si>
  <si>
    <t>工作時數</t>
    <phoneticPr fontId="0" type="noConversion"/>
  </si>
  <si>
    <t>工作天數</t>
  </si>
  <si>
    <t>小時產出</t>
    <phoneticPr fontId="0" type="noConversion"/>
  </si>
  <si>
    <t>生產線數</t>
    <phoneticPr fontId="0" type="noConversion"/>
  </si>
  <si>
    <t>產量 / 產能</t>
  </si>
  <si>
    <t>發外代工總數</t>
  </si>
  <si>
    <t>總產能</t>
  </si>
  <si>
    <t>提報給
Adidas
的月產能</t>
  </si>
  <si>
    <t>Total PO Qty by CRD</t>
  </si>
  <si>
    <t>CRD unfinished qty</t>
  </si>
  <si>
    <t>Rolling Delay from</t>
  </si>
  <si>
    <t>Pull Forward to</t>
  </si>
  <si>
    <t>可排訂單數量(扣除已生產完成）</t>
  </si>
  <si>
    <t xml:space="preserve"> </t>
  </si>
  <si>
    <t>Buffer
天數</t>
  </si>
  <si>
    <t>SS21</t>
  </si>
  <si>
    <t>Sep 01</t>
  </si>
  <si>
    <t>Sep02</t>
  </si>
  <si>
    <t>Oct 01</t>
  </si>
  <si>
    <t>Oct 02</t>
  </si>
  <si>
    <t>Nov 01</t>
  </si>
  <si>
    <t>Nov 02</t>
  </si>
  <si>
    <t>Dec 01</t>
  </si>
  <si>
    <t>Dec 02</t>
  </si>
  <si>
    <t>Jan 01</t>
  </si>
  <si>
    <t>Jan 02</t>
  </si>
  <si>
    <t>Feb 01</t>
  </si>
  <si>
    <t>Feb 02</t>
  </si>
  <si>
    <t>Total</t>
  </si>
  <si>
    <t>FR-與報給adidas 產能相比</t>
  </si>
  <si>
    <t xml:space="preserve"> </t>
    <phoneticPr fontId="0" type="noConversion"/>
  </si>
  <si>
    <t xml:space="preserve"> </t>
    <phoneticPr fontId="0" type="noConversion"/>
  </si>
  <si>
    <t>Mar 01</t>
  </si>
  <si>
    <t>Mar 02</t>
  </si>
  <si>
    <t>Apr 01</t>
  </si>
  <si>
    <t>Apr 02</t>
  </si>
  <si>
    <t>May 01</t>
  </si>
  <si>
    <t>May 02</t>
  </si>
  <si>
    <t>Jun 01</t>
  </si>
  <si>
    <t>Jun 02</t>
  </si>
  <si>
    <t>Jul 01</t>
  </si>
  <si>
    <t>Jul 02</t>
  </si>
  <si>
    <t>Aug 01</t>
  </si>
  <si>
    <t>Aug 02</t>
  </si>
  <si>
    <t>FW20</t>
  </si>
  <si>
    <t>2020 Master Plan---Cold Cement</t>
    <phoneticPr fontId="0" type="noConversion"/>
  </si>
  <si>
    <t>Season</t>
    <phoneticPr fontId="0" type="noConversion"/>
  </si>
  <si>
    <t>Mth</t>
  </si>
  <si>
    <t>Mth work day</t>
  </si>
  <si>
    <t>Avg hr output</t>
  </si>
  <si>
    <t>To SHY sub cont qty</t>
  </si>
  <si>
    <t>To CB sub cont qty</t>
  </si>
  <si>
    <t>From SHC sub cont qty</t>
    <phoneticPr fontId="0" type="noConversion"/>
  </si>
  <si>
    <t>Official capacity</t>
    <phoneticPr fontId="0" type="noConversion"/>
  </si>
  <si>
    <t>Prod target qty</t>
  </si>
  <si>
    <t>BPV</t>
    <phoneticPr fontId="0" type="noConversion"/>
  </si>
  <si>
    <t>CRD</t>
    <phoneticPr fontId="0" type="noConversion"/>
  </si>
  <si>
    <t>PD</t>
    <phoneticPr fontId="0" type="noConversion"/>
  </si>
  <si>
    <t>Cfmed order qty</t>
  </si>
  <si>
    <t>On-hand order
(LPD + PP + MTF)</t>
    <phoneticPr fontId="0" type="noConversion"/>
  </si>
  <si>
    <t>Unreceived order
(Open FC + out of BP)</t>
    <phoneticPr fontId="0" type="noConversion"/>
  </si>
  <si>
    <t>On-hand + Unreceived order</t>
    <phoneticPr fontId="0" type="noConversion"/>
  </si>
  <si>
    <t>Cfmed qty - idle capa of prior mth</t>
  </si>
  <si>
    <t>PF qty from Next month</t>
    <phoneticPr fontId="0" type="noConversion"/>
  </si>
  <si>
    <t>Buffer days</t>
    <phoneticPr fontId="0" type="noConversion"/>
  </si>
  <si>
    <t>工作時數</t>
    <phoneticPr fontId="0" type="noConversion"/>
  </si>
  <si>
    <t>小時產出</t>
    <phoneticPr fontId="0" type="noConversion"/>
  </si>
  <si>
    <t>生產線數</t>
    <phoneticPr fontId="0" type="noConversion"/>
  </si>
  <si>
    <t>發SHY 代工數量</t>
  </si>
  <si>
    <r>
      <rPr>
        <sz val="11"/>
        <color indexed="8"/>
        <rFont val="細明體"/>
        <family val="3"/>
        <charset val="136"/>
      </rPr>
      <t>發</t>
    </r>
    <r>
      <rPr>
        <sz val="11"/>
        <color indexed="8"/>
        <rFont val="Arial"/>
        <family val="2"/>
      </rPr>
      <t xml:space="preserve">SHC </t>
    </r>
    <r>
      <rPr>
        <sz val="11"/>
        <color indexed="8"/>
        <rFont val="細明體"/>
        <family val="3"/>
        <charset val="136"/>
      </rPr>
      <t>代工數量</t>
    </r>
  </si>
  <si>
    <r>
      <rPr>
        <sz val="11"/>
        <color indexed="8"/>
        <rFont val="細明體"/>
        <family val="3"/>
        <charset val="136"/>
      </rPr>
      <t>接</t>
    </r>
    <r>
      <rPr>
        <sz val="11"/>
        <color indexed="8"/>
        <rFont val="Arial"/>
        <family val="2"/>
      </rPr>
      <t xml:space="preserve">SHC </t>
    </r>
    <r>
      <rPr>
        <sz val="11"/>
        <color indexed="8"/>
        <rFont val="細明體"/>
        <family val="3"/>
        <charset val="136"/>
      </rPr>
      <t>代工數量</t>
    </r>
  </si>
  <si>
    <r>
      <rPr>
        <b/>
        <sz val="11"/>
        <color indexed="8"/>
        <rFont val="細明體"/>
        <family val="3"/>
        <charset val="136"/>
      </rPr>
      <t>總產能</t>
    </r>
  </si>
  <si>
    <r>
      <rPr>
        <sz val="11"/>
        <color indexed="8"/>
        <rFont val="細明體"/>
        <family val="3"/>
        <charset val="136"/>
      </rPr>
      <t>提報給</t>
    </r>
    <r>
      <rPr>
        <sz val="11"/>
        <color indexed="8"/>
        <rFont val="Arial"/>
        <family val="2"/>
      </rPr>
      <t xml:space="preserve">Adidas
</t>
    </r>
    <r>
      <rPr>
        <sz val="11"/>
        <color indexed="8"/>
        <rFont val="細明體"/>
        <family val="3"/>
        <charset val="136"/>
      </rPr>
      <t>的</t>
    </r>
    <r>
      <rPr>
        <sz val="11"/>
        <color indexed="8"/>
        <rFont val="細明體"/>
        <family val="3"/>
        <charset val="136"/>
      </rPr>
      <t>月產能</t>
    </r>
  </si>
  <si>
    <r>
      <t xml:space="preserve">
</t>
    </r>
    <r>
      <rPr>
        <sz val="11"/>
        <rFont val="細明體"/>
        <family val="3"/>
        <charset val="136"/>
      </rPr>
      <t xml:space="preserve">生產目標
</t>
    </r>
    <r>
      <rPr>
        <b/>
        <sz val="11"/>
        <rFont val="細明體"/>
        <family val="3"/>
        <charset val="136"/>
      </rPr>
      <t/>
    </r>
  </si>
  <si>
    <t>inline 
PV Qty (SP7)</t>
  </si>
  <si>
    <t>PR&amp;NOOS 
PV Qty 
(SP8 &amp; SP1)</t>
    <phoneticPr fontId="0" type="noConversion"/>
  </si>
  <si>
    <t>Total PV qty</t>
    <phoneticPr fontId="0" type="noConversion"/>
  </si>
  <si>
    <t>on-hand order</t>
    <phoneticPr fontId="0" type="noConversion"/>
  </si>
  <si>
    <t>PP</t>
    <phoneticPr fontId="0" type="noConversion"/>
  </si>
  <si>
    <t>Total CRD</t>
    <phoneticPr fontId="0" type="noConversion"/>
  </si>
  <si>
    <t>Un-finish</t>
  </si>
  <si>
    <t>Total PD</t>
    <phoneticPr fontId="0" type="noConversion"/>
  </si>
  <si>
    <t>POSDD</t>
    <phoneticPr fontId="0" type="noConversion"/>
  </si>
  <si>
    <t>LPD</t>
  </si>
  <si>
    <t>PP 
(based on CRD)</t>
  </si>
  <si>
    <t xml:space="preserve">MTF </t>
    <phoneticPr fontId="0" type="noConversion"/>
  </si>
  <si>
    <t>已接訂單
總數</t>
    <phoneticPr fontId="0" type="noConversion"/>
  </si>
  <si>
    <t>A/S QTY</t>
    <phoneticPr fontId="0" type="noConversion"/>
  </si>
  <si>
    <t>OPFC for inline</t>
    <phoneticPr fontId="0" type="noConversion"/>
  </si>
  <si>
    <t>OPFC for NOOS &amp; PR</t>
    <phoneticPr fontId="0" type="noConversion"/>
  </si>
  <si>
    <t>out of BP</t>
    <phoneticPr fontId="0" type="noConversion"/>
  </si>
  <si>
    <t>未接訂單
總數</t>
    <phoneticPr fontId="0" type="noConversion"/>
  </si>
  <si>
    <r>
      <rPr>
        <b/>
        <sz val="11"/>
        <color indexed="8"/>
        <rFont val="細明體"/>
        <family val="3"/>
        <charset val="136"/>
      </rPr>
      <t>已接</t>
    </r>
    <r>
      <rPr>
        <b/>
        <sz val="11"/>
        <color indexed="8"/>
        <rFont val="Arial"/>
        <family val="2"/>
      </rPr>
      <t>+</t>
    </r>
    <r>
      <rPr>
        <b/>
        <sz val="11"/>
        <color indexed="8"/>
        <rFont val="細明體"/>
        <family val="3"/>
        <charset val="136"/>
      </rPr>
      <t>未接
訂單總數</t>
    </r>
  </si>
  <si>
    <r>
      <t xml:space="preserve"> </t>
    </r>
    <r>
      <rPr>
        <sz val="11"/>
        <color indexed="8"/>
        <rFont val="細明體"/>
        <family val="3"/>
        <charset val="136"/>
      </rPr>
      <t>當月訂單當月生產的數量</t>
    </r>
  </si>
  <si>
    <r>
      <rPr>
        <sz val="11"/>
        <color indexed="8"/>
        <rFont val="細明體"/>
        <family val="3"/>
        <charset val="136"/>
      </rPr>
      <t>下個月提前到本月生產的數量</t>
    </r>
  </si>
  <si>
    <r>
      <t xml:space="preserve">Buffer
</t>
    </r>
    <r>
      <rPr>
        <b/>
        <sz val="11"/>
        <rFont val="細明體"/>
        <family val="3"/>
        <charset val="136"/>
      </rPr>
      <t>天數</t>
    </r>
  </si>
  <si>
    <t>FW20</t>
    <phoneticPr fontId="0" type="noConversion"/>
  </si>
  <si>
    <t>Mar 01</t>
    <phoneticPr fontId="0" type="noConversion"/>
  </si>
  <si>
    <t>Mar 02</t>
    <phoneticPr fontId="0" type="noConversion"/>
  </si>
  <si>
    <t>Apr 01</t>
    <phoneticPr fontId="0" type="noConversion"/>
  </si>
  <si>
    <t xml:space="preserve"> </t>
    <phoneticPr fontId="0" type="noConversion"/>
  </si>
  <si>
    <t>05/04-05/08 際產能</t>
  </si>
  <si>
    <t>05/08-05/29目標產能</t>
  </si>
  <si>
    <r>
      <rPr>
        <b/>
        <sz val="9"/>
        <rFont val="細明體"/>
        <family val="3"/>
        <charset val="136"/>
      </rPr>
      <t>合計</t>
    </r>
  </si>
  <si>
    <r>
      <rPr>
        <b/>
        <sz val="9"/>
        <rFont val="細明體"/>
        <family val="3"/>
        <charset val="136"/>
      </rPr>
      <t>產能落後</t>
    </r>
  </si>
  <si>
    <t>可排生產</t>
  </si>
  <si>
    <t>預計生產</t>
  </si>
  <si>
    <t>缺單</t>
  </si>
  <si>
    <t>Total PO Qty by CRD + OPFC</t>
  </si>
  <si>
    <t>2,190,550-1,763,903</t>
  </si>
  <si>
    <t>2165525-1763903</t>
  </si>
  <si>
    <t>與內部預計產能比較的整季缺單</t>
  </si>
  <si>
    <t>pull forward 到上一季的數量</t>
  </si>
  <si>
    <t>OPFC
(Including ISC)</t>
  </si>
  <si>
    <t>Work day/half month</t>
  </si>
  <si>
    <t>output / hour</t>
  </si>
  <si>
    <t>Production lines</t>
  </si>
  <si>
    <t>Production  Quantity</t>
  </si>
  <si>
    <t>sub-con
Quantity</t>
  </si>
  <si>
    <t>Total Production
Output</t>
  </si>
  <si>
    <t>CRD unfinished qty (A)</t>
  </si>
  <si>
    <t>Rolling Delay from (B)</t>
  </si>
  <si>
    <t>OPFC
(Inline,ISC,out of buy plan) (C )</t>
  </si>
  <si>
    <t>On-hand + OPFC
(A) + (B) + (C )</t>
  </si>
  <si>
    <t>FR-compare with approved committed capacity</t>
  </si>
  <si>
    <t>Buffer days</t>
    <phoneticPr fontId="0" type="noConversion"/>
  </si>
  <si>
    <t>工作時數</t>
    <phoneticPr fontId="0" type="noConversion"/>
  </si>
  <si>
    <t xml:space="preserve"> </t>
    <phoneticPr fontId="0" type="noConversion"/>
  </si>
  <si>
    <t>Sep 02</t>
  </si>
  <si>
    <t>Total LPD
(Biz)</t>
    <phoneticPr fontId="30" type="noConversion"/>
  </si>
  <si>
    <t>Total PO Qty by CRD
(Biz)</t>
    <phoneticPr fontId="30" type="noConversion"/>
  </si>
  <si>
    <t>Month
(PP)</t>
    <phoneticPr fontId="30" type="noConversion"/>
  </si>
  <si>
    <t>Avg work hour
(PP)</t>
    <phoneticPr fontId="30" type="noConversion"/>
  </si>
  <si>
    <t>Work day/half month
(PP)</t>
    <phoneticPr fontId="30" type="noConversion"/>
  </si>
  <si>
    <t>output / hour
(PP)</t>
    <phoneticPr fontId="30" type="noConversion"/>
  </si>
  <si>
    <t>Production lines
(PP)</t>
    <phoneticPr fontId="30" type="noConversion"/>
  </si>
  <si>
    <t>Production  Quantity
(PP)</t>
    <phoneticPr fontId="30" type="noConversion"/>
  </si>
  <si>
    <t>approved
committed capacity
(Biz)</t>
    <phoneticPr fontId="30" type="noConversion"/>
  </si>
  <si>
    <t>Total Production
Output
(PP)</t>
    <phoneticPr fontId="30" type="noConversion"/>
  </si>
  <si>
    <r>
      <t xml:space="preserve">CRD unfinished qty </t>
    </r>
    <r>
      <rPr>
        <b/>
        <sz val="12"/>
        <color theme="4" tint="-0.249977111117893"/>
        <rFont val="Arial"/>
        <family val="2"/>
      </rPr>
      <t xml:space="preserve">(A) </t>
    </r>
    <r>
      <rPr>
        <b/>
        <sz val="12"/>
        <rFont val="Arial"/>
        <family val="2"/>
      </rPr>
      <t>(PP)</t>
    </r>
    <phoneticPr fontId="30" type="noConversion"/>
  </si>
  <si>
    <r>
      <t xml:space="preserve">Rolling Delay from 
</t>
    </r>
    <r>
      <rPr>
        <b/>
        <sz val="12"/>
        <color theme="4" tint="-0.249977111117893"/>
        <rFont val="Arial"/>
        <family val="2"/>
      </rPr>
      <t>(B)</t>
    </r>
    <r>
      <rPr>
        <b/>
        <sz val="12"/>
        <rFont val="Arial"/>
        <family val="2"/>
      </rPr>
      <t xml:space="preserve"> (PP)</t>
    </r>
    <phoneticPr fontId="30" type="noConversion"/>
  </si>
  <si>
    <t>avalible order for production
(PP)</t>
    <phoneticPr fontId="30" type="noConversion"/>
  </si>
  <si>
    <t>avalible order for production
after pull forward and push out
(PP)</t>
    <phoneticPr fontId="30" type="noConversion"/>
  </si>
  <si>
    <t>CRD Month</t>
    <phoneticPr fontId="30" type="noConversion"/>
  </si>
  <si>
    <t>Jan 01</t>
    <phoneticPr fontId="30" type="noConversion"/>
  </si>
  <si>
    <t>Feb 01</t>
    <phoneticPr fontId="30" type="noConversion"/>
  </si>
  <si>
    <t>Mar 01</t>
    <phoneticPr fontId="30" type="noConversion"/>
  </si>
  <si>
    <t>Mar 02</t>
    <phoneticPr fontId="30" type="noConversion"/>
  </si>
  <si>
    <t>Apr 01</t>
    <phoneticPr fontId="30" type="noConversion"/>
  </si>
  <si>
    <t>Apr 02</t>
    <phoneticPr fontId="30" type="noConversion"/>
  </si>
  <si>
    <t>May 01</t>
    <phoneticPr fontId="30" type="noConversion"/>
  </si>
  <si>
    <t>May 02</t>
    <phoneticPr fontId="30" type="noConversion"/>
  </si>
  <si>
    <t>Jun 01</t>
    <phoneticPr fontId="30" type="noConversion"/>
  </si>
  <si>
    <t>Jun 02</t>
    <phoneticPr fontId="30" type="noConversion"/>
  </si>
  <si>
    <t>Jul 01</t>
    <phoneticPr fontId="30" type="noConversion"/>
  </si>
  <si>
    <t>Jul 02</t>
    <phoneticPr fontId="30" type="noConversion"/>
  </si>
  <si>
    <t>Aug 01</t>
    <phoneticPr fontId="30" type="noConversion"/>
  </si>
  <si>
    <t>Aug 02</t>
    <phoneticPr fontId="30" type="noConversion"/>
  </si>
  <si>
    <t>Sep 01</t>
    <phoneticPr fontId="30" type="noConversion"/>
  </si>
  <si>
    <t>Oct 01</t>
    <phoneticPr fontId="30" type="noConversion"/>
  </si>
  <si>
    <t>Nov 01</t>
    <phoneticPr fontId="30" type="noConversion"/>
  </si>
  <si>
    <t>Dec 01</t>
    <phoneticPr fontId="30" type="noConversion"/>
  </si>
  <si>
    <t>Production 
Month</t>
    <phoneticPr fontId="30" type="noConversion"/>
  </si>
  <si>
    <t>without PF</t>
    <phoneticPr fontId="30" type="noConversion"/>
  </si>
  <si>
    <t>July</t>
    <phoneticPr fontId="30" type="noConversion"/>
  </si>
  <si>
    <t>August</t>
    <phoneticPr fontId="30" type="noConversion"/>
  </si>
  <si>
    <t xml:space="preserve"> </t>
    <phoneticPr fontId="30" type="noConversion"/>
  </si>
  <si>
    <t xml:space="preserve"> </t>
    <phoneticPr fontId="30" type="noConversion"/>
  </si>
  <si>
    <t xml:space="preserve">Current Half month Actual Output </t>
  </si>
  <si>
    <t>Month
(PP)</t>
    <phoneticPr fontId="30" type="noConversion"/>
  </si>
  <si>
    <t>Avg work hour
(PP)</t>
    <phoneticPr fontId="30" type="noConversion"/>
  </si>
  <si>
    <t>Work day/half month
(PP)</t>
    <phoneticPr fontId="30" type="noConversion"/>
  </si>
  <si>
    <t>output / hour
(PP)</t>
    <phoneticPr fontId="30" type="noConversion"/>
  </si>
  <si>
    <t>Production lines
(PP)</t>
    <phoneticPr fontId="30" type="noConversion"/>
  </si>
  <si>
    <t>Production  Quantity
(PP)</t>
    <phoneticPr fontId="30" type="noConversion"/>
  </si>
  <si>
    <t>Total Production
Output
(PP)</t>
    <phoneticPr fontId="30" type="noConversion"/>
  </si>
  <si>
    <t>Total LPD
(Biz)</t>
    <phoneticPr fontId="30" type="noConversion"/>
  </si>
  <si>
    <r>
      <t>Total OPFC
(Inline &amp; ISC)</t>
    </r>
    <r>
      <rPr>
        <b/>
        <sz val="12"/>
        <color theme="4" tint="-0.249977111117893"/>
        <rFont val="Arial"/>
        <family val="2"/>
      </rPr>
      <t xml:space="preserve"> 
(C )
</t>
    </r>
    <r>
      <rPr>
        <b/>
        <sz val="12"/>
        <rFont val="Arial"/>
        <family val="2"/>
      </rPr>
      <t>(Biz)</t>
    </r>
    <phoneticPr fontId="30" type="noConversion"/>
  </si>
  <si>
    <t>avalible order for production
(PP)</t>
    <phoneticPr fontId="30" type="noConversion"/>
  </si>
  <si>
    <t>avalible order for production
after pull forward and push out
(PP)</t>
    <phoneticPr fontId="30" type="noConversion"/>
  </si>
  <si>
    <t>Buffer days</t>
    <phoneticPr fontId="0" type="noConversion"/>
  </si>
  <si>
    <t>Total PO Qty by CRD
(Biz)</t>
    <phoneticPr fontId="30" type="noConversion"/>
  </si>
  <si>
    <r>
      <t xml:space="preserve">CRD unfinished qty </t>
    </r>
    <r>
      <rPr>
        <b/>
        <sz val="12"/>
        <color theme="4" tint="-0.249977111117893"/>
        <rFont val="Arial"/>
        <family val="2"/>
      </rPr>
      <t xml:space="preserve">(A) </t>
    </r>
    <r>
      <rPr>
        <b/>
        <sz val="12"/>
        <rFont val="Arial"/>
        <family val="2"/>
      </rPr>
      <t>(PP)</t>
    </r>
    <phoneticPr fontId="30" type="noConversion"/>
  </si>
  <si>
    <r>
      <t xml:space="preserve">Rolling Delay from 
</t>
    </r>
    <r>
      <rPr>
        <b/>
        <sz val="12"/>
        <color theme="4" tint="-0.249977111117893"/>
        <rFont val="Arial"/>
        <family val="2"/>
      </rPr>
      <t>(B)</t>
    </r>
    <r>
      <rPr>
        <b/>
        <sz val="12"/>
        <rFont val="Arial"/>
        <family val="2"/>
      </rPr>
      <t xml:space="preserve"> (PP)</t>
    </r>
    <phoneticPr fontId="30" type="noConversion"/>
  </si>
  <si>
    <t xml:space="preserve"> </t>
    <phoneticPr fontId="0" type="noConversion"/>
  </si>
  <si>
    <r>
      <t xml:space="preserve">On-hand + OPFC
</t>
    </r>
    <r>
      <rPr>
        <b/>
        <sz val="12"/>
        <color theme="4" tint="-0.249977111117893"/>
        <rFont val="Arial"/>
        <family val="2"/>
      </rPr>
      <t>(A) + (B) + (C )</t>
    </r>
    <r>
      <rPr>
        <b/>
        <sz val="12"/>
        <color rgb="FFFF0000"/>
        <rFont val="Arial"/>
        <family val="2"/>
      </rPr>
      <t>+H</t>
    </r>
    <r>
      <rPr>
        <b/>
        <sz val="12"/>
        <color theme="4" tint="-0.249977111117893"/>
        <rFont val="Arial"/>
        <family val="2"/>
      </rPr>
      <t xml:space="preserve">
</t>
    </r>
    <r>
      <rPr>
        <b/>
        <sz val="12"/>
        <rFont val="Arial"/>
        <family val="2"/>
      </rPr>
      <t>(PP)</t>
    </r>
    <phoneticPr fontId="30" type="noConversion"/>
  </si>
  <si>
    <t xml:space="preserve"> </t>
    <phoneticPr fontId="30" type="noConversion"/>
  </si>
  <si>
    <t xml:space="preserve"> </t>
    <phoneticPr fontId="30" type="noConversion"/>
  </si>
  <si>
    <r>
      <t xml:space="preserve">On-hand + OPFC
</t>
    </r>
    <r>
      <rPr>
        <b/>
        <sz val="12"/>
        <color theme="4" tint="-0.249977111117893"/>
        <rFont val="Arial"/>
        <family val="2"/>
      </rPr>
      <t>(A) + (B) + (C )</t>
    </r>
    <r>
      <rPr>
        <b/>
        <sz val="12"/>
        <color theme="4" tint="-0.249977111117893"/>
        <rFont val="Arial"/>
        <family val="2"/>
      </rPr>
      <t xml:space="preserve">
</t>
    </r>
    <r>
      <rPr>
        <b/>
        <sz val="12"/>
        <rFont val="Arial"/>
        <family val="2"/>
      </rPr>
      <t>(PP)</t>
    </r>
    <phoneticPr fontId="30" type="noConversion"/>
  </si>
  <si>
    <t>Total OPFC
(Inline &amp; ISC) 
(C )
(Biz)</t>
    <phoneticPr fontId="30" type="noConversion"/>
  </si>
  <si>
    <t>FW21</t>
    <phoneticPr fontId="30" type="noConversion"/>
  </si>
  <si>
    <t>2021 Master Plan---Cold Cement</t>
    <phoneticPr fontId="30" type="noConversion"/>
  </si>
  <si>
    <t>2020~2021 Master Plan---Cold Cement</t>
    <phoneticPr fontId="30" type="noConversion"/>
  </si>
  <si>
    <t>代工數量</t>
  </si>
  <si>
    <t>按排線數與小時產出得出的產量</t>
  </si>
  <si>
    <t>CRD在該半月的總數量</t>
  </si>
  <si>
    <t>加上OPFC後該半月現有的可生產雙數</t>
  </si>
  <si>
    <t>CRD在該半月且還沒做完的數量(可生產雙數)</t>
  </si>
  <si>
    <t>訂單前拉後推之後該半月現有的可生產雙數</t>
  </si>
  <si>
    <t>截至該半月的缺單數量</t>
  </si>
  <si>
    <t>0312 ORDER</t>
  </si>
  <si>
    <t>OPFC afte 3/12</t>
  </si>
  <si>
    <t>Total PO Qty by CRD after 0312 order
(Biz)</t>
  </si>
  <si>
    <t>CRD unfinished qty after 0312 order</t>
  </si>
  <si>
    <t>SP5 original OPFC after transfer out</t>
  </si>
  <si>
    <t>OPFC afte 3/12 &amp; insufficient LT</t>
  </si>
  <si>
    <t>SS22 level loading simulation</t>
  </si>
  <si>
    <t xml:space="preserve">SHW FW21  SP6 after 3/26 order </t>
  </si>
  <si>
    <r>
      <t xml:space="preserve">On-hand + OPFC
</t>
    </r>
    <r>
      <rPr>
        <b/>
        <sz val="12"/>
        <color theme="4" tint="-0.249977111117893"/>
        <rFont val="Arial"/>
        <family val="2"/>
      </rPr>
      <t xml:space="preserve">(A) + (B) + (C )
</t>
    </r>
    <r>
      <rPr>
        <b/>
        <sz val="12"/>
        <rFont val="Arial"/>
        <family val="2"/>
      </rPr>
      <t>(PP)</t>
    </r>
  </si>
  <si>
    <r>
      <t xml:space="preserve">CRD unfinished qty </t>
    </r>
    <r>
      <rPr>
        <b/>
        <sz val="12"/>
        <color theme="4" tint="-0.249977111117893"/>
        <rFont val="Arial"/>
        <family val="2"/>
      </rPr>
      <t xml:space="preserve">(A) </t>
    </r>
    <r>
      <rPr>
        <b/>
        <sz val="12"/>
        <rFont val="Arial"/>
        <family val="2"/>
      </rPr>
      <t>(PP)</t>
    </r>
  </si>
  <si>
    <r>
      <t xml:space="preserve">Rolling Delay from 
</t>
    </r>
    <r>
      <rPr>
        <b/>
        <sz val="12"/>
        <color theme="4" tint="-0.249977111117893"/>
        <rFont val="Arial"/>
        <family val="2"/>
      </rPr>
      <t>(B)</t>
    </r>
    <r>
      <rPr>
        <b/>
        <sz val="12"/>
        <rFont val="Arial"/>
        <family val="2"/>
      </rPr>
      <t xml:space="preserve"> (PP)</t>
    </r>
  </si>
  <si>
    <t xml:space="preserve">Total OPFC
(Inline &amp; ISC) 
(C )
(Biz) </t>
  </si>
  <si>
    <r>
      <t xml:space="preserve">On-hand + OPFC
</t>
    </r>
    <r>
      <rPr>
        <b/>
        <sz val="12"/>
        <color theme="4" tint="-0.249977111117893"/>
        <rFont val="新細明體"/>
        <family val="2"/>
        <scheme val="minor"/>
      </rPr>
      <t xml:space="preserve">(A) + (B) + (C )
</t>
    </r>
    <r>
      <rPr>
        <b/>
        <sz val="12"/>
        <rFont val="新細明體"/>
        <family val="2"/>
        <scheme val="minor"/>
      </rPr>
      <t>(PP)</t>
    </r>
  </si>
  <si>
    <r>
      <t xml:space="preserve">CRD unfinished qty </t>
    </r>
    <r>
      <rPr>
        <b/>
        <sz val="12"/>
        <color theme="4" tint="-0.249977111117893"/>
        <rFont val="新細明體"/>
        <family val="2"/>
        <scheme val="minor"/>
      </rPr>
      <t xml:space="preserve">(A) </t>
    </r>
    <r>
      <rPr>
        <b/>
        <sz val="12"/>
        <rFont val="新細明體"/>
        <family val="2"/>
        <scheme val="minor"/>
      </rPr>
      <t>(PP)</t>
    </r>
  </si>
  <si>
    <r>
      <t xml:space="preserve">Rolling Delay from 
</t>
    </r>
    <r>
      <rPr>
        <b/>
        <sz val="12"/>
        <color theme="4" tint="-0.249977111117893"/>
        <rFont val="新細明體"/>
        <family val="2"/>
        <scheme val="minor"/>
      </rPr>
      <t>(B)</t>
    </r>
    <r>
      <rPr>
        <b/>
        <sz val="12"/>
        <rFont val="新細明體"/>
        <family val="2"/>
        <scheme val="minor"/>
      </rPr>
      <t xml:space="preserve"> (PP)</t>
    </r>
  </si>
  <si>
    <t>PH 621,539</t>
    <phoneticPr fontId="30" type="noConversion"/>
  </si>
  <si>
    <t>PH 207,083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</si>
</sst>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76" formatCode="m/d;@"/>
    <numFmt numFmtId="177" formatCode="yyyy/m/d;@"/>
    <numFmt numFmtId="178" formatCode="0.0"/>
    <numFmt numFmtId="179" formatCode="_-* #,##0_-;\-* #,##0_-;_-* &quot;-&quot;??_-;_-@_-"/>
    <numFmt numFmtId="180" formatCode="#,##0.0;[Red]\-#,##0.0"/>
    <numFmt numFmtId="181" formatCode="#,##0_ ;[Red]\-#,##0\ "/>
    <numFmt numFmtId="182" formatCode="#,##0.0_ ;[Red]\-#,##0.0\ "/>
    <numFmt numFmtId="183" formatCode="0.0%"/>
    <numFmt numFmtId="184" formatCode="0_ "/>
    <numFmt numFmtId="185" formatCode="#,##0_);[Red]\(#,##0\)"/>
  </numFmts>
  <fonts count="47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indexed="81"/>
      <name val="Tahoma"/>
      <family val="2"/>
    </font>
    <font>
      <b/>
      <sz val="18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Calibri"/>
      <family val="2"/>
    </font>
    <font>
      <sz val="11"/>
      <color indexed="8"/>
      <name val="細明體"/>
      <family val="3"/>
      <charset val="136"/>
    </font>
    <font>
      <b/>
      <sz val="11"/>
      <color indexed="8"/>
      <name val="細明體"/>
      <family val="3"/>
      <charset val="136"/>
    </font>
    <font>
      <sz val="11"/>
      <name val="Calibri"/>
      <family val="2"/>
    </font>
    <font>
      <sz val="11"/>
      <name val="細明體"/>
      <family val="3"/>
      <charset val="136"/>
    </font>
    <font>
      <b/>
      <sz val="11"/>
      <name val="細明體"/>
      <family val="3"/>
      <charset val="136"/>
    </font>
    <font>
      <sz val="11"/>
      <name val="Arial"/>
      <family val="2"/>
    </font>
    <font>
      <sz val="11"/>
      <color rgb="FFFF0000"/>
      <name val="Arial"/>
      <family val="2"/>
    </font>
    <font>
      <b/>
      <sz val="9"/>
      <name val="Arial"/>
      <family val="2"/>
    </font>
    <font>
      <b/>
      <sz val="9"/>
      <name val="細明體"/>
      <family val="3"/>
      <charset val="136"/>
    </font>
    <font>
      <b/>
      <sz val="9"/>
      <color indexed="81"/>
      <name val="細明體"/>
      <family val="3"/>
      <charset val="136"/>
    </font>
    <font>
      <b/>
      <sz val="9"/>
      <color indexed="81"/>
      <name val="MingLiU"/>
      <family val="3"/>
      <charset val="136"/>
    </font>
    <font>
      <sz val="9"/>
      <color indexed="81"/>
      <name val="MingLiU"/>
      <family val="3"/>
      <charset val="136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b/>
      <sz val="14"/>
      <color indexed="81"/>
      <name val="Tahoma"/>
      <family val="2"/>
    </font>
    <font>
      <b/>
      <sz val="12"/>
      <color theme="4" tint="-0.249977111117893"/>
      <name val="Arial"/>
      <family val="2"/>
    </font>
    <font>
      <sz val="9"/>
      <name val="新細明體"/>
      <family val="1"/>
      <charset val="136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4"/>
      <name val="Arial"/>
      <family val="2"/>
    </font>
    <font>
      <sz val="12"/>
      <color rgb="FF0000FF"/>
      <name val="Arial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2"/>
      <scheme val="minor"/>
    </font>
    <font>
      <b/>
      <sz val="14"/>
      <name val="新細明體"/>
      <family val="2"/>
      <scheme val="major"/>
    </font>
    <font>
      <b/>
      <sz val="12"/>
      <name val="新細明體"/>
      <family val="2"/>
      <scheme val="major"/>
    </font>
    <font>
      <sz val="12"/>
      <name val="新細明體"/>
      <family val="2"/>
      <scheme val="major"/>
    </font>
    <font>
      <b/>
      <sz val="12"/>
      <color indexed="8"/>
      <name val="新細明體"/>
      <family val="2"/>
      <scheme val="minor"/>
    </font>
    <font>
      <b/>
      <sz val="12"/>
      <name val="新細明體"/>
      <family val="2"/>
      <scheme val="minor"/>
    </font>
    <font>
      <b/>
      <sz val="12"/>
      <color theme="4" tint="-0.249977111117893"/>
      <name val="新細明體"/>
      <family val="2"/>
      <scheme val="minor"/>
    </font>
    <font>
      <b/>
      <sz val="11"/>
      <color indexed="8"/>
      <name val="新細明體"/>
      <family val="2"/>
      <scheme val="minor"/>
    </font>
    <font>
      <sz val="12"/>
      <color indexed="8"/>
      <name val="新細明體"/>
      <family val="2"/>
      <scheme val="minor"/>
    </font>
    <font>
      <sz val="12"/>
      <name val="新細明體"/>
      <family val="2"/>
      <scheme val="minor"/>
    </font>
    <font>
      <sz val="12"/>
      <color rgb="FFFF0000"/>
      <name val="新細明體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>
      <alignment vertical="top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top"/>
    </xf>
    <xf numFmtId="0" fontId="36" fillId="0" borderId="0"/>
  </cellStyleXfs>
  <cellXfs count="368">
    <xf numFmtId="0" fontId="0" fillId="0" borderId="0" xfId="0">
      <alignment vertical="top"/>
    </xf>
    <xf numFmtId="0" fontId="2" fillId="0" borderId="1" xfId="0" applyFont="1" applyBorder="1" applyAlignment="1"/>
    <xf numFmtId="176" fontId="2" fillId="0" borderId="1" xfId="0" applyNumberFormat="1" applyFont="1" applyBorder="1" applyAlignment="1"/>
    <xf numFmtId="177" fontId="2" fillId="0" borderId="1" xfId="0" applyNumberFormat="1" applyFont="1" applyBorder="1" applyAlignment="1">
      <alignment horizontal="right"/>
    </xf>
    <xf numFmtId="176" fontId="2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2" borderId="2" xfId="0" applyNumberFormat="1" applyFont="1" applyFill="1" applyBorder="1" applyAlignment="1">
      <alignment horizontal="left" vertical="center" wrapText="1"/>
    </xf>
    <xf numFmtId="15" fontId="4" fillId="2" borderId="2" xfId="0" applyNumberFormat="1" applyFont="1" applyFill="1" applyBorder="1" applyAlignment="1">
      <alignment horizontal="left" vertical="center" wrapText="1"/>
    </xf>
    <xf numFmtId="178" fontId="4" fillId="2" borderId="2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179" fontId="4" fillId="2" borderId="2" xfId="1" applyNumberFormat="1" applyFont="1" applyFill="1" applyBorder="1" applyAlignment="1">
      <alignment horizontal="left" vertical="center" wrapText="1"/>
    </xf>
    <xf numFmtId="176" fontId="4" fillId="2" borderId="2" xfId="1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76" fontId="4" fillId="2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15" fontId="4" fillId="4" borderId="2" xfId="0" applyNumberFormat="1" applyFont="1" applyFill="1" applyBorder="1" applyAlignment="1">
      <alignment horizontal="left" vertical="center" wrapText="1"/>
    </xf>
    <xf numFmtId="178" fontId="4" fillId="4" borderId="2" xfId="0" applyNumberFormat="1" applyFont="1" applyFill="1" applyBorder="1" applyAlignment="1">
      <alignment horizontal="left" vertical="center" wrapText="1"/>
    </xf>
    <xf numFmtId="176" fontId="4" fillId="4" borderId="2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180" fontId="3" fillId="0" borderId="2" xfId="0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38" fontId="3" fillId="0" borderId="2" xfId="0" applyNumberFormat="1" applyFont="1" applyFill="1" applyBorder="1" applyAlignment="1">
      <alignment horizontal="right" vertical="center" wrapText="1"/>
    </xf>
    <xf numFmtId="180" fontId="5" fillId="0" borderId="2" xfId="0" applyNumberFormat="1" applyFont="1" applyFill="1" applyBorder="1" applyAlignment="1">
      <alignment horizontal="right" vertical="center" wrapText="1"/>
    </xf>
    <xf numFmtId="38" fontId="3" fillId="0" borderId="2" xfId="1" quotePrefix="1" applyNumberFormat="1" applyFont="1" applyFill="1" applyBorder="1" applyAlignment="1">
      <alignment horizontal="right" vertical="center" wrapText="1"/>
    </xf>
    <xf numFmtId="38" fontId="3" fillId="0" borderId="2" xfId="1" applyNumberFormat="1" applyFont="1" applyFill="1" applyBorder="1" applyAlignment="1">
      <alignment horizontal="right" vertical="center" wrapText="1"/>
    </xf>
    <xf numFmtId="38" fontId="3" fillId="5" borderId="2" xfId="1" quotePrefix="1" applyNumberFormat="1" applyFont="1" applyFill="1" applyBorder="1" applyAlignment="1">
      <alignment horizontal="right" vertical="center" wrapText="1"/>
    </xf>
    <xf numFmtId="181" fontId="3" fillId="0" borderId="2" xfId="1" quotePrefix="1" applyNumberFormat="1" applyFont="1" applyFill="1" applyBorder="1" applyAlignment="1">
      <alignment horizontal="right" vertical="center"/>
    </xf>
    <xf numFmtId="176" fontId="3" fillId="0" borderId="2" xfId="1" quotePrefix="1" applyNumberFormat="1" applyFont="1" applyFill="1" applyBorder="1" applyAlignment="1">
      <alignment horizontal="right" vertical="center"/>
    </xf>
    <xf numFmtId="182" fontId="2" fillId="0" borderId="2" xfId="1" quotePrefix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right" vertical="center" wrapText="1"/>
    </xf>
    <xf numFmtId="38" fontId="5" fillId="0" borderId="2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left" vertical="center"/>
    </xf>
    <xf numFmtId="1" fontId="3" fillId="0" borderId="2" xfId="0" applyNumberFormat="1" applyFont="1" applyFill="1" applyBorder="1" applyAlignment="1">
      <alignment horizontal="right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right" vertical="center" wrapText="1"/>
    </xf>
    <xf numFmtId="176" fontId="3" fillId="3" borderId="2" xfId="1" quotePrefix="1" applyNumberFormat="1" applyFont="1" applyFill="1" applyBorder="1" applyAlignment="1">
      <alignment horizontal="right" vertical="center"/>
    </xf>
    <xf numFmtId="182" fontId="2" fillId="3" borderId="2" xfId="1" quotePrefix="1" applyNumberFormat="1" applyFont="1" applyFill="1" applyBorder="1" applyAlignment="1">
      <alignment horizontal="center" vertical="center" wrapText="1"/>
    </xf>
    <xf numFmtId="38" fontId="5" fillId="0" borderId="0" xfId="0" applyNumberFormat="1" applyFont="1" applyFill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178" fontId="5" fillId="0" borderId="2" xfId="0" applyNumberFormat="1" applyFont="1" applyFill="1" applyBorder="1" applyAlignment="1">
      <alignment horizontal="right" vertical="center" wrapText="1"/>
    </xf>
    <xf numFmtId="1" fontId="5" fillId="0" borderId="2" xfId="0" applyNumberFormat="1" applyFont="1" applyFill="1" applyBorder="1" applyAlignment="1">
      <alignment horizontal="right" vertical="center" wrapText="1"/>
    </xf>
    <xf numFmtId="38" fontId="4" fillId="0" borderId="2" xfId="0" applyNumberFormat="1" applyFont="1" applyFill="1" applyBorder="1" applyAlignment="1">
      <alignment horizontal="right" vertical="center" wrapText="1"/>
    </xf>
    <xf numFmtId="181" fontId="4" fillId="0" borderId="2" xfId="1" applyNumberFormat="1" applyFont="1" applyFill="1" applyBorder="1" applyAlignment="1">
      <alignment horizontal="right" vertical="center"/>
    </xf>
    <xf numFmtId="176" fontId="4" fillId="0" borderId="2" xfId="1" applyNumberFormat="1" applyFont="1" applyFill="1" applyBorder="1" applyAlignment="1">
      <alignment horizontal="right" vertical="center"/>
    </xf>
    <xf numFmtId="181" fontId="2" fillId="0" borderId="2" xfId="1" quotePrefix="1" applyNumberFormat="1" applyFont="1" applyFill="1" applyBorder="1" applyAlignment="1">
      <alignment horizontal="right" vertical="center"/>
    </xf>
    <xf numFmtId="176" fontId="2" fillId="0" borderId="2" xfId="1" quotePrefix="1" applyNumberFormat="1" applyFont="1" applyFill="1" applyBorder="1" applyAlignment="1">
      <alignment horizontal="right" vertical="center"/>
    </xf>
    <xf numFmtId="38" fontId="4" fillId="0" borderId="2" xfId="1" applyNumberFormat="1" applyFont="1" applyFill="1" applyBorder="1" applyAlignment="1">
      <alignment horizontal="right" vertical="center" wrapText="1"/>
    </xf>
    <xf numFmtId="9" fontId="5" fillId="2" borderId="5" xfId="2" applyFont="1" applyFill="1" applyBorder="1" applyAlignment="1">
      <alignment horizontal="right" vertical="center" wrapText="1"/>
    </xf>
    <xf numFmtId="10" fontId="4" fillId="0" borderId="2" xfId="2" applyNumberFormat="1" applyFont="1" applyFill="1" applyBorder="1" applyAlignment="1">
      <alignment horizontal="right" vertical="center" wrapText="1"/>
    </xf>
    <xf numFmtId="183" fontId="4" fillId="0" borderId="2" xfId="2" applyNumberFormat="1" applyFont="1" applyFill="1" applyBorder="1" applyAlignment="1">
      <alignment horizontal="right" vertical="center" wrapText="1"/>
    </xf>
    <xf numFmtId="9" fontId="3" fillId="0" borderId="2" xfId="2" applyNumberFormat="1" applyFont="1" applyFill="1" applyBorder="1" applyAlignment="1">
      <alignment horizontal="right" vertical="center" wrapText="1"/>
    </xf>
    <xf numFmtId="9" fontId="5" fillId="0" borderId="2" xfId="2" applyNumberFormat="1" applyFont="1" applyFill="1" applyBorder="1" applyAlignment="1">
      <alignment horizontal="right" vertical="center" wrapText="1"/>
    </xf>
    <xf numFmtId="9" fontId="5" fillId="2" borderId="2" xfId="1" applyNumberFormat="1" applyFont="1" applyFill="1" applyBorder="1" applyAlignment="1">
      <alignment horizontal="right" vertical="center" wrapText="1"/>
    </xf>
    <xf numFmtId="176" fontId="5" fillId="2" borderId="2" xfId="1" applyNumberFormat="1" applyFont="1" applyFill="1" applyBorder="1" applyAlignment="1">
      <alignment horizontal="right" vertical="center" wrapText="1"/>
    </xf>
    <xf numFmtId="38" fontId="5" fillId="2" borderId="2" xfId="1" applyNumberFormat="1" applyFont="1" applyFill="1" applyBorder="1" applyAlignment="1">
      <alignment horizontal="right" vertical="center" wrapText="1"/>
    </xf>
    <xf numFmtId="38" fontId="5" fillId="2" borderId="0" xfId="0" applyNumberFormat="1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10" fontId="4" fillId="0" borderId="0" xfId="2" applyNumberFormat="1" applyFont="1" applyFill="1" applyBorder="1" applyAlignment="1">
      <alignment horizontal="right" vertical="center" wrapText="1"/>
    </xf>
    <xf numFmtId="183" fontId="4" fillId="0" borderId="0" xfId="2" applyNumberFormat="1" applyFont="1" applyFill="1" applyBorder="1" applyAlignment="1">
      <alignment horizontal="right" vertical="center" wrapText="1"/>
    </xf>
    <xf numFmtId="10" fontId="3" fillId="0" borderId="0" xfId="2" applyNumberFormat="1" applyFont="1" applyFill="1" applyBorder="1" applyAlignment="1">
      <alignment horizontal="right" vertical="center" wrapText="1"/>
    </xf>
    <xf numFmtId="183" fontId="5" fillId="0" borderId="0" xfId="2" applyNumberFormat="1" applyFont="1" applyFill="1" applyBorder="1" applyAlignment="1">
      <alignment horizontal="right" vertical="center" wrapText="1"/>
    </xf>
    <xf numFmtId="38" fontId="5" fillId="2" borderId="0" xfId="1" applyNumberFormat="1" applyFont="1" applyFill="1" applyBorder="1" applyAlignment="1">
      <alignment horizontal="right" vertical="center" wrapText="1"/>
    </xf>
    <xf numFmtId="176" fontId="5" fillId="2" borderId="0" xfId="1" applyNumberFormat="1" applyFont="1" applyFill="1" applyBorder="1" applyAlignment="1">
      <alignment horizontal="right" vertical="center" wrapText="1"/>
    </xf>
    <xf numFmtId="178" fontId="3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81" fontId="3" fillId="0" borderId="0" xfId="0" applyNumberFormat="1" applyFont="1" applyFill="1" applyAlignment="1">
      <alignment horizontal="right"/>
    </xf>
    <xf numFmtId="176" fontId="3" fillId="0" borderId="0" xfId="0" applyNumberFormat="1" applyFont="1" applyFill="1" applyAlignment="1">
      <alignment horizontal="right"/>
    </xf>
    <xf numFmtId="38" fontId="3" fillId="0" borderId="0" xfId="0" applyNumberFormat="1" applyFont="1" applyFill="1" applyAlignment="1">
      <alignment horizontal="right"/>
    </xf>
    <xf numFmtId="38" fontId="2" fillId="0" borderId="0" xfId="0" applyNumberFormat="1" applyFont="1" applyFill="1" applyAlignment="1">
      <alignment horizontal="right"/>
    </xf>
    <xf numFmtId="0" fontId="4" fillId="0" borderId="4" xfId="0" applyFont="1" applyFill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right"/>
    </xf>
    <xf numFmtId="0" fontId="11" fillId="2" borderId="2" xfId="0" applyNumberFormat="1" applyFont="1" applyFill="1" applyBorder="1" applyAlignment="1">
      <alignment horizontal="center" vertical="center" wrapText="1"/>
    </xf>
    <xf numFmtId="15" fontId="11" fillId="2" borderId="2" xfId="0" applyNumberFormat="1" applyFont="1" applyFill="1" applyBorder="1" applyAlignment="1">
      <alignment horizontal="center" vertical="center" wrapText="1"/>
    </xf>
    <xf numFmtId="178" fontId="11" fillId="2" borderId="2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2" fillId="2" borderId="2" xfId="1" applyNumberFormat="1" applyFont="1" applyFill="1" applyBorder="1" applyAlignment="1">
      <alignment horizontal="center" vertical="center" wrapText="1"/>
    </xf>
    <xf numFmtId="179" fontId="11" fillId="2" borderId="2" xfId="1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2" borderId="0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5" fontId="11" fillId="4" borderId="2" xfId="0" applyNumberFormat="1" applyFont="1" applyFill="1" applyBorder="1" applyAlignment="1">
      <alignment horizontal="center" vertical="center" wrapText="1"/>
    </xf>
    <xf numFmtId="178" fontId="14" fillId="4" borderId="2" xfId="0" applyNumberFormat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49" fontId="11" fillId="6" borderId="2" xfId="0" applyNumberFormat="1" applyFont="1" applyFill="1" applyBorder="1" applyAlignment="1">
      <alignment horizontal="center" vertical="center" wrapText="1"/>
    </xf>
    <xf numFmtId="180" fontId="19" fillId="6" borderId="2" xfId="0" applyNumberFormat="1" applyFont="1" applyFill="1" applyBorder="1" applyAlignment="1">
      <alignment horizontal="right" vertical="center" wrapText="1"/>
    </xf>
    <xf numFmtId="0" fontId="11" fillId="6" borderId="2" xfId="0" applyFont="1" applyFill="1" applyBorder="1" applyAlignment="1">
      <alignment horizontal="right" vertical="center" wrapText="1"/>
    </xf>
    <xf numFmtId="38" fontId="11" fillId="6" borderId="2" xfId="0" applyNumberFormat="1" applyFont="1" applyFill="1" applyBorder="1" applyAlignment="1">
      <alignment horizontal="right" vertical="center" wrapText="1"/>
    </xf>
    <xf numFmtId="180" fontId="11" fillId="6" borderId="2" xfId="0" applyNumberFormat="1" applyFont="1" applyFill="1" applyBorder="1" applyAlignment="1">
      <alignment horizontal="right" vertical="center" wrapText="1"/>
    </xf>
    <xf numFmtId="38" fontId="19" fillId="6" borderId="2" xfId="1" quotePrefix="1" applyNumberFormat="1" applyFont="1" applyFill="1" applyBorder="1" applyAlignment="1">
      <alignment horizontal="right" vertical="center" wrapText="1"/>
    </xf>
    <xf numFmtId="38" fontId="11" fillId="6" borderId="2" xfId="1" applyNumberFormat="1" applyFont="1" applyFill="1" applyBorder="1" applyAlignment="1">
      <alignment horizontal="right" vertical="center" wrapText="1"/>
    </xf>
    <xf numFmtId="38" fontId="20" fillId="6" borderId="2" xfId="1" quotePrefix="1" applyNumberFormat="1" applyFont="1" applyFill="1" applyBorder="1" applyAlignment="1">
      <alignment horizontal="right" vertical="center" wrapText="1"/>
    </xf>
    <xf numFmtId="181" fontId="19" fillId="6" borderId="2" xfId="1" quotePrefix="1" applyNumberFormat="1" applyFont="1" applyFill="1" applyBorder="1" applyAlignment="1">
      <alignment horizontal="right" vertical="center"/>
    </xf>
    <xf numFmtId="182" fontId="13" fillId="6" borderId="2" xfId="1" quotePrefix="1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right" vertical="center" wrapText="1"/>
    </xf>
    <xf numFmtId="180" fontId="20" fillId="6" borderId="2" xfId="0" applyNumberFormat="1" applyFont="1" applyFill="1" applyBorder="1" applyAlignment="1">
      <alignment horizontal="right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180" fontId="20" fillId="4" borderId="2" xfId="0" applyNumberFormat="1" applyFont="1" applyFill="1" applyBorder="1" applyAlignment="1">
      <alignment horizontal="right" vertical="center" wrapText="1"/>
    </xf>
    <xf numFmtId="0" fontId="11" fillId="3" borderId="2" xfId="0" applyFont="1" applyFill="1" applyBorder="1" applyAlignment="1">
      <alignment horizontal="right" vertical="center" wrapText="1"/>
    </xf>
    <xf numFmtId="38" fontId="11" fillId="0" borderId="2" xfId="0" applyNumberFormat="1" applyFont="1" applyFill="1" applyBorder="1" applyAlignment="1">
      <alignment horizontal="right" vertical="center" wrapText="1"/>
    </xf>
    <xf numFmtId="180" fontId="11" fillId="7" borderId="2" xfId="0" applyNumberFormat="1" applyFont="1" applyFill="1" applyBorder="1" applyAlignment="1">
      <alignment horizontal="right" vertical="center" wrapText="1"/>
    </xf>
    <xf numFmtId="38" fontId="19" fillId="0" borderId="2" xfId="1" quotePrefix="1" applyNumberFormat="1" applyFont="1" applyFill="1" applyBorder="1" applyAlignment="1">
      <alignment horizontal="right" vertical="center" wrapText="1"/>
    </xf>
    <xf numFmtId="38" fontId="19" fillId="3" borderId="2" xfId="1" quotePrefix="1" applyNumberFormat="1" applyFont="1" applyFill="1" applyBorder="1" applyAlignment="1">
      <alignment horizontal="right" vertical="center" wrapText="1"/>
    </xf>
    <xf numFmtId="38" fontId="11" fillId="0" borderId="2" xfId="1" applyNumberFormat="1" applyFont="1" applyFill="1" applyBorder="1" applyAlignment="1">
      <alignment horizontal="right" vertical="center" wrapText="1"/>
    </xf>
    <xf numFmtId="38" fontId="20" fillId="0" borderId="2" xfId="1" quotePrefix="1" applyNumberFormat="1" applyFont="1" applyFill="1" applyBorder="1" applyAlignment="1">
      <alignment horizontal="right" vertical="center" wrapText="1"/>
    </xf>
    <xf numFmtId="181" fontId="19" fillId="3" borderId="2" xfId="1" quotePrefix="1" applyNumberFormat="1" applyFont="1" applyFill="1" applyBorder="1" applyAlignment="1">
      <alignment horizontal="right" vertical="center"/>
    </xf>
    <xf numFmtId="181" fontId="19" fillId="0" borderId="2" xfId="1" quotePrefix="1" applyNumberFormat="1" applyFont="1" applyFill="1" applyBorder="1" applyAlignment="1">
      <alignment horizontal="right" vertical="center"/>
    </xf>
    <xf numFmtId="182" fontId="13" fillId="3" borderId="2" xfId="1" quotePrefix="1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right"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38" fontId="11" fillId="0" borderId="0" xfId="0" applyNumberFormat="1" applyFont="1" applyFill="1" applyAlignment="1">
      <alignment horizontal="right" vertical="center" wrapText="1"/>
    </xf>
    <xf numFmtId="178" fontId="11" fillId="2" borderId="2" xfId="0" applyNumberFormat="1" applyFont="1" applyFill="1" applyBorder="1" applyAlignment="1">
      <alignment horizontal="right" vertical="center" wrapText="1"/>
    </xf>
    <xf numFmtId="1" fontId="11" fillId="2" borderId="2" xfId="0" applyNumberFormat="1" applyFont="1" applyFill="1" applyBorder="1" applyAlignment="1">
      <alignment horizontal="right" vertical="center" wrapText="1"/>
    </xf>
    <xf numFmtId="38" fontId="11" fillId="2" borderId="2" xfId="0" applyNumberFormat="1" applyFont="1" applyFill="1" applyBorder="1" applyAlignment="1">
      <alignment horizontal="right" vertical="center" wrapText="1"/>
    </xf>
    <xf numFmtId="38" fontId="12" fillId="8" borderId="2" xfId="0" applyNumberFormat="1" applyFont="1" applyFill="1" applyBorder="1" applyAlignment="1">
      <alignment horizontal="right" vertical="center" wrapText="1"/>
    </xf>
    <xf numFmtId="181" fontId="12" fillId="8" borderId="2" xfId="1" applyNumberFormat="1" applyFont="1" applyFill="1" applyBorder="1" applyAlignment="1">
      <alignment horizontal="right" vertical="center"/>
    </xf>
    <xf numFmtId="181" fontId="10" fillId="8" borderId="2" xfId="1" quotePrefix="1" applyNumberFormat="1" applyFont="1" applyFill="1" applyBorder="1" applyAlignment="1">
      <alignment horizontal="right" vertical="center"/>
    </xf>
    <xf numFmtId="38" fontId="12" fillId="8" borderId="2" xfId="1" applyNumberFormat="1" applyFont="1" applyFill="1" applyBorder="1" applyAlignment="1">
      <alignment horizontal="right" vertical="center" wrapText="1"/>
    </xf>
    <xf numFmtId="38" fontId="11" fillId="2" borderId="0" xfId="0" applyNumberFormat="1" applyFont="1" applyFill="1" applyAlignment="1">
      <alignment horizontal="right" vertical="center" wrapText="1"/>
    </xf>
    <xf numFmtId="38" fontId="11" fillId="2" borderId="5" xfId="0" applyNumberFormat="1" applyFont="1" applyFill="1" applyBorder="1" applyAlignment="1">
      <alignment horizontal="right" vertical="center" wrapText="1"/>
    </xf>
    <xf numFmtId="10" fontId="11" fillId="0" borderId="2" xfId="2" applyNumberFormat="1" applyFont="1" applyFill="1" applyBorder="1" applyAlignment="1">
      <alignment horizontal="right" vertical="center" wrapText="1"/>
    </xf>
    <xf numFmtId="10" fontId="12" fillId="0" borderId="2" xfId="2" applyNumberFormat="1" applyFont="1" applyFill="1" applyBorder="1" applyAlignment="1">
      <alignment horizontal="right" vertical="center" wrapText="1"/>
    </xf>
    <xf numFmtId="183" fontId="11" fillId="0" borderId="2" xfId="2" applyNumberFormat="1" applyFont="1" applyFill="1" applyBorder="1" applyAlignment="1">
      <alignment horizontal="right" vertical="center" wrapText="1"/>
    </xf>
    <xf numFmtId="183" fontId="12" fillId="0" borderId="2" xfId="2" applyNumberFormat="1" applyFont="1" applyFill="1" applyBorder="1" applyAlignment="1">
      <alignment horizontal="right" vertical="center" wrapText="1"/>
    </xf>
    <xf numFmtId="10" fontId="19" fillId="0" borderId="2" xfId="2" applyNumberFormat="1" applyFont="1" applyFill="1" applyBorder="1" applyAlignment="1">
      <alignment horizontal="right" vertical="center" wrapText="1"/>
    </xf>
    <xf numFmtId="38" fontId="11" fillId="2" borderId="2" xfId="1" applyNumberFormat="1" applyFont="1" applyFill="1" applyBorder="1" applyAlignment="1">
      <alignment horizontal="right" vertical="center" wrapText="1"/>
    </xf>
    <xf numFmtId="10" fontId="11" fillId="0" borderId="0" xfId="2" applyNumberFormat="1" applyFont="1" applyFill="1" applyBorder="1" applyAlignment="1">
      <alignment horizontal="right" vertical="center" wrapText="1"/>
    </xf>
    <xf numFmtId="10" fontId="12" fillId="0" borderId="0" xfId="2" applyNumberFormat="1" applyFont="1" applyFill="1" applyBorder="1" applyAlignment="1">
      <alignment horizontal="right" vertical="center" wrapText="1"/>
    </xf>
    <xf numFmtId="183" fontId="11" fillId="0" borderId="0" xfId="2" applyNumberFormat="1" applyFont="1" applyFill="1" applyBorder="1" applyAlignment="1">
      <alignment horizontal="right" vertical="center" wrapText="1"/>
    </xf>
    <xf numFmtId="183" fontId="12" fillId="0" borderId="0" xfId="2" applyNumberFormat="1" applyFont="1" applyFill="1" applyBorder="1" applyAlignment="1">
      <alignment horizontal="right" vertical="center" wrapText="1"/>
    </xf>
    <xf numFmtId="10" fontId="19" fillId="0" borderId="0" xfId="2" applyNumberFormat="1" applyFont="1" applyFill="1" applyBorder="1" applyAlignment="1">
      <alignment horizontal="right" vertical="center" wrapText="1"/>
    </xf>
    <xf numFmtId="38" fontId="11" fillId="2" borderId="0" xfId="1" applyNumberFormat="1" applyFont="1" applyFill="1" applyBorder="1" applyAlignment="1">
      <alignment horizontal="right" vertical="center" wrapText="1"/>
    </xf>
    <xf numFmtId="9" fontId="21" fillId="0" borderId="0" xfId="0" applyNumberFormat="1" applyFont="1" applyAlignment="1"/>
    <xf numFmtId="184" fontId="3" fillId="0" borderId="0" xfId="0" applyNumberFormat="1" applyFont="1" applyFill="1" applyAlignment="1">
      <alignment horizontal="right"/>
    </xf>
    <xf numFmtId="38" fontId="12" fillId="3" borderId="2" xfId="1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Alignment="1">
      <alignment horizontal="right"/>
    </xf>
    <xf numFmtId="38" fontId="12" fillId="7" borderId="2" xfId="1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/>
    <xf numFmtId="38" fontId="10" fillId="0" borderId="0" xfId="0" applyNumberFormat="1" applyFont="1" applyAlignment="1"/>
    <xf numFmtId="10" fontId="2" fillId="3" borderId="0" xfId="2" applyNumberFormat="1" applyFont="1" applyFill="1" applyAlignment="1"/>
    <xf numFmtId="0" fontId="4" fillId="0" borderId="3" xfId="0" applyFont="1" applyFill="1" applyBorder="1" applyAlignment="1">
      <alignment horizontal="center" vertical="center" wrapText="1"/>
    </xf>
    <xf numFmtId="49" fontId="5" fillId="9" borderId="2" xfId="0" applyNumberFormat="1" applyFont="1" applyFill="1" applyBorder="1" applyAlignment="1">
      <alignment horizontal="center" vertical="center" wrapText="1"/>
    </xf>
    <xf numFmtId="180" fontId="3" fillId="9" borderId="2" xfId="0" applyNumberFormat="1" applyFont="1" applyFill="1" applyBorder="1" applyAlignment="1">
      <alignment horizontal="right" vertical="center" wrapText="1"/>
    </xf>
    <xf numFmtId="0" fontId="3" fillId="9" borderId="2" xfId="0" applyFont="1" applyFill="1" applyBorder="1" applyAlignment="1">
      <alignment horizontal="right" vertical="center" wrapText="1"/>
    </xf>
    <xf numFmtId="38" fontId="3" fillId="9" borderId="2" xfId="0" applyNumberFormat="1" applyFont="1" applyFill="1" applyBorder="1" applyAlignment="1">
      <alignment horizontal="right" vertical="center" wrapText="1"/>
    </xf>
    <xf numFmtId="180" fontId="5" fillId="9" borderId="2" xfId="0" applyNumberFormat="1" applyFont="1" applyFill="1" applyBorder="1" applyAlignment="1">
      <alignment horizontal="right" vertical="center" wrapText="1"/>
    </xf>
    <xf numFmtId="38" fontId="3" fillId="9" borderId="2" xfId="1" quotePrefix="1" applyNumberFormat="1" applyFont="1" applyFill="1" applyBorder="1" applyAlignment="1">
      <alignment horizontal="right" vertical="center" wrapText="1"/>
    </xf>
    <xf numFmtId="38" fontId="3" fillId="9" borderId="2" xfId="1" applyNumberFormat="1" applyFont="1" applyFill="1" applyBorder="1" applyAlignment="1">
      <alignment horizontal="right" vertical="center" wrapText="1"/>
    </xf>
    <xf numFmtId="181" fontId="3" fillId="9" borderId="2" xfId="1" quotePrefix="1" applyNumberFormat="1" applyFont="1" applyFill="1" applyBorder="1" applyAlignment="1">
      <alignment horizontal="right" vertical="center"/>
    </xf>
    <xf numFmtId="182" fontId="2" fillId="9" borderId="2" xfId="1" quotePrefix="1" applyNumberFormat="1" applyFont="1" applyFill="1" applyBorder="1" applyAlignment="1">
      <alignment horizontal="center" vertical="center" wrapText="1"/>
    </xf>
    <xf numFmtId="38" fontId="5" fillId="9" borderId="2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/>
    </xf>
    <xf numFmtId="0" fontId="4" fillId="2" borderId="0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9" fontId="4" fillId="2" borderId="5" xfId="2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80" fontId="3" fillId="6" borderId="2" xfId="0" applyNumberFormat="1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right" vertical="center" wrapText="1"/>
    </xf>
    <xf numFmtId="38" fontId="3" fillId="6" borderId="2" xfId="0" applyNumberFormat="1" applyFont="1" applyFill="1" applyBorder="1" applyAlignment="1">
      <alignment horizontal="right" vertical="center" wrapText="1"/>
    </xf>
    <xf numFmtId="180" fontId="5" fillId="6" borderId="2" xfId="0" applyNumberFormat="1" applyFont="1" applyFill="1" applyBorder="1" applyAlignment="1">
      <alignment horizontal="right" vertical="center" wrapText="1"/>
    </xf>
    <xf numFmtId="38" fontId="3" fillId="6" borderId="2" xfId="1" quotePrefix="1" applyNumberFormat="1" applyFont="1" applyFill="1" applyBorder="1" applyAlignment="1">
      <alignment horizontal="right" vertical="center" wrapText="1"/>
    </xf>
    <xf numFmtId="38" fontId="3" fillId="6" borderId="2" xfId="1" applyNumberFormat="1" applyFont="1" applyFill="1" applyBorder="1" applyAlignment="1">
      <alignment horizontal="right" vertical="center" wrapText="1"/>
    </xf>
    <xf numFmtId="181" fontId="3" fillId="6" borderId="2" xfId="1" quotePrefix="1" applyNumberFormat="1" applyFont="1" applyFill="1" applyBorder="1" applyAlignment="1">
      <alignment horizontal="right" vertical="center"/>
    </xf>
    <xf numFmtId="182" fontId="2" fillId="6" borderId="2" xfId="1" quotePrefix="1" applyNumberFormat="1" applyFont="1" applyFill="1" applyBorder="1" applyAlignment="1">
      <alignment horizontal="center" vertical="center" wrapText="1"/>
    </xf>
    <xf numFmtId="38" fontId="5" fillId="6" borderId="2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179" fontId="3" fillId="0" borderId="2" xfId="1" applyNumberFormat="1" applyFont="1" applyBorder="1" applyAlignment="1">
      <alignment vertical="top"/>
    </xf>
    <xf numFmtId="179" fontId="0" fillId="0" borderId="0" xfId="0" applyNumberFormat="1">
      <alignment vertical="top"/>
    </xf>
    <xf numFmtId="49" fontId="5" fillId="0" borderId="9" xfId="0" applyNumberFormat="1" applyFont="1" applyFill="1" applyBorder="1" applyAlignment="1">
      <alignment horizontal="center" vertical="center" wrapText="1"/>
    </xf>
    <xf numFmtId="1" fontId="3" fillId="6" borderId="2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/>
    <xf numFmtId="9" fontId="4" fillId="0" borderId="5" xfId="2" applyFont="1" applyFill="1" applyBorder="1" applyAlignment="1">
      <alignment horizontal="right" vertical="center" wrapText="1"/>
    </xf>
    <xf numFmtId="0" fontId="5" fillId="6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38" fontId="2" fillId="0" borderId="2" xfId="0" applyNumberFormat="1" applyFont="1" applyFill="1" applyBorder="1" applyAlignment="1">
      <alignment horizontal="right" vertical="center" wrapText="1"/>
    </xf>
    <xf numFmtId="183" fontId="2" fillId="0" borderId="2" xfId="2" applyNumberFormat="1" applyFont="1" applyFill="1" applyBorder="1" applyAlignment="1">
      <alignment horizontal="right" vertical="center" wrapText="1"/>
    </xf>
    <xf numFmtId="183" fontId="2" fillId="0" borderId="0" xfId="2" applyNumberFormat="1" applyFont="1" applyFill="1" applyBorder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179" fontId="5" fillId="6" borderId="2" xfId="1" applyNumberFormat="1" applyFont="1" applyFill="1" applyBorder="1" applyAlignment="1">
      <alignment horizontal="right" vertical="center" wrapText="1"/>
    </xf>
    <xf numFmtId="180" fontId="32" fillId="6" borderId="2" xfId="0" applyNumberFormat="1" applyFont="1" applyFill="1" applyBorder="1" applyAlignment="1">
      <alignment horizontal="right" vertical="center" wrapText="1"/>
    </xf>
    <xf numFmtId="0" fontId="33" fillId="0" borderId="1" xfId="0" applyFont="1" applyBorder="1" applyAlignment="1"/>
    <xf numFmtId="0" fontId="34" fillId="6" borderId="2" xfId="0" applyFont="1" applyFill="1" applyBorder="1" applyAlignment="1">
      <alignment horizontal="right" vertical="center" wrapText="1"/>
    </xf>
    <xf numFmtId="179" fontId="35" fillId="10" borderId="10" xfId="0" applyNumberFormat="1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177" fontId="2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38" fontId="5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right" vertical="center" wrapText="1"/>
    </xf>
    <xf numFmtId="0" fontId="12" fillId="0" borderId="2" xfId="0" applyFont="1" applyFill="1" applyBorder="1" applyAlignment="1">
      <alignment vertical="center" wrapText="1"/>
    </xf>
    <xf numFmtId="179" fontId="4" fillId="0" borderId="0" xfId="1" applyNumberFormat="1" applyFont="1" applyFill="1" applyAlignment="1">
      <alignment vertical="center" wrapText="1"/>
    </xf>
    <xf numFmtId="49" fontId="5" fillId="8" borderId="2" xfId="0" applyNumberFormat="1" applyFont="1" applyFill="1" applyBorder="1" applyAlignment="1">
      <alignment horizontal="center" vertical="center" wrapText="1"/>
    </xf>
    <xf numFmtId="180" fontId="3" fillId="8" borderId="2" xfId="0" applyNumberFormat="1" applyFont="1" applyFill="1" applyBorder="1" applyAlignment="1">
      <alignment horizontal="right" vertical="center" wrapText="1"/>
    </xf>
    <xf numFmtId="0" fontId="3" fillId="8" borderId="2" xfId="0" applyFont="1" applyFill="1" applyBorder="1" applyAlignment="1">
      <alignment horizontal="right" vertical="center" wrapText="1"/>
    </xf>
    <xf numFmtId="38" fontId="3" fillId="8" borderId="2" xfId="0" applyNumberFormat="1" applyFont="1" applyFill="1" applyBorder="1" applyAlignment="1">
      <alignment horizontal="right" vertical="center" wrapText="1"/>
    </xf>
    <xf numFmtId="38" fontId="3" fillId="8" borderId="2" xfId="1" quotePrefix="1" applyNumberFormat="1" applyFont="1" applyFill="1" applyBorder="1" applyAlignment="1">
      <alignment horizontal="right" vertical="center" wrapText="1"/>
    </xf>
    <xf numFmtId="38" fontId="3" fillId="8" borderId="2" xfId="1" applyNumberFormat="1" applyFont="1" applyFill="1" applyBorder="1" applyAlignment="1">
      <alignment horizontal="right" vertical="center" wrapText="1"/>
    </xf>
    <xf numFmtId="181" fontId="3" fillId="8" borderId="2" xfId="1" quotePrefix="1" applyNumberFormat="1" applyFont="1" applyFill="1" applyBorder="1" applyAlignment="1">
      <alignment horizontal="right" vertical="center"/>
    </xf>
    <xf numFmtId="182" fontId="2" fillId="8" borderId="2" xfId="1" quotePrefix="1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179" fontId="3" fillId="8" borderId="2" xfId="1" quotePrefix="1" applyNumberFormat="1" applyFont="1" applyFill="1" applyBorder="1" applyAlignment="1">
      <alignment horizontal="right" vertical="center" wrapText="1"/>
    </xf>
    <xf numFmtId="179" fontId="3" fillId="8" borderId="2" xfId="1" applyNumberFormat="1" applyFont="1" applyFill="1" applyBorder="1" applyAlignment="1">
      <alignment horizontal="right" vertical="center" wrapText="1"/>
    </xf>
    <xf numFmtId="179" fontId="3" fillId="0" borderId="2" xfId="1" applyNumberFormat="1" applyFont="1" applyFill="1" applyBorder="1" applyAlignment="1">
      <alignment horizontal="right" vertical="center" wrapText="1"/>
    </xf>
    <xf numFmtId="1" fontId="3" fillId="8" borderId="2" xfId="0" applyNumberFormat="1" applyFont="1" applyFill="1" applyBorder="1" applyAlignment="1">
      <alignment horizontal="right" vertical="center" wrapText="1"/>
    </xf>
    <xf numFmtId="179" fontId="5" fillId="0" borderId="0" xfId="0" applyNumberFormat="1" applyFont="1" applyFill="1" applyAlignment="1">
      <alignment horizontal="right" vertical="center" wrapText="1"/>
    </xf>
    <xf numFmtId="179" fontId="3" fillId="0" borderId="2" xfId="1" quotePrefix="1" applyNumberFormat="1" applyFont="1" applyFill="1" applyBorder="1" applyAlignment="1">
      <alignment horizontal="right" vertical="center"/>
    </xf>
    <xf numFmtId="0" fontId="37" fillId="0" borderId="1" xfId="0" applyFont="1" applyBorder="1" applyAlignment="1"/>
    <xf numFmtId="0" fontId="38" fillId="0" borderId="1" xfId="0" applyFont="1" applyBorder="1" applyAlignment="1"/>
    <xf numFmtId="0" fontId="38" fillId="0" borderId="1" xfId="0" applyFont="1" applyBorder="1" applyAlignment="1">
      <alignment wrapText="1"/>
    </xf>
    <xf numFmtId="0" fontId="38" fillId="0" borderId="1" xfId="0" applyFont="1" applyFill="1" applyBorder="1" applyAlignment="1"/>
    <xf numFmtId="0" fontId="38" fillId="0" borderId="1" xfId="0" applyFont="1" applyFill="1" applyBorder="1" applyAlignment="1">
      <alignment wrapText="1"/>
    </xf>
    <xf numFmtId="177" fontId="38" fillId="0" borderId="1" xfId="0" applyNumberFormat="1" applyFont="1" applyBorder="1" applyAlignment="1">
      <alignment horizontal="right" wrapText="1"/>
    </xf>
    <xf numFmtId="0" fontId="39" fillId="0" borderId="0" xfId="0" applyFont="1" applyAlignment="1">
      <alignment horizontal="right"/>
    </xf>
    <xf numFmtId="0" fontId="39" fillId="0" borderId="0" xfId="0" applyFont="1" applyFill="1" applyAlignment="1">
      <alignment horizontal="right"/>
    </xf>
    <xf numFmtId="0" fontId="38" fillId="0" borderId="0" xfId="0" applyFont="1" applyFill="1" applyAlignment="1">
      <alignment horizontal="right"/>
    </xf>
    <xf numFmtId="38" fontId="39" fillId="0" borderId="0" xfId="0" applyNumberFormat="1" applyFont="1" applyFill="1" applyAlignment="1">
      <alignment horizontal="right"/>
    </xf>
    <xf numFmtId="0" fontId="40" fillId="0" borderId="0" xfId="0" applyNumberFormat="1" applyFont="1" applyFill="1" applyBorder="1" applyAlignment="1">
      <alignment vertical="center" wrapText="1"/>
    </xf>
    <xf numFmtId="0" fontId="40" fillId="0" borderId="2" xfId="0" applyFont="1" applyFill="1" applyBorder="1" applyAlignment="1">
      <alignment vertical="center" wrapText="1"/>
    </xf>
    <xf numFmtId="0" fontId="40" fillId="0" borderId="6" xfId="0" applyFont="1" applyFill="1" applyBorder="1" applyAlignment="1">
      <alignment vertical="center" wrapText="1"/>
    </xf>
    <xf numFmtId="0" fontId="40" fillId="0" borderId="0" xfId="0" applyFont="1" applyFill="1" applyAlignment="1">
      <alignment vertical="center" wrapText="1"/>
    </xf>
    <xf numFmtId="0" fontId="40" fillId="4" borderId="0" xfId="0" applyFont="1" applyFill="1" applyAlignment="1">
      <alignment vertical="center" wrapText="1"/>
    </xf>
    <xf numFmtId="0" fontId="43" fillId="0" borderId="2" xfId="0" applyFont="1" applyFill="1" applyBorder="1" applyAlignment="1">
      <alignment vertical="center" wrapText="1"/>
    </xf>
    <xf numFmtId="179" fontId="40" fillId="0" borderId="0" xfId="1" applyNumberFormat="1" applyFont="1" applyFill="1" applyAlignment="1">
      <alignment vertical="center" wrapText="1"/>
    </xf>
    <xf numFmtId="49" fontId="44" fillId="0" borderId="2" xfId="0" applyNumberFormat="1" applyFont="1" applyFill="1" applyBorder="1" applyAlignment="1">
      <alignment horizontal="center" vertical="center" wrapText="1"/>
    </xf>
    <xf numFmtId="0" fontId="45" fillId="0" borderId="2" xfId="0" applyFont="1" applyFill="1" applyBorder="1" applyAlignment="1">
      <alignment horizontal="right" vertical="center" wrapText="1"/>
    </xf>
    <xf numFmtId="38" fontId="45" fillId="0" borderId="2" xfId="0" applyNumberFormat="1" applyFont="1" applyFill="1" applyBorder="1" applyAlignment="1">
      <alignment horizontal="right" vertical="center" wrapText="1"/>
    </xf>
    <xf numFmtId="38" fontId="45" fillId="0" borderId="2" xfId="1" quotePrefix="1" applyNumberFormat="1" applyFont="1" applyFill="1" applyBorder="1" applyAlignment="1">
      <alignment horizontal="right" vertical="center" wrapText="1"/>
    </xf>
    <xf numFmtId="38" fontId="45" fillId="0" borderId="2" xfId="1" applyNumberFormat="1" applyFont="1" applyFill="1" applyBorder="1" applyAlignment="1">
      <alignment horizontal="right" vertical="center" wrapText="1"/>
    </xf>
    <xf numFmtId="179" fontId="45" fillId="0" borderId="2" xfId="1" applyNumberFormat="1" applyFont="1" applyFill="1" applyBorder="1" applyAlignment="1">
      <alignment horizontal="right" vertical="center" wrapText="1"/>
    </xf>
    <xf numFmtId="182" fontId="41" fillId="0" borderId="2" xfId="1" quotePrefix="1" applyNumberFormat="1" applyFont="1" applyFill="1" applyBorder="1" applyAlignment="1">
      <alignment horizontal="center" vertical="center" wrapText="1"/>
    </xf>
    <xf numFmtId="38" fontId="44" fillId="0" borderId="0" xfId="0" applyNumberFormat="1" applyFont="1" applyFill="1" applyAlignment="1">
      <alignment horizontal="right" vertical="center" wrapText="1"/>
    </xf>
    <xf numFmtId="0" fontId="44" fillId="0" borderId="0" xfId="0" applyFont="1" applyFill="1" applyAlignment="1">
      <alignment horizontal="right" vertical="center" wrapText="1"/>
    </xf>
    <xf numFmtId="0" fontId="45" fillId="0" borderId="0" xfId="0" applyFont="1" applyFill="1" applyAlignment="1">
      <alignment horizontal="right"/>
    </xf>
    <xf numFmtId="1" fontId="45" fillId="0" borderId="2" xfId="0" applyNumberFormat="1" applyFont="1" applyFill="1" applyBorder="1" applyAlignment="1">
      <alignment horizontal="right" vertical="center" wrapText="1"/>
    </xf>
    <xf numFmtId="0" fontId="44" fillId="4" borderId="0" xfId="0" applyFont="1" applyFill="1" applyAlignment="1">
      <alignment horizontal="right" vertical="center" wrapText="1"/>
    </xf>
    <xf numFmtId="38" fontId="44" fillId="4" borderId="0" xfId="0" applyNumberFormat="1" applyFont="1" applyFill="1" applyAlignment="1">
      <alignment horizontal="right" vertical="center" wrapText="1"/>
    </xf>
    <xf numFmtId="178" fontId="44" fillId="0" borderId="2" xfId="0" applyNumberFormat="1" applyFont="1" applyFill="1" applyBorder="1" applyAlignment="1">
      <alignment horizontal="right" vertical="center" wrapText="1"/>
    </xf>
    <xf numFmtId="38" fontId="41" fillId="0" borderId="2" xfId="0" applyNumberFormat="1" applyFont="1" applyFill="1" applyBorder="1" applyAlignment="1">
      <alignment horizontal="right" vertical="center" wrapText="1"/>
    </xf>
    <xf numFmtId="181" fontId="41" fillId="0" borderId="2" xfId="1" quotePrefix="1" applyNumberFormat="1" applyFont="1" applyFill="1" applyBorder="1" applyAlignment="1">
      <alignment horizontal="right" vertical="center"/>
    </xf>
    <xf numFmtId="9" fontId="40" fillId="0" borderId="5" xfId="2" applyFont="1" applyFill="1" applyBorder="1" applyAlignment="1">
      <alignment horizontal="right" vertical="center" wrapText="1"/>
    </xf>
    <xf numFmtId="10" fontId="40" fillId="0" borderId="2" xfId="2" applyNumberFormat="1" applyFont="1" applyFill="1" applyBorder="1" applyAlignment="1">
      <alignment horizontal="right" vertical="center" wrapText="1"/>
    </xf>
    <xf numFmtId="183" fontId="41" fillId="0" borderId="2" xfId="2" applyNumberFormat="1" applyFont="1" applyFill="1" applyBorder="1" applyAlignment="1">
      <alignment horizontal="right" vertical="center" wrapText="1"/>
    </xf>
    <xf numFmtId="9" fontId="45" fillId="0" borderId="2" xfId="2" applyNumberFormat="1" applyFont="1" applyFill="1" applyBorder="1" applyAlignment="1">
      <alignment horizontal="right" vertical="center" wrapText="1"/>
    </xf>
    <xf numFmtId="9" fontId="44" fillId="0" borderId="2" xfId="2" applyNumberFormat="1" applyFont="1" applyFill="1" applyBorder="1" applyAlignment="1">
      <alignment horizontal="right" vertical="center" wrapText="1"/>
    </xf>
    <xf numFmtId="9" fontId="44" fillId="2" borderId="2" xfId="1" applyNumberFormat="1" applyFont="1" applyFill="1" applyBorder="1" applyAlignment="1">
      <alignment horizontal="right" vertical="center" wrapText="1"/>
    </xf>
    <xf numFmtId="38" fontId="44" fillId="2" borderId="2" xfId="1" applyNumberFormat="1" applyFont="1" applyFill="1" applyBorder="1" applyAlignment="1">
      <alignment horizontal="right" vertical="center" wrapText="1"/>
    </xf>
    <xf numFmtId="180" fontId="46" fillId="0" borderId="2" xfId="0" applyNumberFormat="1" applyFont="1" applyFill="1" applyBorder="1" applyAlignment="1">
      <alignment horizontal="right" vertical="center" wrapText="1"/>
    </xf>
    <xf numFmtId="179" fontId="3" fillId="0" borderId="2" xfId="1" quotePrefix="1" applyNumberFormat="1" applyFont="1" applyFill="1" applyBorder="1" applyAlignment="1">
      <alignment horizontal="right" vertical="center" wrapText="1"/>
    </xf>
    <xf numFmtId="179" fontId="45" fillId="0" borderId="2" xfId="1" applyNumberFormat="1" applyFont="1" applyFill="1" applyBorder="1" applyAlignment="1">
      <alignment horizontal="right"/>
    </xf>
    <xf numFmtId="181" fontId="41" fillId="0" borderId="2" xfId="1" applyNumberFormat="1" applyFont="1" applyFill="1" applyBorder="1" applyAlignment="1">
      <alignment horizontal="right" vertical="center"/>
    </xf>
    <xf numFmtId="38" fontId="41" fillId="0" borderId="2" xfId="1" applyNumberFormat="1" applyFont="1" applyFill="1" applyBorder="1" applyAlignment="1">
      <alignment horizontal="right" vertical="center" wrapText="1"/>
    </xf>
    <xf numFmtId="179" fontId="45" fillId="8" borderId="2" xfId="1" applyNumberFormat="1" applyFont="1" applyFill="1" applyBorder="1" applyAlignment="1">
      <alignment horizontal="right"/>
    </xf>
    <xf numFmtId="179" fontId="3" fillId="8" borderId="2" xfId="1" applyNumberFormat="1" applyFont="1" applyFill="1" applyBorder="1" applyAlignment="1">
      <alignment horizontal="right"/>
    </xf>
    <xf numFmtId="0" fontId="2" fillId="11" borderId="0" xfId="0" applyFont="1" applyFill="1" applyAlignment="1">
      <alignment horizontal="right"/>
    </xf>
    <xf numFmtId="0" fontId="2" fillId="11" borderId="0" xfId="0" applyFont="1" applyFill="1" applyAlignment="1">
      <alignment horizontal="left"/>
    </xf>
    <xf numFmtId="0" fontId="3" fillId="11" borderId="0" xfId="0" applyFont="1" applyFill="1" applyAlignment="1">
      <alignment horizontal="right"/>
    </xf>
    <xf numFmtId="179" fontId="3" fillId="8" borderId="2" xfId="1" quotePrefix="1" applyNumberFormat="1" applyFont="1" applyFill="1" applyBorder="1" applyAlignment="1">
      <alignment horizontal="right" vertical="center"/>
    </xf>
    <xf numFmtId="185" fontId="45" fillId="0" borderId="2" xfId="1" quotePrefix="1" applyNumberFormat="1" applyFont="1" applyFill="1" applyBorder="1" applyAlignment="1">
      <alignment horizontal="right" vertical="center" wrapText="1"/>
    </xf>
    <xf numFmtId="185" fontId="45" fillId="0" borderId="2" xfId="1" applyNumberFormat="1" applyFont="1" applyFill="1" applyBorder="1" applyAlignment="1">
      <alignment horizontal="right"/>
    </xf>
    <xf numFmtId="185" fontId="45" fillId="0" borderId="2" xfId="1" quotePrefix="1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center" wrapText="1"/>
    </xf>
    <xf numFmtId="179" fontId="3" fillId="0" borderId="0" xfId="1" applyNumberFormat="1" applyFont="1" applyFill="1" applyAlignment="1">
      <alignment horizontal="right"/>
    </xf>
    <xf numFmtId="179" fontId="3" fillId="8" borderId="0" xfId="1" applyNumberFormat="1" applyFont="1" applyFill="1" applyAlignment="1">
      <alignment horizontal="right"/>
    </xf>
    <xf numFmtId="179" fontId="39" fillId="0" borderId="2" xfId="1" applyNumberFormat="1" applyFont="1" applyFill="1" applyBorder="1" applyAlignment="1">
      <alignment horizontal="right"/>
    </xf>
    <xf numFmtId="179" fontId="3" fillId="0" borderId="2" xfId="1" applyNumberFormat="1" applyFont="1" applyFill="1" applyBorder="1" applyAlignment="1">
      <alignment horizontal="right"/>
    </xf>
    <xf numFmtId="38" fontId="3" fillId="8" borderId="8" xfId="1" quotePrefix="1" applyNumberFormat="1" applyFont="1" applyFill="1" applyBorder="1" applyAlignment="1">
      <alignment horizontal="right" vertical="center" wrapText="1"/>
    </xf>
    <xf numFmtId="38" fontId="3" fillId="8" borderId="8" xfId="0" applyNumberFormat="1" applyFont="1" applyFill="1" applyBorder="1" applyAlignment="1">
      <alignment horizontal="right" vertical="center" wrapText="1"/>
    </xf>
    <xf numFmtId="179" fontId="3" fillId="8" borderId="5" xfId="1" applyNumberFormat="1" applyFont="1" applyFill="1" applyBorder="1" applyAlignment="1">
      <alignment horizontal="right"/>
    </xf>
    <xf numFmtId="0" fontId="21" fillId="3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3" xfId="1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0" borderId="4" xfId="1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38" fontId="11" fillId="2" borderId="3" xfId="0" applyNumberFormat="1" applyFont="1" applyFill="1" applyBorder="1" applyAlignment="1">
      <alignment horizontal="center" vertical="center" wrapText="1"/>
    </xf>
    <xf numFmtId="38" fontId="11" fillId="2" borderId="5" xfId="0" applyNumberFormat="1" applyFont="1" applyFill="1" applyBorder="1" applyAlignment="1">
      <alignment horizontal="center" vertical="center" wrapText="1"/>
    </xf>
    <xf numFmtId="38" fontId="11" fillId="2" borderId="3" xfId="0" applyNumberFormat="1" applyFont="1" applyFill="1" applyBorder="1" applyAlignment="1">
      <alignment horizontal="right" vertical="center" wrapText="1"/>
    </xf>
    <xf numFmtId="38" fontId="11" fillId="2" borderId="4" xfId="0" applyNumberFormat="1" applyFont="1" applyFill="1" applyBorder="1" applyAlignment="1">
      <alignment horizontal="right" vertical="center" wrapText="1"/>
    </xf>
    <xf numFmtId="38" fontId="11" fillId="2" borderId="5" xfId="0" applyNumberFormat="1" applyFont="1" applyFill="1" applyBorder="1" applyAlignment="1">
      <alignment horizontal="right" vertical="center" wrapText="1"/>
    </xf>
    <xf numFmtId="0" fontId="18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179" fontId="4" fillId="2" borderId="6" xfId="1" applyNumberFormat="1" applyFont="1" applyFill="1" applyBorder="1" applyAlignment="1">
      <alignment horizontal="center" vertical="center" wrapText="1"/>
    </xf>
    <xf numFmtId="179" fontId="4" fillId="2" borderId="8" xfId="1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38" fontId="5" fillId="0" borderId="3" xfId="0" applyNumberFormat="1" applyFont="1" applyFill="1" applyBorder="1" applyAlignment="1">
      <alignment horizontal="center" vertical="center" wrapText="1"/>
    </xf>
    <xf numFmtId="38" fontId="5" fillId="0" borderId="5" xfId="0" applyNumberFormat="1" applyFont="1" applyFill="1" applyBorder="1" applyAlignment="1">
      <alignment horizontal="center" vertical="center" wrapText="1"/>
    </xf>
    <xf numFmtId="38" fontId="5" fillId="2" borderId="3" xfId="0" applyNumberFormat="1" applyFont="1" applyFill="1" applyBorder="1" applyAlignment="1">
      <alignment horizontal="right" vertical="center" wrapText="1"/>
    </xf>
    <xf numFmtId="38" fontId="5" fillId="2" borderId="4" xfId="0" applyNumberFormat="1" applyFont="1" applyFill="1" applyBorder="1" applyAlignment="1">
      <alignment horizontal="right" vertical="center" wrapText="1"/>
    </xf>
    <xf numFmtId="38" fontId="5" fillId="2" borderId="5" xfId="0" applyNumberFormat="1" applyFont="1" applyFill="1" applyBorder="1" applyAlignment="1">
      <alignment horizontal="right"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4" fillId="0" borderId="7" xfId="0" applyNumberFormat="1" applyFont="1" applyFill="1" applyBorder="1" applyAlignment="1">
      <alignment vertical="center" wrapText="1"/>
    </xf>
    <xf numFmtId="0" fontId="4" fillId="0" borderId="8" xfId="0" applyNumberFormat="1" applyFont="1" applyFill="1" applyBorder="1" applyAlignment="1">
      <alignment vertical="center" wrapText="1"/>
    </xf>
    <xf numFmtId="0" fontId="4" fillId="2" borderId="6" xfId="0" applyNumberFormat="1" applyFont="1" applyFill="1" applyBorder="1" applyAlignment="1">
      <alignment vertical="center" wrapText="1"/>
    </xf>
    <xf numFmtId="0" fontId="4" fillId="2" borderId="7" xfId="0" applyNumberFormat="1" applyFont="1" applyFill="1" applyBorder="1" applyAlignment="1">
      <alignment vertical="center" wrapText="1"/>
    </xf>
    <xf numFmtId="0" fontId="4" fillId="2" borderId="8" xfId="0" applyNumberFormat="1" applyFont="1" applyFill="1" applyBorder="1" applyAlignment="1">
      <alignment vertical="center" wrapText="1"/>
    </xf>
    <xf numFmtId="179" fontId="4" fillId="2" borderId="6" xfId="1" applyNumberFormat="1" applyFont="1" applyFill="1" applyBorder="1" applyAlignment="1">
      <alignment vertical="center" wrapText="1"/>
    </xf>
    <xf numFmtId="179" fontId="4" fillId="2" borderId="7" xfId="1" applyNumberFormat="1" applyFont="1" applyFill="1" applyBorder="1" applyAlignment="1">
      <alignment vertical="center" wrapText="1"/>
    </xf>
    <xf numFmtId="179" fontId="4" fillId="2" borderId="8" xfId="1" applyNumberFormat="1" applyFont="1" applyFill="1" applyBorder="1" applyAlignment="1">
      <alignment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vertical="center" wrapText="1"/>
    </xf>
    <xf numFmtId="0" fontId="40" fillId="0" borderId="6" xfId="0" applyNumberFormat="1" applyFont="1" applyFill="1" applyBorder="1" applyAlignment="1">
      <alignment vertical="center" wrapText="1"/>
    </xf>
    <xf numFmtId="0" fontId="40" fillId="2" borderId="6" xfId="0" applyNumberFormat="1" applyFont="1" applyFill="1" applyBorder="1" applyAlignment="1">
      <alignment vertical="center" wrapText="1"/>
    </xf>
    <xf numFmtId="0" fontId="40" fillId="2" borderId="7" xfId="0" applyNumberFormat="1" applyFont="1" applyFill="1" applyBorder="1" applyAlignment="1">
      <alignment vertical="center" wrapText="1"/>
    </xf>
    <xf numFmtId="0" fontId="40" fillId="2" borderId="8" xfId="0" applyNumberFormat="1" applyFont="1" applyFill="1" applyBorder="1" applyAlignment="1">
      <alignment vertical="center" wrapText="1"/>
    </xf>
    <xf numFmtId="0" fontId="40" fillId="2" borderId="2" xfId="0" applyNumberFormat="1" applyFont="1" applyFill="1" applyBorder="1" applyAlignment="1">
      <alignment vertical="center" wrapText="1"/>
    </xf>
    <xf numFmtId="0" fontId="40" fillId="0" borderId="2" xfId="0" applyFont="1" applyFill="1" applyBorder="1" applyAlignment="1">
      <alignment horizontal="center" vertical="center" wrapText="1"/>
    </xf>
    <xf numFmtId="0" fontId="44" fillId="0" borderId="6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38" fontId="44" fillId="0" borderId="3" xfId="0" applyNumberFormat="1" applyFont="1" applyFill="1" applyBorder="1" applyAlignment="1">
      <alignment horizontal="center" vertical="center" wrapText="1"/>
    </xf>
    <xf numFmtId="38" fontId="44" fillId="0" borderId="5" xfId="0" applyNumberFormat="1" applyFont="1" applyFill="1" applyBorder="1" applyAlignment="1">
      <alignment horizontal="center" vertical="center" wrapText="1"/>
    </xf>
    <xf numFmtId="38" fontId="44" fillId="2" borderId="3" xfId="0" applyNumberFormat="1" applyFont="1" applyFill="1" applyBorder="1" applyAlignment="1">
      <alignment horizontal="right" vertical="center" wrapText="1"/>
    </xf>
    <xf numFmtId="38" fontId="44" fillId="2" borderId="4" xfId="0" applyNumberFormat="1" applyFont="1" applyFill="1" applyBorder="1" applyAlignment="1">
      <alignment horizontal="right" vertical="center" wrapText="1"/>
    </xf>
    <xf numFmtId="38" fontId="44" fillId="2" borderId="5" xfId="0" applyNumberFormat="1" applyFont="1" applyFill="1" applyBorder="1" applyAlignment="1">
      <alignment horizontal="right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1" fillId="0" borderId="6" xfId="0" applyNumberFormat="1" applyFont="1" applyFill="1" applyBorder="1" applyAlignment="1">
      <alignment vertical="center" wrapText="1"/>
    </xf>
    <xf numFmtId="0" fontId="41" fillId="0" borderId="7" xfId="0" applyNumberFormat="1" applyFont="1" applyFill="1" applyBorder="1" applyAlignment="1">
      <alignment vertical="center" wrapText="1"/>
    </xf>
    <xf numFmtId="179" fontId="40" fillId="2" borderId="6" xfId="1" applyNumberFormat="1" applyFont="1" applyFill="1" applyBorder="1" applyAlignment="1">
      <alignment vertical="center" wrapText="1"/>
    </xf>
    <xf numFmtId="179" fontId="40" fillId="2" borderId="7" xfId="1" applyNumberFormat="1" applyFont="1" applyFill="1" applyBorder="1" applyAlignment="1">
      <alignment vertical="center" wrapText="1"/>
    </xf>
    <xf numFmtId="0" fontId="40" fillId="2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6">
    <cellStyle name="Comma 13" xfId="3"/>
    <cellStyle name="Normal 183" xfId="4"/>
    <cellStyle name="Normal 2" xfId="5"/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urtis.wang\AppData\Local\Microsoft\Windows\INetCache\Content.Outlook\NSO5TNP8\Master%20Plan%20new%20202000508SP9SP7%20new%20(00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2"/>
      <sheetName val="80"/>
      <sheetName val="80,500K"/>
      <sheetName val="80,500K (0910)"/>
      <sheetName val="80,500K (trial"/>
      <sheetName val="actual production"/>
      <sheetName val="2008"/>
      <sheetName val="2008 (目標產能)"/>
      <sheetName val="鞋面廠產能0"/>
      <sheetName val="FW14-SS15-季度1009"/>
      <sheetName val="FW15季 97%"/>
      <sheetName val="FW15季 95%"/>
      <sheetName val="FW19季Cold cement"/>
      <sheetName val="SS20季Cold cement  "/>
      <sheetName val="FW20季Cold cement"/>
      <sheetName val="FW20季Cold cement 調整工作天數 "/>
      <sheetName val="SS20季Cold cement"/>
      <sheetName val="FW19季Cold cement (針車產能)"/>
      <sheetName val="FW19季Super court 8.5"/>
      <sheetName val="FW16&amp;SS17季Cold cement"/>
      <sheetName val="FW15&amp;SS16季"/>
      <sheetName val="FW14-SS15-季度"/>
      <sheetName val="2015年針車產能"/>
      <sheetName val="2014年度"/>
      <sheetName val="2014年鞋面廠實際產量"/>
      <sheetName val="2014鞋面廠產能"/>
      <sheetName val="2014針車產能"/>
      <sheetName val="鞋面廠產能-0"/>
      <sheetName val="2008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AH15">
            <v>30318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AL26"/>
  <sheetViews>
    <sheetView zoomScale="90" zoomScaleNormal="90" workbookViewId="0">
      <pane xSplit="13" ySplit="3" topLeftCell="AC5" activePane="bottomRight" state="frozen"/>
      <selection pane="topRight" activeCell="N1" sqref="N1"/>
      <selection pane="bottomLeft" activeCell="A4" sqref="A4"/>
      <selection pane="bottomRight" activeCell="AK15" sqref="AK15"/>
    </sheetView>
  </sheetViews>
  <sheetFormatPr defaultColWidth="10.6640625" defaultRowHeight="15.6"/>
  <cols>
    <col min="1" max="1" width="7.33203125" style="61" customWidth="1"/>
    <col min="2" max="2" width="9.21875" style="61" customWidth="1"/>
    <col min="3" max="3" width="5.77734375" style="61" customWidth="1"/>
    <col min="4" max="4" width="6.77734375" style="61" customWidth="1"/>
    <col min="5" max="5" width="7.77734375" style="61" customWidth="1"/>
    <col min="6" max="6" width="8.77734375" style="61" customWidth="1"/>
    <col min="7" max="7" width="11.21875" style="61" customWidth="1"/>
    <col min="8" max="10" width="10.6640625" style="61" hidden="1" customWidth="1"/>
    <col min="11" max="12" width="10.44140625" style="61" customWidth="1"/>
    <col min="13" max="13" width="11.109375" style="61" customWidth="1"/>
    <col min="14" max="14" width="10.6640625" style="61" customWidth="1"/>
    <col min="15" max="15" width="10.6640625" style="61" hidden="1" customWidth="1"/>
    <col min="16" max="16" width="10.6640625" style="69" customWidth="1"/>
    <col min="17" max="17" width="12.44140625" style="61" bestFit="1" customWidth="1"/>
    <col min="18" max="18" width="7" style="61" hidden="1" customWidth="1"/>
    <col min="19" max="19" width="10.88671875" style="69" customWidth="1"/>
    <col min="20" max="20" width="10.77734375" style="69" bestFit="1" customWidth="1"/>
    <col min="21" max="21" width="12.44140625" style="61" bestFit="1" customWidth="1"/>
    <col min="22" max="22" width="7" style="61" hidden="1" customWidth="1"/>
    <col min="23" max="23" width="11.109375" style="69" customWidth="1"/>
    <col min="24" max="24" width="10.77734375" style="69" hidden="1" customWidth="1"/>
    <col min="25" max="25" width="11" style="61" customWidth="1"/>
    <col min="26" max="26" width="12.21875" style="61" customWidth="1"/>
    <col min="27" max="27" width="9.21875" style="61" hidden="1" customWidth="1"/>
    <col min="28" max="28" width="5.109375" style="61" hidden="1" customWidth="1"/>
    <col min="29" max="29" width="11.21875" style="69" customWidth="1"/>
    <col min="30" max="30" width="11.21875" style="69" hidden="1" customWidth="1"/>
    <col min="31" max="31" width="10.6640625" style="61" customWidth="1"/>
    <col min="32" max="33" width="10.6640625" style="61" hidden="1" customWidth="1"/>
    <col min="34" max="34" width="10.6640625" style="69" customWidth="1"/>
    <col min="35" max="35" width="10.6640625" style="61" customWidth="1"/>
    <col min="36" max="37" width="11.77734375" style="61" bestFit="1" customWidth="1"/>
    <col min="38" max="38" width="11" style="61" bestFit="1" customWidth="1"/>
    <col min="39" max="16384" width="10.6640625" style="61"/>
  </cols>
  <sheetData>
    <row r="1" spans="1:38" s="5" customFormat="1" ht="25.5" customHeight="1">
      <c r="A1" s="289" t="s">
        <v>68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/>
      <c r="AK1" s="76">
        <v>43959</v>
      </c>
    </row>
    <row r="2" spans="1:38" s="88" customFormat="1" ht="43.5" customHeight="1">
      <c r="A2" s="77" t="s">
        <v>69</v>
      </c>
      <c r="B2" s="78" t="s">
        <v>70</v>
      </c>
      <c r="C2" s="79" t="s">
        <v>3</v>
      </c>
      <c r="D2" s="77" t="s">
        <v>71</v>
      </c>
      <c r="E2" s="77" t="s">
        <v>72</v>
      </c>
      <c r="F2" s="77" t="s">
        <v>6</v>
      </c>
      <c r="G2" s="77" t="s">
        <v>7</v>
      </c>
      <c r="H2" s="80" t="s">
        <v>73</v>
      </c>
      <c r="I2" s="81" t="s">
        <v>74</v>
      </c>
      <c r="J2" s="81" t="s">
        <v>75</v>
      </c>
      <c r="K2" s="81" t="s">
        <v>9</v>
      </c>
      <c r="L2" s="77" t="s">
        <v>76</v>
      </c>
      <c r="M2" s="81" t="s">
        <v>77</v>
      </c>
      <c r="N2" s="290" t="s">
        <v>78</v>
      </c>
      <c r="O2" s="291"/>
      <c r="P2" s="292"/>
      <c r="Q2" s="293" t="s">
        <v>79</v>
      </c>
      <c r="R2" s="294"/>
      <c r="S2" s="294"/>
      <c r="T2" s="295"/>
      <c r="U2" s="293" t="s">
        <v>80</v>
      </c>
      <c r="V2" s="294"/>
      <c r="W2" s="294"/>
      <c r="X2" s="295"/>
      <c r="Y2" s="82" t="s">
        <v>81</v>
      </c>
      <c r="Z2" s="296" t="s">
        <v>82</v>
      </c>
      <c r="AA2" s="291"/>
      <c r="AB2" s="291"/>
      <c r="AC2" s="292"/>
      <c r="AD2" s="83"/>
      <c r="AE2" s="290" t="s">
        <v>83</v>
      </c>
      <c r="AF2" s="297"/>
      <c r="AG2" s="291"/>
      <c r="AH2" s="292"/>
      <c r="AI2" s="84" t="s">
        <v>84</v>
      </c>
      <c r="AJ2" s="85" t="s">
        <v>85</v>
      </c>
      <c r="AK2" s="86" t="s">
        <v>86</v>
      </c>
      <c r="AL2" s="87" t="s">
        <v>87</v>
      </c>
    </row>
    <row r="3" spans="1:38" s="97" customFormat="1" ht="48" customHeight="1">
      <c r="A3" s="89" t="s">
        <v>21</v>
      </c>
      <c r="B3" s="90" t="s">
        <v>22</v>
      </c>
      <c r="C3" s="91" t="s">
        <v>88</v>
      </c>
      <c r="D3" s="89" t="s">
        <v>24</v>
      </c>
      <c r="E3" s="92" t="s">
        <v>89</v>
      </c>
      <c r="F3" s="92" t="s">
        <v>90</v>
      </c>
      <c r="G3" s="89" t="s">
        <v>27</v>
      </c>
      <c r="H3" s="89" t="s">
        <v>91</v>
      </c>
      <c r="I3" s="89" t="s">
        <v>92</v>
      </c>
      <c r="J3" s="89" t="s">
        <v>93</v>
      </c>
      <c r="K3" s="93" t="s">
        <v>94</v>
      </c>
      <c r="L3" s="89" t="s">
        <v>95</v>
      </c>
      <c r="M3" s="94" t="s">
        <v>96</v>
      </c>
      <c r="N3" s="89" t="s">
        <v>97</v>
      </c>
      <c r="O3" s="89" t="s">
        <v>98</v>
      </c>
      <c r="P3" s="93" t="s">
        <v>99</v>
      </c>
      <c r="Q3" s="89" t="s">
        <v>100</v>
      </c>
      <c r="R3" s="89" t="s">
        <v>101</v>
      </c>
      <c r="S3" s="93" t="s">
        <v>102</v>
      </c>
      <c r="T3" s="93" t="s">
        <v>103</v>
      </c>
      <c r="U3" s="89" t="s">
        <v>100</v>
      </c>
      <c r="V3" s="89" t="s">
        <v>101</v>
      </c>
      <c r="W3" s="93" t="s">
        <v>104</v>
      </c>
      <c r="X3" s="93" t="s">
        <v>103</v>
      </c>
      <c r="Y3" s="89" t="s">
        <v>105</v>
      </c>
      <c r="Z3" s="89" t="s">
        <v>106</v>
      </c>
      <c r="AA3" s="89" t="s">
        <v>107</v>
      </c>
      <c r="AB3" s="89" t="s">
        <v>108</v>
      </c>
      <c r="AC3" s="95" t="s">
        <v>109</v>
      </c>
      <c r="AD3" s="95" t="s">
        <v>110</v>
      </c>
      <c r="AE3" s="89" t="s">
        <v>111</v>
      </c>
      <c r="AF3" s="89" t="s">
        <v>112</v>
      </c>
      <c r="AG3" s="89" t="s">
        <v>113</v>
      </c>
      <c r="AH3" s="95" t="s">
        <v>114</v>
      </c>
      <c r="AI3" s="93" t="s">
        <v>115</v>
      </c>
      <c r="AJ3" s="89" t="s">
        <v>116</v>
      </c>
      <c r="AK3" s="89" t="s">
        <v>117</v>
      </c>
      <c r="AL3" s="96" t="s">
        <v>118</v>
      </c>
    </row>
    <row r="4" spans="1:38" s="108" customFormat="1" ht="17.25" customHeight="1">
      <c r="A4" s="298" t="s">
        <v>119</v>
      </c>
      <c r="B4" s="98" t="s">
        <v>120</v>
      </c>
      <c r="C4" s="99">
        <v>8.5</v>
      </c>
      <c r="D4" s="100">
        <v>12</v>
      </c>
      <c r="E4" s="101">
        <f>K4/F4/D4/C4</f>
        <v>120.22088835534214</v>
      </c>
      <c r="F4" s="102">
        <v>24.5</v>
      </c>
      <c r="G4" s="103">
        <v>300432</v>
      </c>
      <c r="H4" s="103"/>
      <c r="I4" s="103"/>
      <c r="J4" s="103"/>
      <c r="K4" s="103">
        <f>SUM(G4:J4)</f>
        <v>300432</v>
      </c>
      <c r="L4" s="101">
        <v>295000</v>
      </c>
      <c r="M4" s="104">
        <v>324550</v>
      </c>
      <c r="N4" s="103">
        <v>293636</v>
      </c>
      <c r="O4" s="103"/>
      <c r="P4" s="103">
        <f t="shared" ref="P4:P15" si="0">SUM(N4:O4)</f>
        <v>293636</v>
      </c>
      <c r="Q4" s="103">
        <v>189410</v>
      </c>
      <c r="R4" s="103">
        <v>0</v>
      </c>
      <c r="S4" s="103">
        <f t="shared" ref="S4:S15" si="1">SUM(Q4:R4)</f>
        <v>189410</v>
      </c>
      <c r="T4" s="105">
        <v>0</v>
      </c>
      <c r="U4" s="103">
        <v>344717</v>
      </c>
      <c r="V4" s="103">
        <v>0</v>
      </c>
      <c r="W4" s="103">
        <f t="shared" ref="W4:W15" si="2">SUM(U4:V4)</f>
        <v>344717</v>
      </c>
      <c r="X4" s="105">
        <v>870</v>
      </c>
      <c r="Y4" s="103">
        <v>238749</v>
      </c>
      <c r="Z4" s="103">
        <v>295993</v>
      </c>
      <c r="AA4" s="103">
        <v>0</v>
      </c>
      <c r="AB4" s="103"/>
      <c r="AC4" s="103">
        <f>SUM(Z4:AB4)</f>
        <v>295993</v>
      </c>
      <c r="AD4" s="103">
        <v>300432</v>
      </c>
      <c r="AE4" s="105">
        <v>0</v>
      </c>
      <c r="AF4" s="103"/>
      <c r="AG4" s="103"/>
      <c r="AH4" s="103">
        <f>SUM(AE4:AG4)</f>
        <v>0</v>
      </c>
      <c r="AI4" s="106">
        <f>AC4+AH4</f>
        <v>295993</v>
      </c>
      <c r="AJ4" s="106">
        <f>AI4-'[1]SS20季Cold cement  '!AH15</f>
        <v>265675</v>
      </c>
      <c r="AK4" s="106">
        <f t="shared" ref="AK4:AK14" si="3">G4-AJ4</f>
        <v>34757</v>
      </c>
      <c r="AL4" s="107">
        <f t="shared" ref="AL4:AL15" si="4">AK4/C4/E4/F4</f>
        <v>1.3882808755392235</v>
      </c>
    </row>
    <row r="5" spans="1:38" s="108" customFormat="1" ht="17.25" customHeight="1">
      <c r="A5" s="299"/>
      <c r="B5" s="98" t="s">
        <v>121</v>
      </c>
      <c r="C5" s="99">
        <v>8.5</v>
      </c>
      <c r="D5" s="100">
        <v>14</v>
      </c>
      <c r="E5" s="101">
        <f>K5/F5/D5/C5</f>
        <v>114.4510375578803</v>
      </c>
      <c r="F5" s="102">
        <v>24.5</v>
      </c>
      <c r="G5" s="103">
        <v>333682</v>
      </c>
      <c r="H5" s="103"/>
      <c r="I5" s="103"/>
      <c r="J5" s="103"/>
      <c r="K5" s="103">
        <f t="shared" ref="K5:K15" si="5">SUM(G5:J5)</f>
        <v>333682</v>
      </c>
      <c r="L5" s="101">
        <v>345000</v>
      </c>
      <c r="M5" s="104">
        <v>353259</v>
      </c>
      <c r="N5" s="103">
        <v>255631</v>
      </c>
      <c r="O5" s="103"/>
      <c r="P5" s="103">
        <f t="shared" si="0"/>
        <v>255631</v>
      </c>
      <c r="Q5" s="103">
        <v>320000</v>
      </c>
      <c r="R5" s="103">
        <v>0</v>
      </c>
      <c r="S5" s="103">
        <f t="shared" si="1"/>
        <v>320000</v>
      </c>
      <c r="T5" s="105">
        <v>5309</v>
      </c>
      <c r="U5" s="103">
        <v>353372</v>
      </c>
      <c r="V5" s="103">
        <v>0</v>
      </c>
      <c r="W5" s="103">
        <f t="shared" si="2"/>
        <v>353372</v>
      </c>
      <c r="X5" s="105">
        <v>15724</v>
      </c>
      <c r="Y5" s="103">
        <v>304025</v>
      </c>
      <c r="Z5" s="103">
        <v>262349</v>
      </c>
      <c r="AA5" s="103">
        <v>0</v>
      </c>
      <c r="AB5" s="103"/>
      <c r="AC5" s="103">
        <f t="shared" ref="AC5:AC15" si="6">SUM(Z5:AB5)</f>
        <v>262349</v>
      </c>
      <c r="AD5" s="103">
        <v>333682</v>
      </c>
      <c r="AE5" s="105">
        <v>0</v>
      </c>
      <c r="AF5" s="103"/>
      <c r="AG5" s="103"/>
      <c r="AH5" s="103">
        <f>SUM(AE5:AG5)</f>
        <v>0</v>
      </c>
      <c r="AI5" s="106">
        <f t="shared" ref="AI5:AI15" si="7">AC5+AH5</f>
        <v>262349</v>
      </c>
      <c r="AJ5" s="106">
        <f t="shared" ref="AJ5:AJ15" si="8">AI5-(AK4+H5+I5-J5)</f>
        <v>227592</v>
      </c>
      <c r="AK5" s="106">
        <f t="shared" si="3"/>
        <v>106090</v>
      </c>
      <c r="AL5" s="107">
        <f t="shared" si="4"/>
        <v>4.4511241241661228</v>
      </c>
    </row>
    <row r="6" spans="1:38" s="108" customFormat="1" ht="17.25" customHeight="1">
      <c r="A6" s="299"/>
      <c r="B6" s="98" t="s">
        <v>122</v>
      </c>
      <c r="C6" s="109">
        <v>8</v>
      </c>
      <c r="D6" s="100">
        <v>12</v>
      </c>
      <c r="E6" s="101">
        <f>K6/F6/D6/C6</f>
        <v>95.091836734693871</v>
      </c>
      <c r="F6" s="102">
        <v>24.5</v>
      </c>
      <c r="G6" s="103">
        <v>223656</v>
      </c>
      <c r="H6" s="103"/>
      <c r="I6" s="103"/>
      <c r="J6" s="103"/>
      <c r="K6" s="103">
        <f t="shared" si="5"/>
        <v>223656</v>
      </c>
      <c r="L6" s="101">
        <v>305000</v>
      </c>
      <c r="M6" s="104">
        <v>256950</v>
      </c>
      <c r="N6" s="103">
        <v>279048</v>
      </c>
      <c r="O6" s="103"/>
      <c r="P6" s="103">
        <f t="shared" si="0"/>
        <v>279048</v>
      </c>
      <c r="Q6" s="103">
        <v>268963</v>
      </c>
      <c r="R6" s="103">
        <v>0</v>
      </c>
      <c r="S6" s="103">
        <f t="shared" si="1"/>
        <v>268963</v>
      </c>
      <c r="T6" s="103">
        <v>4513</v>
      </c>
      <c r="U6" s="103">
        <v>304802</v>
      </c>
      <c r="V6" s="103">
        <v>0</v>
      </c>
      <c r="W6" s="103">
        <f t="shared" si="2"/>
        <v>304802</v>
      </c>
      <c r="X6" s="103">
        <v>23448</v>
      </c>
      <c r="Y6" s="103">
        <v>280434</v>
      </c>
      <c r="Z6" s="103">
        <v>289189</v>
      </c>
      <c r="AA6" s="103">
        <v>0</v>
      </c>
      <c r="AB6" s="103"/>
      <c r="AC6" s="103">
        <f t="shared" si="6"/>
        <v>289189</v>
      </c>
      <c r="AD6" s="103">
        <v>223656</v>
      </c>
      <c r="AE6" s="105">
        <v>0</v>
      </c>
      <c r="AF6" s="103"/>
      <c r="AG6" s="103"/>
      <c r="AH6" s="103">
        <f t="shared" ref="AH6:AH15" si="9">SUM(AE6:AG6)</f>
        <v>0</v>
      </c>
      <c r="AI6" s="106">
        <f>AC6+AH6</f>
        <v>289189</v>
      </c>
      <c r="AJ6" s="106">
        <f t="shared" si="8"/>
        <v>183099</v>
      </c>
      <c r="AK6" s="106">
        <f t="shared" si="3"/>
        <v>40557</v>
      </c>
      <c r="AL6" s="107">
        <f t="shared" si="4"/>
        <v>2.1760382015237689</v>
      </c>
    </row>
    <row r="7" spans="1:38" s="108" customFormat="1" ht="16.5" customHeight="1">
      <c r="A7" s="299"/>
      <c r="B7" s="98" t="s">
        <v>58</v>
      </c>
      <c r="C7" s="109">
        <v>8</v>
      </c>
      <c r="D7" s="100">
        <v>10</v>
      </c>
      <c r="E7" s="101">
        <f>K7/F7/D7/C7</f>
        <v>76.987499999999997</v>
      </c>
      <c r="F7" s="102">
        <v>20</v>
      </c>
      <c r="G7" s="103">
        <v>123180</v>
      </c>
      <c r="H7" s="103"/>
      <c r="I7" s="103"/>
      <c r="J7" s="103"/>
      <c r="K7" s="103">
        <f t="shared" si="5"/>
        <v>123180</v>
      </c>
      <c r="L7" s="101">
        <v>305000</v>
      </c>
      <c r="M7" s="104">
        <v>168585</v>
      </c>
      <c r="N7" s="103">
        <v>239671</v>
      </c>
      <c r="O7" s="103"/>
      <c r="P7" s="103">
        <f t="shared" si="0"/>
        <v>239671</v>
      </c>
      <c r="Q7" s="103">
        <v>254987</v>
      </c>
      <c r="R7" s="103">
        <v>0</v>
      </c>
      <c r="S7" s="103">
        <f t="shared" si="1"/>
        <v>254987</v>
      </c>
      <c r="T7" s="103">
        <v>28825</v>
      </c>
      <c r="U7" s="103">
        <v>138543</v>
      </c>
      <c r="V7" s="103">
        <v>0</v>
      </c>
      <c r="W7" s="103">
        <f t="shared" si="2"/>
        <v>138543</v>
      </c>
      <c r="X7" s="103">
        <v>30148</v>
      </c>
      <c r="Y7" s="103">
        <v>236271</v>
      </c>
      <c r="Z7" s="103">
        <v>159559</v>
      </c>
      <c r="AA7" s="103">
        <v>0</v>
      </c>
      <c r="AB7" s="103"/>
      <c r="AC7" s="103">
        <f t="shared" si="6"/>
        <v>159559</v>
      </c>
      <c r="AD7" s="103">
        <v>123180</v>
      </c>
      <c r="AE7" s="105">
        <v>0</v>
      </c>
      <c r="AF7" s="103"/>
      <c r="AG7" s="103"/>
      <c r="AH7" s="103">
        <f t="shared" si="9"/>
        <v>0</v>
      </c>
      <c r="AI7" s="106">
        <f t="shared" si="7"/>
        <v>159559</v>
      </c>
      <c r="AJ7" s="106">
        <f t="shared" si="8"/>
        <v>119002</v>
      </c>
      <c r="AK7" s="106">
        <f t="shared" si="3"/>
        <v>4178</v>
      </c>
      <c r="AL7" s="107">
        <f t="shared" si="4"/>
        <v>0.33917843805812631</v>
      </c>
    </row>
    <row r="8" spans="1:38" s="108" customFormat="1" ht="17.25" customHeight="1">
      <c r="A8" s="299"/>
      <c r="B8" s="110" t="s">
        <v>59</v>
      </c>
      <c r="C8" s="111">
        <v>8</v>
      </c>
      <c r="D8" s="112">
        <v>10</v>
      </c>
      <c r="E8" s="113">
        <v>105</v>
      </c>
      <c r="F8" s="114">
        <v>20</v>
      </c>
      <c r="G8" s="115">
        <f t="shared" ref="G8:G15" si="10">C8*D8*E8*F8</f>
        <v>168000</v>
      </c>
      <c r="H8" s="116"/>
      <c r="I8" s="116"/>
      <c r="J8" s="115"/>
      <c r="K8" s="115">
        <f t="shared" si="5"/>
        <v>168000</v>
      </c>
      <c r="L8" s="113">
        <v>315000</v>
      </c>
      <c r="M8" s="117">
        <v>154903</v>
      </c>
      <c r="N8" s="115">
        <v>144665</v>
      </c>
      <c r="O8" s="115"/>
      <c r="P8" s="115">
        <f t="shared" si="0"/>
        <v>144665</v>
      </c>
      <c r="Q8" s="115">
        <v>277772</v>
      </c>
      <c r="R8" s="115">
        <v>0</v>
      </c>
      <c r="S8" s="115">
        <f t="shared" si="1"/>
        <v>277772</v>
      </c>
      <c r="T8" s="115">
        <v>95551</v>
      </c>
      <c r="U8" s="115">
        <v>204615</v>
      </c>
      <c r="V8" s="115">
        <v>0</v>
      </c>
      <c r="W8" s="115">
        <f t="shared" si="2"/>
        <v>204615</v>
      </c>
      <c r="X8" s="115">
        <v>80770</v>
      </c>
      <c r="Y8" s="115">
        <v>302057</v>
      </c>
      <c r="Z8" s="115">
        <v>212934</v>
      </c>
      <c r="AA8" s="115">
        <v>0</v>
      </c>
      <c r="AB8" s="115"/>
      <c r="AC8" s="115">
        <f t="shared" si="6"/>
        <v>212934</v>
      </c>
      <c r="AD8" s="115">
        <v>166976</v>
      </c>
      <c r="AE8" s="118">
        <v>0</v>
      </c>
      <c r="AF8" s="115"/>
      <c r="AG8" s="115"/>
      <c r="AH8" s="115">
        <f t="shared" si="9"/>
        <v>0</v>
      </c>
      <c r="AI8" s="119">
        <f t="shared" si="7"/>
        <v>212934</v>
      </c>
      <c r="AJ8" s="120">
        <f t="shared" si="8"/>
        <v>208756</v>
      </c>
      <c r="AK8" s="119">
        <f t="shared" si="3"/>
        <v>-40756</v>
      </c>
      <c r="AL8" s="121">
        <f t="shared" si="4"/>
        <v>-2.4259523809523809</v>
      </c>
    </row>
    <row r="9" spans="1:38" s="108" customFormat="1" ht="17.25" customHeight="1">
      <c r="A9" s="299"/>
      <c r="B9" s="110" t="s">
        <v>60</v>
      </c>
      <c r="C9" s="111">
        <v>8</v>
      </c>
      <c r="D9" s="122">
        <v>9</v>
      </c>
      <c r="E9" s="113">
        <v>105</v>
      </c>
      <c r="F9" s="114">
        <v>20</v>
      </c>
      <c r="G9" s="115">
        <f t="shared" si="10"/>
        <v>151200</v>
      </c>
      <c r="H9" s="115"/>
      <c r="I9" s="115"/>
      <c r="J9" s="115"/>
      <c r="K9" s="115">
        <f t="shared" si="5"/>
        <v>151200</v>
      </c>
      <c r="L9" s="113">
        <v>340000</v>
      </c>
      <c r="M9" s="117">
        <v>145347</v>
      </c>
      <c r="N9" s="115">
        <v>133551</v>
      </c>
      <c r="O9" s="115"/>
      <c r="P9" s="115">
        <f t="shared" si="0"/>
        <v>133551</v>
      </c>
      <c r="Q9" s="115">
        <v>166719</v>
      </c>
      <c r="R9" s="115">
        <v>0</v>
      </c>
      <c r="S9" s="115">
        <f>SUM(Q9:R9)</f>
        <v>166719</v>
      </c>
      <c r="T9" s="115">
        <v>103255</v>
      </c>
      <c r="U9" s="115">
        <v>176535</v>
      </c>
      <c r="V9" s="115">
        <v>0</v>
      </c>
      <c r="W9" s="115">
        <f t="shared" si="2"/>
        <v>176535</v>
      </c>
      <c r="X9" s="115">
        <v>111723</v>
      </c>
      <c r="Y9" s="115">
        <v>265009</v>
      </c>
      <c r="Z9" s="115">
        <v>122760</v>
      </c>
      <c r="AA9" s="115">
        <v>0</v>
      </c>
      <c r="AB9" s="115"/>
      <c r="AC9" s="115">
        <f t="shared" si="6"/>
        <v>122760</v>
      </c>
      <c r="AD9" s="115">
        <v>144256</v>
      </c>
      <c r="AE9" s="118">
        <v>0</v>
      </c>
      <c r="AF9" s="115"/>
      <c r="AG9" s="115"/>
      <c r="AH9" s="115">
        <f t="shared" si="9"/>
        <v>0</v>
      </c>
      <c r="AI9" s="119">
        <f t="shared" si="7"/>
        <v>122760</v>
      </c>
      <c r="AJ9" s="120">
        <f t="shared" si="8"/>
        <v>163516</v>
      </c>
      <c r="AK9" s="119">
        <f>G9-AJ9</f>
        <v>-12316</v>
      </c>
      <c r="AL9" s="121">
        <f t="shared" si="4"/>
        <v>-0.73309523809523802</v>
      </c>
    </row>
    <row r="10" spans="1:38" s="124" customFormat="1" ht="17.25" customHeight="1">
      <c r="A10" s="299"/>
      <c r="B10" s="123" t="s">
        <v>61</v>
      </c>
      <c r="C10" s="111">
        <v>8</v>
      </c>
      <c r="D10" s="122">
        <v>8</v>
      </c>
      <c r="E10" s="113">
        <v>105</v>
      </c>
      <c r="F10" s="114">
        <v>20</v>
      </c>
      <c r="G10" s="115">
        <f>C10*D10*E10*F10</f>
        <v>134400</v>
      </c>
      <c r="H10" s="115"/>
      <c r="I10" s="115"/>
      <c r="J10" s="115"/>
      <c r="K10" s="115">
        <f>SUM(G10:J10)</f>
        <v>134400</v>
      </c>
      <c r="L10" s="113">
        <v>380000</v>
      </c>
      <c r="M10" s="117">
        <f t="shared" ref="M10:M15" si="11">K10*1.05</f>
        <v>141120</v>
      </c>
      <c r="N10" s="115">
        <v>181488</v>
      </c>
      <c r="O10" s="115"/>
      <c r="P10" s="115">
        <f t="shared" si="0"/>
        <v>181488</v>
      </c>
      <c r="Q10" s="115">
        <v>220189</v>
      </c>
      <c r="R10" s="115">
        <v>0</v>
      </c>
      <c r="S10" s="115">
        <f t="shared" si="1"/>
        <v>220189</v>
      </c>
      <c r="T10" s="115">
        <v>115266</v>
      </c>
      <c r="U10" s="115">
        <v>153191</v>
      </c>
      <c r="V10" s="115">
        <v>0</v>
      </c>
      <c r="W10" s="115">
        <f t="shared" si="2"/>
        <v>153191</v>
      </c>
      <c r="X10" s="115">
        <v>115850</v>
      </c>
      <c r="Y10" s="115">
        <v>186942</v>
      </c>
      <c r="Z10" s="115">
        <v>163917</v>
      </c>
      <c r="AA10" s="115">
        <v>0</v>
      </c>
      <c r="AB10" s="115"/>
      <c r="AC10" s="115">
        <f t="shared" si="6"/>
        <v>163917</v>
      </c>
      <c r="AD10" s="115">
        <v>162559</v>
      </c>
      <c r="AE10" s="118">
        <v>11048</v>
      </c>
      <c r="AF10" s="115"/>
      <c r="AG10" s="115"/>
      <c r="AH10" s="115">
        <f t="shared" si="9"/>
        <v>11048</v>
      </c>
      <c r="AI10" s="119">
        <f t="shared" si="7"/>
        <v>174965</v>
      </c>
      <c r="AJ10" s="120">
        <f t="shared" si="8"/>
        <v>187281</v>
      </c>
      <c r="AK10" s="119">
        <f t="shared" si="3"/>
        <v>-52881</v>
      </c>
      <c r="AL10" s="121">
        <f t="shared" si="4"/>
        <v>-3.1476785714285715</v>
      </c>
    </row>
    <row r="11" spans="1:38" s="124" customFormat="1" ht="17.25" customHeight="1">
      <c r="A11" s="299"/>
      <c r="B11" s="123" t="s">
        <v>62</v>
      </c>
      <c r="C11" s="111">
        <v>8</v>
      </c>
      <c r="D11" s="122">
        <v>10</v>
      </c>
      <c r="E11" s="113">
        <v>105</v>
      </c>
      <c r="F11" s="114">
        <v>20</v>
      </c>
      <c r="G11" s="115">
        <f t="shared" si="10"/>
        <v>168000</v>
      </c>
      <c r="H11" s="115"/>
      <c r="I11" s="115"/>
      <c r="J11" s="115"/>
      <c r="K11" s="115">
        <f t="shared" si="5"/>
        <v>168000</v>
      </c>
      <c r="L11" s="113">
        <v>325000</v>
      </c>
      <c r="M11" s="117">
        <f t="shared" si="11"/>
        <v>176400</v>
      </c>
      <c r="N11" s="115">
        <v>195201</v>
      </c>
      <c r="O11" s="115"/>
      <c r="P11" s="115">
        <f t="shared" si="0"/>
        <v>195201</v>
      </c>
      <c r="Q11" s="115">
        <v>81071</v>
      </c>
      <c r="R11" s="115">
        <v>22587</v>
      </c>
      <c r="S11" s="115">
        <f t="shared" si="1"/>
        <v>103658</v>
      </c>
      <c r="T11" s="115">
        <v>84860</v>
      </c>
      <c r="U11" s="115">
        <v>93879</v>
      </c>
      <c r="V11" s="115">
        <v>22587</v>
      </c>
      <c r="W11" s="115">
        <f t="shared" si="2"/>
        <v>116466</v>
      </c>
      <c r="X11" s="115">
        <v>105605</v>
      </c>
      <c r="Y11" s="115">
        <v>122046</v>
      </c>
      <c r="Z11" s="115">
        <v>67323</v>
      </c>
      <c r="AA11" s="115">
        <v>22587</v>
      </c>
      <c r="AB11" s="115"/>
      <c r="AC11" s="115">
        <f t="shared" si="6"/>
        <v>89910</v>
      </c>
      <c r="AD11" s="115">
        <v>0</v>
      </c>
      <c r="AE11" s="118">
        <v>9095</v>
      </c>
      <c r="AF11" s="115"/>
      <c r="AG11" s="115"/>
      <c r="AH11" s="115">
        <f t="shared" si="9"/>
        <v>9095</v>
      </c>
      <c r="AI11" s="119">
        <f t="shared" si="7"/>
        <v>99005</v>
      </c>
      <c r="AJ11" s="120">
        <f t="shared" si="8"/>
        <v>151886</v>
      </c>
      <c r="AK11" s="119">
        <f t="shared" si="3"/>
        <v>16114</v>
      </c>
      <c r="AL11" s="121">
        <f t="shared" si="4"/>
        <v>0.95916666666666672</v>
      </c>
    </row>
    <row r="12" spans="1:38" s="124" customFormat="1" ht="17.25" customHeight="1">
      <c r="A12" s="299"/>
      <c r="B12" s="123" t="s">
        <v>63</v>
      </c>
      <c r="C12" s="111">
        <v>8</v>
      </c>
      <c r="D12" s="122">
        <v>10</v>
      </c>
      <c r="E12" s="113">
        <v>105</v>
      </c>
      <c r="F12" s="114">
        <v>20</v>
      </c>
      <c r="G12" s="115">
        <f t="shared" si="10"/>
        <v>168000</v>
      </c>
      <c r="H12" s="115"/>
      <c r="I12" s="115"/>
      <c r="J12" s="115"/>
      <c r="K12" s="115">
        <f t="shared" si="5"/>
        <v>168000</v>
      </c>
      <c r="L12" s="113">
        <v>365000</v>
      </c>
      <c r="M12" s="117">
        <f t="shared" si="11"/>
        <v>176400</v>
      </c>
      <c r="N12" s="115">
        <v>70122</v>
      </c>
      <c r="O12" s="115"/>
      <c r="P12" s="115">
        <f t="shared" si="0"/>
        <v>70122</v>
      </c>
      <c r="Q12" s="115">
        <v>41354</v>
      </c>
      <c r="R12" s="115">
        <v>0</v>
      </c>
      <c r="S12" s="115">
        <f t="shared" si="1"/>
        <v>41354</v>
      </c>
      <c r="T12" s="115">
        <v>30982</v>
      </c>
      <c r="U12" s="115">
        <v>14048</v>
      </c>
      <c r="V12" s="115">
        <v>0</v>
      </c>
      <c r="W12" s="115">
        <f t="shared" si="2"/>
        <v>14048</v>
      </c>
      <c r="X12" s="115">
        <v>12557</v>
      </c>
      <c r="Y12" s="115">
        <v>40717</v>
      </c>
      <c r="Z12" s="115">
        <v>31704</v>
      </c>
      <c r="AA12" s="115">
        <v>0</v>
      </c>
      <c r="AB12" s="115"/>
      <c r="AC12" s="115">
        <f t="shared" si="6"/>
        <v>31704</v>
      </c>
      <c r="AD12" s="115">
        <v>0</v>
      </c>
      <c r="AE12" s="118">
        <v>41707</v>
      </c>
      <c r="AF12" s="115"/>
      <c r="AG12" s="115"/>
      <c r="AH12" s="115">
        <f t="shared" si="9"/>
        <v>41707</v>
      </c>
      <c r="AI12" s="119">
        <f t="shared" si="7"/>
        <v>73411</v>
      </c>
      <c r="AJ12" s="120">
        <f t="shared" si="8"/>
        <v>57297</v>
      </c>
      <c r="AK12" s="119">
        <f t="shared" si="3"/>
        <v>110703</v>
      </c>
      <c r="AL12" s="121">
        <f t="shared" si="4"/>
        <v>6.5894642857142856</v>
      </c>
    </row>
    <row r="13" spans="1:38" s="124" customFormat="1" ht="17.25" customHeight="1">
      <c r="A13" s="299"/>
      <c r="B13" s="123" t="s">
        <v>64</v>
      </c>
      <c r="C13" s="111">
        <v>8</v>
      </c>
      <c r="D13" s="122">
        <v>8</v>
      </c>
      <c r="E13" s="113">
        <v>105</v>
      </c>
      <c r="F13" s="114">
        <v>20</v>
      </c>
      <c r="G13" s="115">
        <f t="shared" si="10"/>
        <v>134400</v>
      </c>
      <c r="H13" s="115"/>
      <c r="I13" s="115"/>
      <c r="J13" s="115"/>
      <c r="K13" s="115">
        <f t="shared" si="5"/>
        <v>134400</v>
      </c>
      <c r="L13" s="113">
        <v>390000</v>
      </c>
      <c r="M13" s="117">
        <f t="shared" si="11"/>
        <v>141120</v>
      </c>
      <c r="N13" s="115">
        <v>137129</v>
      </c>
      <c r="O13" s="115"/>
      <c r="P13" s="115">
        <f t="shared" si="0"/>
        <v>137129</v>
      </c>
      <c r="Q13" s="115">
        <v>18404</v>
      </c>
      <c r="R13" s="115">
        <v>0</v>
      </c>
      <c r="S13" s="115">
        <f t="shared" si="1"/>
        <v>18404</v>
      </c>
      <c r="T13" s="115">
        <v>12847</v>
      </c>
      <c r="U13" s="115">
        <v>9820</v>
      </c>
      <c r="V13" s="115">
        <v>0</v>
      </c>
      <c r="W13" s="115">
        <f t="shared" si="2"/>
        <v>9820</v>
      </c>
      <c r="X13" s="115">
        <v>6989</v>
      </c>
      <c r="Y13" s="115">
        <v>37988</v>
      </c>
      <c r="Z13" s="115">
        <v>14611</v>
      </c>
      <c r="AA13" s="115">
        <v>0</v>
      </c>
      <c r="AB13" s="115"/>
      <c r="AC13" s="115">
        <f t="shared" si="6"/>
        <v>14611</v>
      </c>
      <c r="AD13" s="115">
        <v>0</v>
      </c>
      <c r="AE13" s="118">
        <v>125900</v>
      </c>
      <c r="AF13" s="115"/>
      <c r="AG13" s="115"/>
      <c r="AH13" s="115">
        <f t="shared" si="9"/>
        <v>125900</v>
      </c>
      <c r="AI13" s="119">
        <f t="shared" si="7"/>
        <v>140511</v>
      </c>
      <c r="AJ13" s="120">
        <f t="shared" si="8"/>
        <v>29808</v>
      </c>
      <c r="AK13" s="119">
        <f t="shared" si="3"/>
        <v>104592</v>
      </c>
      <c r="AL13" s="121">
        <f t="shared" si="4"/>
        <v>6.225714285714286</v>
      </c>
    </row>
    <row r="14" spans="1:38" s="124" customFormat="1" ht="17.25" customHeight="1">
      <c r="A14" s="299"/>
      <c r="B14" s="123" t="s">
        <v>65</v>
      </c>
      <c r="C14" s="111">
        <v>8</v>
      </c>
      <c r="D14" s="122">
        <v>8</v>
      </c>
      <c r="E14" s="113">
        <v>105</v>
      </c>
      <c r="F14" s="114">
        <v>20</v>
      </c>
      <c r="G14" s="115">
        <f t="shared" si="10"/>
        <v>134400</v>
      </c>
      <c r="H14" s="115"/>
      <c r="I14" s="115"/>
      <c r="J14" s="115"/>
      <c r="K14" s="115">
        <f t="shared" si="5"/>
        <v>134400</v>
      </c>
      <c r="L14" s="113">
        <v>375000</v>
      </c>
      <c r="M14" s="117">
        <f t="shared" si="11"/>
        <v>141120</v>
      </c>
      <c r="N14" s="115">
        <v>50188</v>
      </c>
      <c r="O14" s="115"/>
      <c r="P14" s="115">
        <f t="shared" si="0"/>
        <v>50188</v>
      </c>
      <c r="Q14" s="115">
        <v>29992</v>
      </c>
      <c r="R14" s="115">
        <v>0</v>
      </c>
      <c r="S14" s="115">
        <f t="shared" si="1"/>
        <v>29992</v>
      </c>
      <c r="T14" s="115">
        <v>28459</v>
      </c>
      <c r="U14" s="115">
        <v>8994</v>
      </c>
      <c r="V14" s="115">
        <v>0</v>
      </c>
      <c r="W14" s="115">
        <f t="shared" si="2"/>
        <v>8994</v>
      </c>
      <c r="X14" s="115">
        <v>8514</v>
      </c>
      <c r="Y14" s="115">
        <v>45889</v>
      </c>
      <c r="Z14" s="115">
        <v>28459</v>
      </c>
      <c r="AA14" s="115">
        <v>0</v>
      </c>
      <c r="AB14" s="115"/>
      <c r="AC14" s="115">
        <f t="shared" si="6"/>
        <v>28459</v>
      </c>
      <c r="AD14" s="115">
        <v>0</v>
      </c>
      <c r="AE14" s="118">
        <v>32273</v>
      </c>
      <c r="AF14" s="115"/>
      <c r="AG14" s="115"/>
      <c r="AH14" s="115">
        <f t="shared" si="9"/>
        <v>32273</v>
      </c>
      <c r="AI14" s="119">
        <f t="shared" si="7"/>
        <v>60732</v>
      </c>
      <c r="AJ14" s="120">
        <f t="shared" si="8"/>
        <v>-43860</v>
      </c>
      <c r="AK14" s="119">
        <f t="shared" si="3"/>
        <v>178260</v>
      </c>
      <c r="AL14" s="121">
        <f t="shared" si="4"/>
        <v>10.610714285714286</v>
      </c>
    </row>
    <row r="15" spans="1:38" s="124" customFormat="1" ht="17.25" customHeight="1">
      <c r="A15" s="299"/>
      <c r="B15" s="123" t="s">
        <v>66</v>
      </c>
      <c r="C15" s="111">
        <v>8</v>
      </c>
      <c r="D15" s="122">
        <v>9</v>
      </c>
      <c r="E15" s="113">
        <v>105</v>
      </c>
      <c r="F15" s="114">
        <v>20</v>
      </c>
      <c r="G15" s="115">
        <f t="shared" si="10"/>
        <v>151200</v>
      </c>
      <c r="H15" s="115"/>
      <c r="I15" s="115"/>
      <c r="J15" s="115"/>
      <c r="K15" s="115">
        <f t="shared" si="5"/>
        <v>151200</v>
      </c>
      <c r="L15" s="113">
        <v>375000</v>
      </c>
      <c r="M15" s="117">
        <f t="shared" si="11"/>
        <v>158760</v>
      </c>
      <c r="N15" s="115">
        <v>52863</v>
      </c>
      <c r="O15" s="115"/>
      <c r="P15" s="115">
        <f t="shared" si="0"/>
        <v>52863</v>
      </c>
      <c r="Q15" s="115">
        <v>8954</v>
      </c>
      <c r="R15" s="115">
        <v>0</v>
      </c>
      <c r="S15" s="115">
        <f t="shared" si="1"/>
        <v>8954</v>
      </c>
      <c r="T15" s="115">
        <v>7963</v>
      </c>
      <c r="U15" s="115">
        <v>6552</v>
      </c>
      <c r="V15" s="115">
        <v>0</v>
      </c>
      <c r="W15" s="115">
        <f t="shared" si="2"/>
        <v>6552</v>
      </c>
      <c r="X15" s="115">
        <v>6552</v>
      </c>
      <c r="Y15" s="115">
        <v>13634</v>
      </c>
      <c r="Z15" s="115">
        <v>7963</v>
      </c>
      <c r="AA15" s="115">
        <v>0</v>
      </c>
      <c r="AB15" s="115"/>
      <c r="AC15" s="115">
        <f t="shared" si="6"/>
        <v>7963</v>
      </c>
      <c r="AD15" s="115">
        <v>0</v>
      </c>
      <c r="AE15" s="118">
        <v>45100</v>
      </c>
      <c r="AF15" s="115"/>
      <c r="AG15" s="115"/>
      <c r="AH15" s="115">
        <f t="shared" si="9"/>
        <v>45100</v>
      </c>
      <c r="AI15" s="119">
        <f t="shared" si="7"/>
        <v>53063</v>
      </c>
      <c r="AJ15" s="120">
        <f t="shared" si="8"/>
        <v>-125197</v>
      </c>
      <c r="AK15" s="119">
        <f>G15-AJ15</f>
        <v>276397</v>
      </c>
      <c r="AL15" s="121">
        <f t="shared" si="4"/>
        <v>16.452202380952379</v>
      </c>
    </row>
    <row r="16" spans="1:38" s="132" customFormat="1" ht="17.25" customHeight="1">
      <c r="A16" s="300" t="s">
        <v>51</v>
      </c>
      <c r="B16" s="301"/>
      <c r="C16" s="125"/>
      <c r="D16" s="126"/>
      <c r="E16" s="113"/>
      <c r="F16" s="126"/>
      <c r="G16" s="127">
        <f t="shared" ref="G16:L16" si="12">SUM(G4:G15)</f>
        <v>2190550</v>
      </c>
      <c r="H16" s="127">
        <f t="shared" si="12"/>
        <v>0</v>
      </c>
      <c r="I16" s="127">
        <f t="shared" si="12"/>
        <v>0</v>
      </c>
      <c r="J16" s="127">
        <f t="shared" si="12"/>
        <v>0</v>
      </c>
      <c r="K16" s="127">
        <f t="shared" si="12"/>
        <v>2190550</v>
      </c>
      <c r="L16" s="127">
        <f t="shared" si="12"/>
        <v>4115000</v>
      </c>
      <c r="M16" s="117">
        <f>SUM(M4:M15)</f>
        <v>2338514</v>
      </c>
      <c r="N16" s="128">
        <f t="shared" ref="N16:AI16" si="13">SUM(N4:N15)</f>
        <v>2033193</v>
      </c>
      <c r="O16" s="128"/>
      <c r="P16" s="128">
        <f t="shared" si="13"/>
        <v>2033193</v>
      </c>
      <c r="Q16" s="128">
        <f t="shared" si="13"/>
        <v>1877815</v>
      </c>
      <c r="R16" s="128">
        <f t="shared" si="13"/>
        <v>22587</v>
      </c>
      <c r="S16" s="128">
        <f t="shared" si="13"/>
        <v>1900402</v>
      </c>
      <c r="T16" s="128">
        <f t="shared" si="13"/>
        <v>517830</v>
      </c>
      <c r="U16" s="128">
        <f t="shared" si="13"/>
        <v>1809068</v>
      </c>
      <c r="V16" s="128">
        <f t="shared" si="13"/>
        <v>22587</v>
      </c>
      <c r="W16" s="128">
        <f t="shared" si="13"/>
        <v>1831655</v>
      </c>
      <c r="X16" s="128">
        <f t="shared" si="13"/>
        <v>518750</v>
      </c>
      <c r="Y16" s="128">
        <f t="shared" si="13"/>
        <v>2073761</v>
      </c>
      <c r="Z16" s="128">
        <f t="shared" si="13"/>
        <v>1656761</v>
      </c>
      <c r="AA16" s="128">
        <f t="shared" si="13"/>
        <v>22587</v>
      </c>
      <c r="AB16" s="128">
        <f t="shared" si="13"/>
        <v>0</v>
      </c>
      <c r="AC16" s="129">
        <f t="shared" si="13"/>
        <v>1679348</v>
      </c>
      <c r="AD16" s="129">
        <f>SUM(AD4:AD15)</f>
        <v>1454741</v>
      </c>
      <c r="AE16" s="128">
        <f t="shared" si="13"/>
        <v>265123</v>
      </c>
      <c r="AF16" s="128">
        <f t="shared" si="13"/>
        <v>0</v>
      </c>
      <c r="AG16" s="128">
        <f t="shared" si="13"/>
        <v>0</v>
      </c>
      <c r="AH16" s="128">
        <f t="shared" si="13"/>
        <v>265123</v>
      </c>
      <c r="AI16" s="128">
        <f t="shared" si="13"/>
        <v>1944471</v>
      </c>
      <c r="AJ16" s="129"/>
      <c r="AK16" s="130"/>
      <c r="AL16" s="131"/>
    </row>
    <row r="17" spans="1:38" s="132" customFormat="1" ht="17.25" customHeight="1">
      <c r="A17" s="302"/>
      <c r="B17" s="303"/>
      <c r="C17" s="303"/>
      <c r="D17" s="303"/>
      <c r="E17" s="303"/>
      <c r="F17" s="303" t="s">
        <v>123</v>
      </c>
      <c r="G17" s="303"/>
      <c r="H17" s="303"/>
      <c r="I17" s="303"/>
      <c r="J17" s="303"/>
      <c r="K17" s="303"/>
      <c r="L17" s="304"/>
      <c r="M17" s="133"/>
      <c r="N17" s="134">
        <f>N16/L16</f>
        <v>0.49409307411907655</v>
      </c>
      <c r="O17" s="134">
        <f>O16/M16</f>
        <v>0</v>
      </c>
      <c r="P17" s="135">
        <f>P16/N16</f>
        <v>1</v>
      </c>
      <c r="Q17" s="134">
        <f>Q16/L16</f>
        <v>0.4563341433778858</v>
      </c>
      <c r="R17" s="134">
        <f>R16/L16</f>
        <v>5.488942891859052E-3</v>
      </c>
      <c r="S17" s="135">
        <f>S16/L16</f>
        <v>0.46182308626974483</v>
      </c>
      <c r="T17" s="135"/>
      <c r="U17" s="134">
        <f>U16/L16</f>
        <v>0.43962770352369379</v>
      </c>
      <c r="V17" s="134">
        <f>V16/L16</f>
        <v>5.488942891859052E-3</v>
      </c>
      <c r="W17" s="135">
        <f>W16/L16</f>
        <v>0.44511664641555287</v>
      </c>
      <c r="X17" s="135"/>
      <c r="Y17" s="136">
        <f>Y16/L16</f>
        <v>0.50395164034021867</v>
      </c>
      <c r="Z17" s="136">
        <f>Z16/L16</f>
        <v>0.40261506682867559</v>
      </c>
      <c r="AA17" s="136">
        <f>AA16/L16</f>
        <v>5.488942891859052E-3</v>
      </c>
      <c r="AB17" s="136">
        <f>AB16/L16</f>
        <v>0</v>
      </c>
      <c r="AC17" s="137">
        <f>AC16/L16</f>
        <v>0.40810400972053462</v>
      </c>
      <c r="AD17" s="137"/>
      <c r="AE17" s="136">
        <f>AE16/L16</f>
        <v>6.4428432563791008E-2</v>
      </c>
      <c r="AF17" s="136">
        <f>AF16/M16</f>
        <v>0</v>
      </c>
      <c r="AG17" s="136">
        <f>AG16/N16</f>
        <v>0</v>
      </c>
      <c r="AH17" s="137">
        <f>AH16/Q16</f>
        <v>0.14118696463709152</v>
      </c>
      <c r="AI17" s="138">
        <f>AI16/L16</f>
        <v>0.47253244228432562</v>
      </c>
      <c r="AJ17" s="139"/>
      <c r="AK17" s="139"/>
      <c r="AL17" s="139"/>
    </row>
    <row r="18" spans="1:38" s="132" customFormat="1" ht="17.25" hidden="1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140"/>
      <c r="O18" s="140"/>
      <c r="P18" s="141"/>
      <c r="Q18" s="140"/>
      <c r="R18" s="140"/>
      <c r="S18" s="141"/>
      <c r="T18" s="141"/>
      <c r="U18" s="140"/>
      <c r="V18" s="140"/>
      <c r="W18" s="141"/>
      <c r="X18" s="141"/>
      <c r="Y18" s="142"/>
      <c r="Z18" s="142"/>
      <c r="AA18" s="142"/>
      <c r="AB18" s="142"/>
      <c r="AC18" s="143"/>
      <c r="AD18" s="143"/>
      <c r="AE18" s="142"/>
      <c r="AF18" s="142"/>
      <c r="AG18" s="142"/>
      <c r="AH18" s="143"/>
      <c r="AI18" s="144"/>
      <c r="AJ18" s="145"/>
      <c r="AK18" s="145"/>
      <c r="AL18" s="145"/>
    </row>
    <row r="19" spans="1:38" s="132" customFormat="1" ht="17.25" hidden="1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140"/>
      <c r="O19" s="140"/>
      <c r="P19" s="141"/>
      <c r="Q19" s="140"/>
      <c r="R19" s="140"/>
      <c r="S19" s="141"/>
      <c r="T19" s="141"/>
      <c r="U19" s="140"/>
      <c r="V19" s="140"/>
      <c r="W19" s="141"/>
      <c r="X19" s="141"/>
      <c r="Y19" s="142"/>
      <c r="Z19" s="142"/>
      <c r="AA19" s="142"/>
      <c r="AB19" s="142"/>
      <c r="AC19" s="143"/>
      <c r="AD19" s="143"/>
      <c r="AE19" s="142"/>
      <c r="AF19" s="142"/>
      <c r="AG19" s="142"/>
      <c r="AH19" s="143"/>
      <c r="AI19" s="144"/>
      <c r="AJ19" s="145"/>
      <c r="AK19" s="145"/>
      <c r="AL19" s="145"/>
    </row>
    <row r="20" spans="1:38">
      <c r="F20" s="146">
        <v>1</v>
      </c>
      <c r="G20" s="146">
        <v>0.95</v>
      </c>
      <c r="H20" s="147"/>
      <c r="I20" s="147"/>
      <c r="J20" s="147"/>
      <c r="K20" s="73"/>
      <c r="L20" s="73"/>
      <c r="M20" s="73"/>
      <c r="N20" s="73"/>
      <c r="O20" s="73"/>
      <c r="P20" s="74"/>
      <c r="Q20" s="73"/>
      <c r="R20" s="73"/>
      <c r="S20" s="74"/>
      <c r="T20" s="74"/>
      <c r="U20" s="73"/>
      <c r="V20" s="73"/>
      <c r="W20" s="74"/>
      <c r="X20" s="74"/>
    </row>
    <row r="21" spans="1:38">
      <c r="C21" s="305" t="s">
        <v>124</v>
      </c>
      <c r="D21" s="306"/>
      <c r="E21" s="307"/>
      <c r="F21" s="148">
        <v>53006</v>
      </c>
      <c r="G21" s="148">
        <f>+F21</f>
        <v>53006</v>
      </c>
      <c r="S21" s="69" t="s">
        <v>128</v>
      </c>
      <c r="T21" s="74">
        <f>T16+AH16</f>
        <v>782953</v>
      </c>
    </row>
    <row r="22" spans="1:38">
      <c r="C22" s="305" t="s">
        <v>125</v>
      </c>
      <c r="D22" s="306"/>
      <c r="E22" s="307"/>
      <c r="F22" s="148">
        <v>234386</v>
      </c>
      <c r="G22" s="148">
        <f>F22*G20</f>
        <v>222666.69999999998</v>
      </c>
      <c r="L22" s="149"/>
      <c r="M22" s="149"/>
      <c r="N22" s="149"/>
      <c r="O22" s="149"/>
      <c r="P22" s="70"/>
      <c r="Q22" s="149"/>
      <c r="R22" s="149"/>
      <c r="S22" s="70" t="s">
        <v>129</v>
      </c>
      <c r="T22" s="70">
        <f>SUM(K8:K15)</f>
        <v>1209600</v>
      </c>
      <c r="U22" s="149"/>
      <c r="V22" s="149"/>
      <c r="W22" s="70"/>
      <c r="X22" s="70"/>
      <c r="Y22" s="149"/>
      <c r="AD22" s="74"/>
    </row>
    <row r="23" spans="1:38">
      <c r="C23" s="288" t="s">
        <v>126</v>
      </c>
      <c r="D23" s="288"/>
      <c r="E23" s="288"/>
      <c r="F23" s="150">
        <f>SUM(F21:F22)</f>
        <v>287392</v>
      </c>
      <c r="G23" s="150">
        <f>F23*G20</f>
        <v>273022.39999999997</v>
      </c>
      <c r="N23" s="149"/>
      <c r="S23" s="69" t="s">
        <v>130</v>
      </c>
      <c r="T23" s="74">
        <f>T21-T22</f>
        <v>-426647</v>
      </c>
    </row>
    <row r="24" spans="1:38">
      <c r="E24" s="151" t="s">
        <v>127</v>
      </c>
      <c r="F24" s="152">
        <f>F23-(M8+M9)</f>
        <v>-12858</v>
      </c>
      <c r="G24" s="152">
        <f>+G23-(M8+M9)</f>
        <v>-27227.600000000035</v>
      </c>
    </row>
    <row r="25" spans="1:38">
      <c r="F25" s="153">
        <f>F23/(M8+M9)</f>
        <v>0.95717568692756039</v>
      </c>
      <c r="G25" s="153">
        <f>G23/(M8+M9)</f>
        <v>0.90931690258118225</v>
      </c>
      <c r="O25" s="61">
        <v>186087.29629629629</v>
      </c>
    </row>
    <row r="26" spans="1:38">
      <c r="E26" s="68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</row>
  </sheetData>
  <mergeCells count="12">
    <mergeCell ref="C23:E23"/>
    <mergeCell ref="A1:AJ1"/>
    <mergeCell ref="N2:P2"/>
    <mergeCell ref="Q2:T2"/>
    <mergeCell ref="U2:X2"/>
    <mergeCell ref="Z2:AC2"/>
    <mergeCell ref="AE2:AH2"/>
    <mergeCell ref="A4:A15"/>
    <mergeCell ref="A16:B16"/>
    <mergeCell ref="A17:L17"/>
    <mergeCell ref="C21:E21"/>
    <mergeCell ref="C22:E22"/>
  </mergeCells>
  <phoneticPr fontId="30" type="noConversion"/>
  <pageMargins left="0.7" right="0.7" top="0.75" bottom="0.75" header="0.3" footer="0.3"/>
  <pageSetup paperSize="9" scale="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/>
  <dimension ref="A1:V218"/>
  <sheetViews>
    <sheetView zoomScale="75" zoomScaleNormal="75" workbookViewId="0">
      <pane xSplit="10" ySplit="4" topLeftCell="K5" activePane="bottomRight" state="frozen"/>
      <selection activeCell="M27" sqref="M27"/>
      <selection pane="topRight" activeCell="M27" sqref="M27"/>
      <selection pane="bottomLeft" activeCell="M27" sqref="M27"/>
      <selection pane="bottomRight" activeCell="L6" sqref="L6"/>
    </sheetView>
  </sheetViews>
  <sheetFormatPr defaultColWidth="10.6640625" defaultRowHeight="15.6"/>
  <cols>
    <col min="1" max="1" width="8.21875" style="61" customWidth="1"/>
    <col min="2" max="2" width="9.21875" style="61" customWidth="1"/>
    <col min="3" max="3" width="9.77734375" style="61" customWidth="1"/>
    <col min="4" max="4" width="11.21875" style="61" customWidth="1"/>
    <col min="5" max="6" width="9.77734375" style="61" customWidth="1"/>
    <col min="7" max="7" width="11.6640625" style="61" customWidth="1"/>
    <col min="8" max="8" width="8.77734375" style="61" customWidth="1"/>
    <col min="9" max="9" width="11.77734375" style="61" customWidth="1"/>
    <col min="10" max="10" width="13.44140625" style="61" customWidth="1"/>
    <col min="11" max="11" width="13.77734375" style="61" customWidth="1"/>
    <col min="12" max="12" width="12" style="69" customWidth="1"/>
    <col min="13" max="13" width="11.6640625" style="69" customWidth="1"/>
    <col min="14" max="14" width="12.77734375" style="69" customWidth="1"/>
    <col min="15" max="15" width="14.21875" style="69" customWidth="1"/>
    <col min="16" max="16" width="14.6640625" style="69" customWidth="1"/>
    <col min="17" max="17" width="13.88671875" style="61" customWidth="1"/>
    <col min="18" max="18" width="16.44140625" style="61" customWidth="1"/>
    <col min="19" max="19" width="21.88671875" style="61" hidden="1" customWidth="1"/>
    <col min="20" max="20" width="12.33203125" style="61" customWidth="1"/>
    <col min="21" max="21" width="11.109375" style="61" bestFit="1" customWidth="1"/>
    <col min="22" max="22" width="14.109375" style="61" customWidth="1"/>
    <col min="23" max="16384" width="10.6640625" style="61"/>
  </cols>
  <sheetData>
    <row r="1" spans="1:22" s="5" customFormat="1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>
        <v>43959</v>
      </c>
    </row>
    <row r="2" spans="1:22" s="16" customFormat="1" ht="27" customHeight="1">
      <c r="A2" s="308" t="s">
        <v>1</v>
      </c>
      <c r="B2" s="308" t="s">
        <v>2</v>
      </c>
      <c r="C2" s="308" t="s">
        <v>3</v>
      </c>
      <c r="D2" s="308" t="s">
        <v>4</v>
      </c>
      <c r="E2" s="308" t="s">
        <v>5</v>
      </c>
      <c r="F2" s="308" t="s">
        <v>6</v>
      </c>
      <c r="G2" s="308" t="s">
        <v>7</v>
      </c>
      <c r="H2" s="308" t="s">
        <v>8</v>
      </c>
      <c r="I2" s="308" t="s">
        <v>9</v>
      </c>
      <c r="J2" s="308" t="s">
        <v>10</v>
      </c>
      <c r="K2" s="308" t="s">
        <v>11</v>
      </c>
      <c r="L2" s="312" t="s">
        <v>12</v>
      </c>
      <c r="M2" s="313"/>
      <c r="N2" s="313"/>
      <c r="O2" s="308" t="s">
        <v>136</v>
      </c>
      <c r="P2" s="308" t="s">
        <v>131</v>
      </c>
      <c r="Q2" s="308" t="s">
        <v>14</v>
      </c>
      <c r="R2" s="308" t="s">
        <v>15</v>
      </c>
      <c r="S2" s="310" t="s">
        <v>16</v>
      </c>
      <c r="T2" s="308" t="s">
        <v>17</v>
      </c>
      <c r="U2" s="308" t="s">
        <v>18</v>
      </c>
    </row>
    <row r="3" spans="1:22" s="16" customFormat="1" ht="39.75" customHeight="1">
      <c r="A3" s="309"/>
      <c r="B3" s="309"/>
      <c r="C3" s="309"/>
      <c r="D3" s="309"/>
      <c r="E3" s="309"/>
      <c r="F3" s="309"/>
      <c r="G3" s="309"/>
      <c r="H3" s="309"/>
      <c r="I3" s="309"/>
      <c r="J3" s="309"/>
      <c r="K3" s="309"/>
      <c r="L3" s="314" t="s">
        <v>19</v>
      </c>
      <c r="M3" s="314"/>
      <c r="N3" s="154" t="s">
        <v>20</v>
      </c>
      <c r="O3" s="309"/>
      <c r="P3" s="309"/>
      <c r="Q3" s="309"/>
      <c r="R3" s="309"/>
      <c r="S3" s="311"/>
      <c r="T3" s="309"/>
      <c r="U3" s="309"/>
    </row>
    <row r="4" spans="1:22" s="22" customFormat="1" ht="64.5" customHeight="1">
      <c r="A4" s="17" t="s">
        <v>21</v>
      </c>
      <c r="B4" s="18" t="s">
        <v>22</v>
      </c>
      <c r="C4" s="19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28</v>
      </c>
      <c r="I4" s="17" t="s">
        <v>29</v>
      </c>
      <c r="J4" s="17" t="s">
        <v>30</v>
      </c>
      <c r="K4" s="17"/>
      <c r="L4" s="17" t="s">
        <v>31</v>
      </c>
      <c r="M4" s="17" t="s">
        <v>32</v>
      </c>
      <c r="N4" s="17" t="s">
        <v>33</v>
      </c>
      <c r="O4" s="17"/>
      <c r="P4" s="17"/>
      <c r="Q4" s="17"/>
      <c r="R4" s="17"/>
      <c r="S4" s="17" t="s">
        <v>36</v>
      </c>
      <c r="T4" s="17"/>
      <c r="U4" s="21" t="s">
        <v>37</v>
      </c>
    </row>
    <row r="5" spans="1:22" s="34" customFormat="1" ht="17.25" customHeight="1">
      <c r="A5" s="315" t="s">
        <v>67</v>
      </c>
      <c r="B5" s="155" t="s">
        <v>55</v>
      </c>
      <c r="C5" s="156">
        <v>8.5</v>
      </c>
      <c r="D5" s="157">
        <v>12</v>
      </c>
      <c r="E5" s="158">
        <v>120.22088835534214</v>
      </c>
      <c r="F5" s="159">
        <v>24.5</v>
      </c>
      <c r="G5" s="160">
        <f>C5*D5*E5*F5</f>
        <v>300432</v>
      </c>
      <c r="H5" s="160"/>
      <c r="I5" s="160">
        <f t="shared" ref="I5:I16" si="0">SUM(G5:H5)</f>
        <v>300432</v>
      </c>
      <c r="J5" s="161">
        <v>295000</v>
      </c>
      <c r="K5" s="161">
        <v>295993</v>
      </c>
      <c r="L5" s="160">
        <v>189410</v>
      </c>
      <c r="M5" s="160">
        <v>0</v>
      </c>
      <c r="N5" s="160"/>
      <c r="O5" s="160">
        <v>0</v>
      </c>
      <c r="P5" s="160">
        <f>L5+O5</f>
        <v>189410</v>
      </c>
      <c r="Q5" s="162">
        <f t="shared" ref="Q5:Q16" si="1">M5+N5+O5</f>
        <v>0</v>
      </c>
      <c r="R5" s="162">
        <v>300432</v>
      </c>
      <c r="S5" s="162">
        <f>R5</f>
        <v>300432</v>
      </c>
      <c r="T5" s="162">
        <f t="shared" ref="T5:T16" si="2">S5-G5</f>
        <v>0</v>
      </c>
      <c r="U5" s="163">
        <f t="shared" ref="U5:U16" si="3">T5/C5/E5/F5</f>
        <v>0</v>
      </c>
    </row>
    <row r="6" spans="1:22" s="34" customFormat="1" ht="17.25" customHeight="1">
      <c r="A6" s="316"/>
      <c r="B6" s="155" t="s">
        <v>56</v>
      </c>
      <c r="C6" s="156">
        <v>8.5</v>
      </c>
      <c r="D6" s="157">
        <v>14</v>
      </c>
      <c r="E6" s="158">
        <v>114.4510375578803</v>
      </c>
      <c r="F6" s="159">
        <v>24.5</v>
      </c>
      <c r="G6" s="160">
        <f>C6*D6*E6*F6</f>
        <v>333682</v>
      </c>
      <c r="H6" s="160"/>
      <c r="I6" s="160">
        <f t="shared" si="0"/>
        <v>333682</v>
      </c>
      <c r="J6" s="164">
        <v>345000</v>
      </c>
      <c r="K6" s="164">
        <v>262349</v>
      </c>
      <c r="L6" s="160">
        <v>320000</v>
      </c>
      <c r="M6" s="160">
        <v>5309</v>
      </c>
      <c r="N6" s="160"/>
      <c r="O6" s="160">
        <v>0</v>
      </c>
      <c r="P6" s="160">
        <f t="shared" ref="P6:P16" si="4">L6+O6</f>
        <v>320000</v>
      </c>
      <c r="Q6" s="162">
        <f t="shared" si="1"/>
        <v>5309</v>
      </c>
      <c r="R6" s="162">
        <v>333682</v>
      </c>
      <c r="S6" s="162">
        <f t="shared" ref="S6:S16" si="5">R6+T5</f>
        <v>333682</v>
      </c>
      <c r="T6" s="162">
        <f t="shared" si="2"/>
        <v>0</v>
      </c>
      <c r="U6" s="163">
        <f t="shared" si="3"/>
        <v>0</v>
      </c>
    </row>
    <row r="7" spans="1:22" s="34" customFormat="1" ht="17.25" customHeight="1">
      <c r="A7" s="316"/>
      <c r="B7" s="155" t="s">
        <v>57</v>
      </c>
      <c r="C7" s="156">
        <v>8</v>
      </c>
      <c r="D7" s="157">
        <v>12</v>
      </c>
      <c r="E7" s="158">
        <v>95.091836734693871</v>
      </c>
      <c r="F7" s="159">
        <v>24.5</v>
      </c>
      <c r="G7" s="160">
        <f>C7*D7*E7*F7</f>
        <v>223656</v>
      </c>
      <c r="H7" s="160"/>
      <c r="I7" s="160">
        <f t="shared" si="0"/>
        <v>223656</v>
      </c>
      <c r="J7" s="164">
        <v>305000</v>
      </c>
      <c r="K7" s="164">
        <v>289189</v>
      </c>
      <c r="L7" s="160">
        <v>268963</v>
      </c>
      <c r="M7" s="160">
        <v>4513</v>
      </c>
      <c r="N7" s="160"/>
      <c r="O7" s="160">
        <v>0</v>
      </c>
      <c r="P7" s="160">
        <f t="shared" si="4"/>
        <v>268963</v>
      </c>
      <c r="Q7" s="162">
        <f t="shared" si="1"/>
        <v>4513</v>
      </c>
      <c r="R7" s="160">
        <v>223656</v>
      </c>
      <c r="S7" s="162">
        <f t="shared" si="5"/>
        <v>223656</v>
      </c>
      <c r="T7" s="162">
        <f t="shared" si="2"/>
        <v>0</v>
      </c>
      <c r="U7" s="163">
        <f t="shared" si="3"/>
        <v>0</v>
      </c>
      <c r="V7" s="36"/>
    </row>
    <row r="8" spans="1:22" s="34" customFormat="1" ht="16.5" customHeight="1">
      <c r="A8" s="316"/>
      <c r="B8" s="155" t="s">
        <v>58</v>
      </c>
      <c r="C8" s="156">
        <v>8</v>
      </c>
      <c r="D8" s="157">
        <v>10</v>
      </c>
      <c r="E8" s="158">
        <v>76.987499999999997</v>
      </c>
      <c r="F8" s="159">
        <v>20</v>
      </c>
      <c r="G8" s="160">
        <f t="shared" ref="G8:G16" si="6">C8*D8*E8*F8</f>
        <v>123180</v>
      </c>
      <c r="H8" s="160"/>
      <c r="I8" s="160">
        <f t="shared" si="0"/>
        <v>123180</v>
      </c>
      <c r="J8" s="164">
        <v>305000</v>
      </c>
      <c r="K8" s="164">
        <v>159559</v>
      </c>
      <c r="L8" s="160">
        <v>254987</v>
      </c>
      <c r="M8" s="160">
        <v>28825</v>
      </c>
      <c r="N8" s="160"/>
      <c r="O8" s="160">
        <v>0</v>
      </c>
      <c r="P8" s="160">
        <f t="shared" si="4"/>
        <v>254987</v>
      </c>
      <c r="Q8" s="162">
        <f t="shared" si="1"/>
        <v>28825</v>
      </c>
      <c r="R8" s="160">
        <v>123180</v>
      </c>
      <c r="S8" s="162">
        <f t="shared" si="5"/>
        <v>123180</v>
      </c>
      <c r="T8" s="162">
        <f t="shared" si="2"/>
        <v>0</v>
      </c>
      <c r="U8" s="163">
        <f t="shared" si="3"/>
        <v>0</v>
      </c>
      <c r="V8" s="36"/>
    </row>
    <row r="9" spans="1:22" s="34" customFormat="1" ht="17.25" customHeight="1">
      <c r="A9" s="316"/>
      <c r="B9" s="23" t="s">
        <v>59</v>
      </c>
      <c r="C9" s="24">
        <v>8</v>
      </c>
      <c r="D9" s="37">
        <v>10</v>
      </c>
      <c r="E9" s="26">
        <v>105</v>
      </c>
      <c r="F9" s="27">
        <v>20</v>
      </c>
      <c r="G9" s="28">
        <f t="shared" si="6"/>
        <v>168000</v>
      </c>
      <c r="H9" s="28"/>
      <c r="I9" s="28">
        <f t="shared" si="0"/>
        <v>168000</v>
      </c>
      <c r="J9" s="35">
        <v>315000</v>
      </c>
      <c r="K9" s="35">
        <v>212934</v>
      </c>
      <c r="L9" s="28">
        <v>277772</v>
      </c>
      <c r="M9" s="28">
        <v>95551</v>
      </c>
      <c r="N9" s="28"/>
      <c r="O9" s="28">
        <v>0</v>
      </c>
      <c r="P9" s="28">
        <f t="shared" si="4"/>
        <v>277772</v>
      </c>
      <c r="Q9" s="31">
        <f t="shared" si="1"/>
        <v>95551</v>
      </c>
      <c r="R9" s="28">
        <f>SUM(Q5:Q9)</f>
        <v>134198</v>
      </c>
      <c r="S9" s="31">
        <f t="shared" si="5"/>
        <v>134198</v>
      </c>
      <c r="T9" s="31">
        <f t="shared" si="2"/>
        <v>-33802</v>
      </c>
      <c r="U9" s="33">
        <f t="shared" si="3"/>
        <v>-2.0120238095238094</v>
      </c>
    </row>
    <row r="10" spans="1:22" s="34" customFormat="1" ht="17.25" customHeight="1">
      <c r="A10" s="316"/>
      <c r="B10" s="38" t="s">
        <v>60</v>
      </c>
      <c r="C10" s="24">
        <v>8</v>
      </c>
      <c r="D10" s="39">
        <v>9</v>
      </c>
      <c r="E10" s="26">
        <v>105</v>
      </c>
      <c r="F10" s="27">
        <v>20</v>
      </c>
      <c r="G10" s="28">
        <f t="shared" si="6"/>
        <v>151200</v>
      </c>
      <c r="H10" s="28"/>
      <c r="I10" s="28">
        <f t="shared" si="0"/>
        <v>151200</v>
      </c>
      <c r="J10" s="35">
        <v>340000</v>
      </c>
      <c r="K10" s="35">
        <v>122760</v>
      </c>
      <c r="L10" s="28">
        <v>166719</v>
      </c>
      <c r="M10" s="28">
        <v>103255</v>
      </c>
      <c r="N10" s="28"/>
      <c r="O10" s="28">
        <v>0</v>
      </c>
      <c r="P10" s="28">
        <f t="shared" si="4"/>
        <v>166719</v>
      </c>
      <c r="Q10" s="31">
        <f t="shared" si="1"/>
        <v>103255</v>
      </c>
      <c r="R10" s="28">
        <f t="shared" ref="R10:R16" si="7">Q10</f>
        <v>103255</v>
      </c>
      <c r="S10" s="31">
        <f t="shared" si="5"/>
        <v>69453</v>
      </c>
      <c r="T10" s="31">
        <f t="shared" si="2"/>
        <v>-81747</v>
      </c>
      <c r="U10" s="41">
        <f t="shared" si="3"/>
        <v>-4.8658928571428568</v>
      </c>
    </row>
    <row r="11" spans="1:22" s="42" customFormat="1" ht="17.25" customHeight="1">
      <c r="A11" s="316"/>
      <c r="B11" s="23" t="s">
        <v>61</v>
      </c>
      <c r="C11" s="24">
        <v>8</v>
      </c>
      <c r="D11" s="25">
        <v>8</v>
      </c>
      <c r="E11" s="26">
        <v>105</v>
      </c>
      <c r="F11" s="27">
        <v>20</v>
      </c>
      <c r="G11" s="28">
        <f t="shared" si="6"/>
        <v>134400</v>
      </c>
      <c r="H11" s="28"/>
      <c r="I11" s="28">
        <f t="shared" si="0"/>
        <v>134400</v>
      </c>
      <c r="J11" s="35">
        <v>380000</v>
      </c>
      <c r="K11" s="35">
        <v>163917</v>
      </c>
      <c r="L11" s="28">
        <v>220189</v>
      </c>
      <c r="M11" s="28">
        <v>115266</v>
      </c>
      <c r="N11" s="28"/>
      <c r="O11" s="28">
        <v>11048</v>
      </c>
      <c r="P11" s="28">
        <f t="shared" si="4"/>
        <v>231237</v>
      </c>
      <c r="Q11" s="31">
        <f t="shared" si="1"/>
        <v>126314</v>
      </c>
      <c r="R11" s="28">
        <f t="shared" si="7"/>
        <v>126314</v>
      </c>
      <c r="S11" s="31">
        <f t="shared" si="5"/>
        <v>44567</v>
      </c>
      <c r="T11" s="31">
        <f t="shared" si="2"/>
        <v>-89833</v>
      </c>
      <c r="U11" s="41">
        <f t="shared" si="3"/>
        <v>-5.347202380952381</v>
      </c>
    </row>
    <row r="12" spans="1:22" s="42" customFormat="1" ht="17.25" customHeight="1">
      <c r="A12" s="316"/>
      <c r="B12" s="23" t="s">
        <v>62</v>
      </c>
      <c r="C12" s="24">
        <v>8</v>
      </c>
      <c r="D12" s="25">
        <v>10</v>
      </c>
      <c r="E12" s="26">
        <v>105</v>
      </c>
      <c r="F12" s="27">
        <v>20</v>
      </c>
      <c r="G12" s="28">
        <f t="shared" si="6"/>
        <v>168000</v>
      </c>
      <c r="H12" s="28"/>
      <c r="I12" s="28">
        <f t="shared" si="0"/>
        <v>168000</v>
      </c>
      <c r="J12" s="35">
        <v>325000</v>
      </c>
      <c r="K12" s="35">
        <v>67323</v>
      </c>
      <c r="L12" s="28">
        <v>103658</v>
      </c>
      <c r="M12" s="28">
        <v>84860</v>
      </c>
      <c r="N12" s="28"/>
      <c r="O12" s="28">
        <v>9095</v>
      </c>
      <c r="P12" s="28">
        <f t="shared" si="4"/>
        <v>112753</v>
      </c>
      <c r="Q12" s="31">
        <f t="shared" si="1"/>
        <v>93955</v>
      </c>
      <c r="R12" s="28">
        <f t="shared" si="7"/>
        <v>93955</v>
      </c>
      <c r="S12" s="31">
        <f t="shared" si="5"/>
        <v>4122</v>
      </c>
      <c r="T12" s="31">
        <f t="shared" si="2"/>
        <v>-163878</v>
      </c>
      <c r="U12" s="41">
        <f t="shared" si="3"/>
        <v>-9.7546428571428585</v>
      </c>
    </row>
    <row r="13" spans="1:22" s="42" customFormat="1" ht="17.25" customHeight="1">
      <c r="A13" s="316"/>
      <c r="B13" s="23" t="s">
        <v>63</v>
      </c>
      <c r="C13" s="24">
        <v>8</v>
      </c>
      <c r="D13" s="25">
        <v>10</v>
      </c>
      <c r="E13" s="26">
        <v>105</v>
      </c>
      <c r="F13" s="27">
        <v>20</v>
      </c>
      <c r="G13" s="28">
        <f t="shared" si="6"/>
        <v>168000</v>
      </c>
      <c r="H13" s="28"/>
      <c r="I13" s="28">
        <f t="shared" si="0"/>
        <v>168000</v>
      </c>
      <c r="J13" s="35">
        <v>365000</v>
      </c>
      <c r="K13" s="35">
        <v>31704</v>
      </c>
      <c r="L13" s="28">
        <v>41354</v>
      </c>
      <c r="M13" s="28">
        <v>30982</v>
      </c>
      <c r="N13" s="28"/>
      <c r="O13" s="28">
        <v>41707</v>
      </c>
      <c r="P13" s="28">
        <f t="shared" si="4"/>
        <v>83061</v>
      </c>
      <c r="Q13" s="31">
        <f t="shared" si="1"/>
        <v>72689</v>
      </c>
      <c r="R13" s="28">
        <f t="shared" si="7"/>
        <v>72689</v>
      </c>
      <c r="S13" s="31">
        <f t="shared" si="5"/>
        <v>-91189</v>
      </c>
      <c r="T13" s="31">
        <f t="shared" si="2"/>
        <v>-259189</v>
      </c>
      <c r="U13" s="41">
        <f t="shared" si="3"/>
        <v>-15.427916666666667</v>
      </c>
    </row>
    <row r="14" spans="1:22" s="42" customFormat="1" ht="17.25" customHeight="1">
      <c r="A14" s="316"/>
      <c r="B14" s="23" t="s">
        <v>64</v>
      </c>
      <c r="C14" s="24">
        <v>8</v>
      </c>
      <c r="D14" s="25">
        <v>8</v>
      </c>
      <c r="E14" s="26">
        <v>105</v>
      </c>
      <c r="F14" s="27">
        <v>20</v>
      </c>
      <c r="G14" s="28">
        <f t="shared" si="6"/>
        <v>134400</v>
      </c>
      <c r="H14" s="28"/>
      <c r="I14" s="28">
        <f t="shared" si="0"/>
        <v>134400</v>
      </c>
      <c r="J14" s="35">
        <v>390000</v>
      </c>
      <c r="K14" s="35">
        <v>14611</v>
      </c>
      <c r="L14" s="28">
        <v>18404</v>
      </c>
      <c r="M14" s="28">
        <v>12847</v>
      </c>
      <c r="N14" s="28"/>
      <c r="O14" s="28">
        <v>125900</v>
      </c>
      <c r="P14" s="28">
        <f t="shared" si="4"/>
        <v>144304</v>
      </c>
      <c r="Q14" s="31">
        <f t="shared" si="1"/>
        <v>138747</v>
      </c>
      <c r="R14" s="28">
        <f t="shared" si="7"/>
        <v>138747</v>
      </c>
      <c r="S14" s="31">
        <f t="shared" si="5"/>
        <v>-120442</v>
      </c>
      <c r="T14" s="31">
        <f t="shared" si="2"/>
        <v>-254842</v>
      </c>
      <c r="U14" s="41">
        <f t="shared" si="3"/>
        <v>-15.169166666666666</v>
      </c>
    </row>
    <row r="15" spans="1:22" s="42" customFormat="1" ht="17.25" customHeight="1">
      <c r="A15" s="316"/>
      <c r="B15" s="23" t="s">
        <v>65</v>
      </c>
      <c r="C15" s="24">
        <v>8</v>
      </c>
      <c r="D15" s="43">
        <v>8</v>
      </c>
      <c r="E15" s="35">
        <v>105</v>
      </c>
      <c r="F15" s="27">
        <v>20</v>
      </c>
      <c r="G15" s="28">
        <f t="shared" si="6"/>
        <v>134400</v>
      </c>
      <c r="H15" s="28"/>
      <c r="I15" s="28">
        <f t="shared" si="0"/>
        <v>134400</v>
      </c>
      <c r="J15" s="35">
        <v>375000</v>
      </c>
      <c r="K15" s="35">
        <v>28459</v>
      </c>
      <c r="L15" s="28">
        <v>29992</v>
      </c>
      <c r="M15" s="28">
        <v>28459</v>
      </c>
      <c r="N15" s="28"/>
      <c r="O15" s="28">
        <v>32273</v>
      </c>
      <c r="P15" s="28">
        <f t="shared" si="4"/>
        <v>62265</v>
      </c>
      <c r="Q15" s="31">
        <f t="shared" si="1"/>
        <v>60732</v>
      </c>
      <c r="R15" s="28">
        <f t="shared" si="7"/>
        <v>60732</v>
      </c>
      <c r="S15" s="31">
        <f t="shared" si="5"/>
        <v>-194110</v>
      </c>
      <c r="T15" s="31">
        <f t="shared" si="2"/>
        <v>-328510</v>
      </c>
      <c r="U15" s="41">
        <f t="shared" si="3"/>
        <v>-19.554166666666667</v>
      </c>
    </row>
    <row r="16" spans="1:22" s="42" customFormat="1" ht="17.25" customHeight="1">
      <c r="A16" s="316"/>
      <c r="B16" s="23" t="s">
        <v>66</v>
      </c>
      <c r="C16" s="24">
        <v>8</v>
      </c>
      <c r="D16" s="43">
        <v>9</v>
      </c>
      <c r="E16" s="35">
        <v>105</v>
      </c>
      <c r="F16" s="27">
        <v>20</v>
      </c>
      <c r="G16" s="28">
        <f t="shared" si="6"/>
        <v>151200</v>
      </c>
      <c r="H16" s="28"/>
      <c r="I16" s="28">
        <f t="shared" si="0"/>
        <v>151200</v>
      </c>
      <c r="J16" s="35">
        <v>375000</v>
      </c>
      <c r="K16" s="35">
        <v>7963</v>
      </c>
      <c r="L16" s="28">
        <v>8954</v>
      </c>
      <c r="M16" s="28">
        <v>7963</v>
      </c>
      <c r="N16" s="28"/>
      <c r="O16" s="28">
        <v>45100</v>
      </c>
      <c r="P16" s="28">
        <f t="shared" si="4"/>
        <v>54054</v>
      </c>
      <c r="Q16" s="31">
        <f t="shared" si="1"/>
        <v>53063</v>
      </c>
      <c r="R16" s="28">
        <f t="shared" si="7"/>
        <v>53063</v>
      </c>
      <c r="S16" s="31">
        <f t="shared" si="5"/>
        <v>-275447</v>
      </c>
      <c r="T16" s="31">
        <f t="shared" si="2"/>
        <v>-426647</v>
      </c>
      <c r="U16" s="41">
        <f t="shared" si="3"/>
        <v>-25.395654761904762</v>
      </c>
    </row>
    <row r="17" spans="1:21" s="42" customFormat="1" ht="17.25" customHeight="1">
      <c r="A17" s="317" t="s">
        <v>51</v>
      </c>
      <c r="B17" s="318"/>
      <c r="C17" s="44"/>
      <c r="D17" s="45"/>
      <c r="E17" s="35"/>
      <c r="F17" s="45"/>
      <c r="G17" s="35">
        <f>SUM(G5:G16)</f>
        <v>2190550</v>
      </c>
      <c r="H17" s="35">
        <f>SUM(H5:H16)</f>
        <v>0</v>
      </c>
      <c r="I17" s="35">
        <f>SUM(I5:I16)</f>
        <v>2190550</v>
      </c>
      <c r="J17" s="35">
        <f>SUM(J5:J16)</f>
        <v>4115000</v>
      </c>
      <c r="K17" s="46">
        <f>SUM(K5:K16)</f>
        <v>1656761</v>
      </c>
      <c r="L17" s="46">
        <f t="shared" ref="L17:Q17" si="8">SUM(L5:L16)</f>
        <v>1900402</v>
      </c>
      <c r="M17" s="46">
        <f>SUM(M5:M16)</f>
        <v>517830</v>
      </c>
      <c r="N17" s="46"/>
      <c r="O17" s="46">
        <f t="shared" si="8"/>
        <v>265123</v>
      </c>
      <c r="P17" s="46">
        <f>SUM(P5:P16)</f>
        <v>2165525</v>
      </c>
      <c r="Q17" s="46">
        <f t="shared" si="8"/>
        <v>782953</v>
      </c>
      <c r="R17" s="46">
        <f>SUM(R5:R16)</f>
        <v>1763903</v>
      </c>
      <c r="S17" s="47"/>
      <c r="T17" s="49"/>
      <c r="U17" s="51"/>
    </row>
    <row r="18" spans="1:21" s="60" customFormat="1" ht="17.25" customHeight="1">
      <c r="A18" s="319" t="s">
        <v>52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1"/>
      <c r="K18" s="52">
        <f>K17/J17</f>
        <v>0.40261506682867559</v>
      </c>
      <c r="L18" s="53">
        <f>L17/J17</f>
        <v>0.46182308626974483</v>
      </c>
      <c r="M18" s="53"/>
      <c r="N18" s="53"/>
      <c r="O18" s="54"/>
      <c r="P18" s="54">
        <f>P17/J17</f>
        <v>0.52625151883353583</v>
      </c>
      <c r="Q18" s="55"/>
      <c r="R18" s="56"/>
      <c r="S18" s="57"/>
      <c r="T18" s="59"/>
      <c r="U18" s="59"/>
    </row>
    <row r="19" spans="1:21" s="60" customFormat="1" ht="17.25" hidden="1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2"/>
      <c r="M19" s="62"/>
      <c r="N19" s="62"/>
      <c r="O19" s="63"/>
      <c r="P19" s="63"/>
      <c r="Q19" s="64"/>
      <c r="R19" s="65"/>
      <c r="S19" s="66"/>
      <c r="T19" s="66"/>
      <c r="U19" s="66"/>
    </row>
    <row r="20" spans="1:21" s="60" customFormat="1" ht="17.25" hidden="1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62"/>
      <c r="N20" s="62"/>
      <c r="O20" s="63"/>
      <c r="P20" s="63"/>
      <c r="Q20" s="64"/>
      <c r="R20" s="65"/>
      <c r="S20" s="66"/>
      <c r="T20" s="66"/>
      <c r="U20" s="66"/>
    </row>
    <row r="21" spans="1:21">
      <c r="E21" s="68"/>
      <c r="O21" s="70"/>
      <c r="P21" s="70"/>
      <c r="R21" s="70"/>
      <c r="S21" s="71">
        <f>S16-I16</f>
        <v>-426647</v>
      </c>
    </row>
    <row r="22" spans="1:21">
      <c r="I22" s="73"/>
      <c r="Q22" s="73" t="s">
        <v>132</v>
      </c>
      <c r="R22" s="73">
        <f>R17-I17</f>
        <v>-426647</v>
      </c>
      <c r="S22" s="73"/>
      <c r="T22" s="165" t="s">
        <v>134</v>
      </c>
    </row>
    <row r="23" spans="1:21">
      <c r="I23" s="73"/>
      <c r="R23" s="71"/>
      <c r="S23" s="73"/>
      <c r="T23" s="71"/>
    </row>
    <row r="24" spans="1:21">
      <c r="G24" s="61" t="s">
        <v>54</v>
      </c>
      <c r="Q24" s="61" t="s">
        <v>133</v>
      </c>
      <c r="R24" s="73">
        <f>P17-R17</f>
        <v>401622</v>
      </c>
      <c r="T24" s="165" t="s">
        <v>135</v>
      </c>
    </row>
    <row r="218" spans="9:9">
      <c r="I218" s="61">
        <v>2</v>
      </c>
    </row>
  </sheetData>
  <mergeCells count="23">
    <mergeCell ref="A5:A16"/>
    <mergeCell ref="A17:B17"/>
    <mergeCell ref="A18:J18"/>
    <mergeCell ref="A2:A3"/>
    <mergeCell ref="B2:B3"/>
    <mergeCell ref="C2:C3"/>
    <mergeCell ref="D2:D3"/>
    <mergeCell ref="T2:T3"/>
    <mergeCell ref="U2:U3"/>
    <mergeCell ref="S2:S3"/>
    <mergeCell ref="E2:E3"/>
    <mergeCell ref="F2:F3"/>
    <mergeCell ref="G2:G3"/>
    <mergeCell ref="H2:H3"/>
    <mergeCell ref="I2:I3"/>
    <mergeCell ref="J2:J3"/>
    <mergeCell ref="L2:N2"/>
    <mergeCell ref="L3:M3"/>
    <mergeCell ref="K2:K3"/>
    <mergeCell ref="P2:P3"/>
    <mergeCell ref="O2:O3"/>
    <mergeCell ref="Q2:Q3"/>
    <mergeCell ref="R2:R3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/>
  <dimension ref="A1:V215"/>
  <sheetViews>
    <sheetView topLeftCell="B1" zoomScale="70" zoomScaleNormal="70" workbookViewId="0">
      <selection activeCell="H7" sqref="H7:H14"/>
    </sheetView>
  </sheetViews>
  <sheetFormatPr defaultColWidth="10.6640625" defaultRowHeight="15.6"/>
  <cols>
    <col min="1" max="1" width="9.44140625" style="61" customWidth="1"/>
    <col min="2" max="2" width="9.21875" style="61" customWidth="1"/>
    <col min="3" max="3" width="7.21875" style="61" customWidth="1"/>
    <col min="4" max="4" width="9.109375" style="61" customWidth="1"/>
    <col min="5" max="5" width="8.44140625" style="61" customWidth="1"/>
    <col min="6" max="7" width="12.44140625" style="61" customWidth="1"/>
    <col min="8" max="8" width="10.88671875" style="61" customWidth="1"/>
    <col min="9" max="10" width="11.77734375" style="61" customWidth="1"/>
    <col min="11" max="11" width="11.88671875" style="61" customWidth="1"/>
    <col min="12" max="12" width="10.88671875" style="61" customWidth="1"/>
    <col min="13" max="13" width="15.77734375" style="69" bestFit="1" customWidth="1"/>
    <col min="14" max="14" width="13.6640625" style="69" customWidth="1"/>
    <col min="15" max="15" width="13.77734375" style="69" customWidth="1"/>
    <col min="16" max="16" width="15.21875" style="69" customWidth="1"/>
    <col min="17" max="17" width="17.6640625" style="61" customWidth="1"/>
    <col min="18" max="18" width="14.33203125" style="61" customWidth="1"/>
    <col min="19" max="19" width="15.6640625" style="61" customWidth="1"/>
    <col min="20" max="20" width="11.6640625" style="61" customWidth="1"/>
    <col min="21" max="21" width="11.109375" style="61" bestFit="1" customWidth="1"/>
    <col min="22" max="22" width="14.109375" style="61" customWidth="1"/>
    <col min="23" max="16384" width="10.6640625" style="61"/>
  </cols>
  <sheetData>
    <row r="1" spans="1:22" s="5" customFormat="1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88"/>
      <c r="M1" s="188"/>
      <c r="N1" s="1"/>
      <c r="O1" s="1"/>
      <c r="P1" s="188"/>
      <c r="Q1" s="1"/>
      <c r="R1" s="1"/>
      <c r="S1" s="1"/>
      <c r="T1" s="3">
        <f ca="1">NOW()</f>
        <v>44467.45394861111</v>
      </c>
    </row>
    <row r="2" spans="1:22" s="166" customFormat="1" ht="28.5" customHeight="1">
      <c r="A2" s="325" t="s">
        <v>1</v>
      </c>
      <c r="B2" s="325" t="s">
        <v>192</v>
      </c>
      <c r="C2" s="325" t="s">
        <v>193</v>
      </c>
      <c r="D2" s="325" t="s">
        <v>194</v>
      </c>
      <c r="E2" s="325" t="s">
        <v>195</v>
      </c>
      <c r="F2" s="325" t="s">
        <v>196</v>
      </c>
      <c r="G2" s="325" t="s">
        <v>197</v>
      </c>
      <c r="H2" s="325" t="s">
        <v>141</v>
      </c>
      <c r="I2" s="325" t="s">
        <v>198</v>
      </c>
      <c r="J2" s="308" t="s">
        <v>191</v>
      </c>
      <c r="K2" s="325" t="s">
        <v>160</v>
      </c>
      <c r="L2" s="322" t="s">
        <v>199</v>
      </c>
      <c r="M2" s="312" t="s">
        <v>12</v>
      </c>
      <c r="N2" s="313"/>
      <c r="O2" s="313"/>
      <c r="P2" s="322" t="s">
        <v>200</v>
      </c>
      <c r="Q2" s="325" t="s">
        <v>208</v>
      </c>
      <c r="R2" s="325" t="s">
        <v>201</v>
      </c>
      <c r="S2" s="328" t="s">
        <v>202</v>
      </c>
      <c r="T2" s="325" t="s">
        <v>17</v>
      </c>
      <c r="U2" s="325" t="s">
        <v>203</v>
      </c>
    </row>
    <row r="3" spans="1:22" s="166" customFormat="1" ht="30.75" customHeight="1">
      <c r="A3" s="326"/>
      <c r="B3" s="326"/>
      <c r="C3" s="326"/>
      <c r="D3" s="326"/>
      <c r="E3" s="326"/>
      <c r="F3" s="326"/>
      <c r="G3" s="326"/>
      <c r="H3" s="326"/>
      <c r="I3" s="326"/>
      <c r="J3" s="331"/>
      <c r="K3" s="326"/>
      <c r="L3" s="323"/>
      <c r="M3" s="314" t="s">
        <v>19</v>
      </c>
      <c r="N3" s="314"/>
      <c r="O3" s="187" t="s">
        <v>20</v>
      </c>
      <c r="P3" s="323"/>
      <c r="Q3" s="326"/>
      <c r="R3" s="326"/>
      <c r="S3" s="329"/>
      <c r="T3" s="326"/>
      <c r="U3" s="326"/>
    </row>
    <row r="4" spans="1:22" s="168" customFormat="1" ht="49.5" customHeight="1">
      <c r="A4" s="327"/>
      <c r="B4" s="327"/>
      <c r="C4" s="327"/>
      <c r="D4" s="327"/>
      <c r="E4" s="327"/>
      <c r="F4" s="327"/>
      <c r="G4" s="327"/>
      <c r="H4" s="327"/>
      <c r="I4" s="327"/>
      <c r="J4" s="309"/>
      <c r="K4" s="327"/>
      <c r="L4" s="324"/>
      <c r="M4" s="187" t="s">
        <v>204</v>
      </c>
      <c r="N4" s="187" t="s">
        <v>205</v>
      </c>
      <c r="O4" s="187" t="s">
        <v>206</v>
      </c>
      <c r="P4" s="324"/>
      <c r="Q4" s="327"/>
      <c r="R4" s="327"/>
      <c r="S4" s="330"/>
      <c r="T4" s="327"/>
      <c r="U4" s="327"/>
    </row>
    <row r="5" spans="1:22" s="34" customFormat="1" ht="17.25" customHeight="1">
      <c r="A5" s="315" t="s">
        <v>38</v>
      </c>
      <c r="B5" s="23" t="s">
        <v>39</v>
      </c>
      <c r="C5" s="24">
        <v>8.8000000000000007</v>
      </c>
      <c r="D5" s="25">
        <v>12</v>
      </c>
      <c r="E5" s="26">
        <v>108</v>
      </c>
      <c r="F5" s="27">
        <v>36.5</v>
      </c>
      <c r="G5" s="28">
        <f>C5*D5*E5*F5</f>
        <v>416275.20000000001</v>
      </c>
      <c r="H5" s="28"/>
      <c r="I5" s="28">
        <f>SUM(G5:H5)</f>
        <v>416275.20000000001</v>
      </c>
      <c r="J5" s="28"/>
      <c r="K5" s="29">
        <v>430000</v>
      </c>
      <c r="L5" s="29">
        <v>444012</v>
      </c>
      <c r="M5" s="28">
        <v>528854</v>
      </c>
      <c r="N5" s="28">
        <v>350602</v>
      </c>
      <c r="O5" s="28">
        <v>7396</v>
      </c>
      <c r="P5" s="28">
        <v>0</v>
      </c>
      <c r="Q5" s="31">
        <f>N5+O5+P5</f>
        <v>357998</v>
      </c>
      <c r="R5" s="31">
        <f>Q5</f>
        <v>357998</v>
      </c>
      <c r="S5" s="31" t="e">
        <f>R5+#REF!</f>
        <v>#REF!</v>
      </c>
      <c r="T5" s="31" t="e">
        <f>S5-G5</f>
        <v>#REF!</v>
      </c>
      <c r="U5" s="33" t="e">
        <f t="shared" ref="U5:U16" si="0">T5/C5/E5/F5</f>
        <v>#REF!</v>
      </c>
    </row>
    <row r="6" spans="1:22" s="34" customFormat="1" ht="17.25" customHeight="1">
      <c r="A6" s="316"/>
      <c r="B6" s="23" t="s">
        <v>151</v>
      </c>
      <c r="C6" s="24">
        <v>8.8000000000000007</v>
      </c>
      <c r="D6" s="25">
        <v>13</v>
      </c>
      <c r="E6" s="26">
        <v>108</v>
      </c>
      <c r="F6" s="27">
        <v>36.5</v>
      </c>
      <c r="G6" s="28">
        <f>C6*D6*E6*F6</f>
        <v>450964.80000000005</v>
      </c>
      <c r="H6" s="28">
        <v>0</v>
      </c>
      <c r="I6" s="28">
        <f t="shared" ref="I6:I16" si="1">SUM(G6:H6)</f>
        <v>450964.80000000005</v>
      </c>
      <c r="J6" s="28"/>
      <c r="K6" s="35">
        <v>465000</v>
      </c>
      <c r="L6" s="35">
        <v>451471</v>
      </c>
      <c r="M6" s="28">
        <v>450982</v>
      </c>
      <c r="N6" s="28">
        <v>435821</v>
      </c>
      <c r="O6" s="28"/>
      <c r="P6" s="28">
        <v>0</v>
      </c>
      <c r="Q6" s="31">
        <f t="shared" ref="Q6:Q16" si="2">N6+O6+P6</f>
        <v>435821</v>
      </c>
      <c r="R6" s="31">
        <f t="shared" ref="R6:R16" si="3">Q6</f>
        <v>435821</v>
      </c>
      <c r="S6" s="31" t="e">
        <f>R6+T5</f>
        <v>#REF!</v>
      </c>
      <c r="T6" s="31" t="e">
        <f t="shared" ref="T6:T16" si="4">S6-G6</f>
        <v>#REF!</v>
      </c>
      <c r="U6" s="33" t="e">
        <f t="shared" si="0"/>
        <v>#REF!</v>
      </c>
    </row>
    <row r="7" spans="1:22" s="34" customFormat="1" ht="17.25" customHeight="1">
      <c r="A7" s="316"/>
      <c r="B7" s="23" t="s">
        <v>41</v>
      </c>
      <c r="C7" s="24">
        <v>8</v>
      </c>
      <c r="D7" s="25">
        <v>13</v>
      </c>
      <c r="E7" s="26">
        <v>112</v>
      </c>
      <c r="F7" s="27">
        <v>37</v>
      </c>
      <c r="G7" s="28">
        <f>C7*D7*E7*F7</f>
        <v>430976</v>
      </c>
      <c r="H7" s="28">
        <v>32622</v>
      </c>
      <c r="I7" s="28">
        <f>SUM(G7:H7)</f>
        <v>463598</v>
      </c>
      <c r="J7" s="28"/>
      <c r="K7" s="35">
        <v>450000</v>
      </c>
      <c r="L7" s="35">
        <v>232482</v>
      </c>
      <c r="M7" s="28">
        <v>266884</v>
      </c>
      <c r="N7" s="28">
        <v>247902</v>
      </c>
      <c r="O7" s="28"/>
      <c r="P7" s="28">
        <v>0</v>
      </c>
      <c r="Q7" s="31">
        <f t="shared" ref="Q7:Q12" si="5">N7+O7+P7+H7</f>
        <v>280524</v>
      </c>
      <c r="R7" s="31">
        <f>Q7</f>
        <v>280524</v>
      </c>
      <c r="S7" s="31" t="e">
        <f>R7+T6</f>
        <v>#REF!</v>
      </c>
      <c r="T7" s="31" t="e">
        <f t="shared" si="4"/>
        <v>#REF!</v>
      </c>
      <c r="U7" s="33" t="e">
        <f t="shared" si="0"/>
        <v>#REF!</v>
      </c>
      <c r="V7" s="36"/>
    </row>
    <row r="8" spans="1:22" s="34" customFormat="1" ht="16.5" customHeight="1">
      <c r="A8" s="316"/>
      <c r="B8" s="23" t="s">
        <v>42</v>
      </c>
      <c r="C8" s="24">
        <v>8</v>
      </c>
      <c r="D8" s="25">
        <v>14</v>
      </c>
      <c r="E8" s="26">
        <v>114</v>
      </c>
      <c r="F8" s="27">
        <v>37</v>
      </c>
      <c r="G8" s="28">
        <f t="shared" ref="G8:G16" si="6">C8*D8*E8*F8</f>
        <v>472416</v>
      </c>
      <c r="H8" s="28">
        <v>19692</v>
      </c>
      <c r="I8" s="28">
        <f t="shared" si="1"/>
        <v>492108</v>
      </c>
      <c r="J8" s="28"/>
      <c r="K8" s="35">
        <v>495000</v>
      </c>
      <c r="L8" s="35">
        <v>355295</v>
      </c>
      <c r="M8" s="28">
        <v>222136</v>
      </c>
      <c r="N8" s="28">
        <v>215177</v>
      </c>
      <c r="O8" s="28"/>
      <c r="P8" s="28">
        <v>0</v>
      </c>
      <c r="Q8" s="31">
        <f t="shared" si="5"/>
        <v>234869</v>
      </c>
      <c r="R8" s="31">
        <f t="shared" si="3"/>
        <v>234869</v>
      </c>
      <c r="S8" s="31" t="e">
        <f t="shared" ref="S8:S16" si="7">R8+T7</f>
        <v>#REF!</v>
      </c>
      <c r="T8" s="31" t="e">
        <f t="shared" si="4"/>
        <v>#REF!</v>
      </c>
      <c r="U8" s="33" t="e">
        <f t="shared" si="0"/>
        <v>#REF!</v>
      </c>
      <c r="V8" s="36"/>
    </row>
    <row r="9" spans="1:22" s="34" customFormat="1" ht="17.25" customHeight="1">
      <c r="A9" s="316"/>
      <c r="B9" s="23" t="s">
        <v>43</v>
      </c>
      <c r="C9" s="24">
        <v>8</v>
      </c>
      <c r="D9" s="37">
        <v>12</v>
      </c>
      <c r="E9" s="26">
        <v>116</v>
      </c>
      <c r="F9" s="27">
        <v>37</v>
      </c>
      <c r="G9" s="28">
        <f t="shared" si="6"/>
        <v>412032</v>
      </c>
      <c r="H9" s="28">
        <v>50000</v>
      </c>
      <c r="I9" s="28">
        <f t="shared" si="1"/>
        <v>462032</v>
      </c>
      <c r="J9" s="28"/>
      <c r="K9" s="35">
        <v>425000</v>
      </c>
      <c r="L9" s="35">
        <v>258285</v>
      </c>
      <c r="M9" s="28">
        <v>332053</v>
      </c>
      <c r="N9" s="28">
        <v>320647</v>
      </c>
      <c r="O9" s="28"/>
      <c r="P9" s="28">
        <v>272355</v>
      </c>
      <c r="Q9" s="31">
        <f t="shared" si="5"/>
        <v>643002</v>
      </c>
      <c r="R9" s="31">
        <f t="shared" si="3"/>
        <v>643002</v>
      </c>
      <c r="S9" s="31" t="e">
        <f t="shared" si="7"/>
        <v>#REF!</v>
      </c>
      <c r="T9" s="31" t="e">
        <f t="shared" si="4"/>
        <v>#REF!</v>
      </c>
      <c r="U9" s="33" t="e">
        <f t="shared" si="0"/>
        <v>#REF!</v>
      </c>
    </row>
    <row r="10" spans="1:22" s="34" customFormat="1" ht="17.25" customHeight="1">
      <c r="A10" s="316"/>
      <c r="B10" s="38" t="s">
        <v>44</v>
      </c>
      <c r="C10" s="24">
        <v>8</v>
      </c>
      <c r="D10" s="39">
        <v>13</v>
      </c>
      <c r="E10" s="26">
        <v>118</v>
      </c>
      <c r="F10" s="27">
        <v>37</v>
      </c>
      <c r="G10" s="28">
        <f t="shared" si="6"/>
        <v>454064</v>
      </c>
      <c r="H10" s="28">
        <v>50000</v>
      </c>
      <c r="I10" s="28">
        <f t="shared" si="1"/>
        <v>504064</v>
      </c>
      <c r="J10" s="28"/>
      <c r="K10" s="35">
        <v>465000</v>
      </c>
      <c r="L10" s="35">
        <v>156582</v>
      </c>
      <c r="M10" s="28">
        <v>178732</v>
      </c>
      <c r="N10" s="28">
        <v>171727</v>
      </c>
      <c r="O10" s="28"/>
      <c r="P10" s="28">
        <v>199930</v>
      </c>
      <c r="Q10" s="31">
        <f t="shared" si="5"/>
        <v>421657</v>
      </c>
      <c r="R10" s="31">
        <f t="shared" si="3"/>
        <v>421657</v>
      </c>
      <c r="S10" s="31" t="e">
        <f t="shared" si="7"/>
        <v>#REF!</v>
      </c>
      <c r="T10" s="31" t="e">
        <f t="shared" si="4"/>
        <v>#REF!</v>
      </c>
      <c r="U10" s="41" t="e">
        <f t="shared" si="0"/>
        <v>#REF!</v>
      </c>
    </row>
    <row r="11" spans="1:22" s="42" customFormat="1" ht="17.25" customHeight="1">
      <c r="A11" s="316"/>
      <c r="B11" s="23" t="s">
        <v>45</v>
      </c>
      <c r="C11" s="24">
        <v>8</v>
      </c>
      <c r="D11" s="25">
        <v>13</v>
      </c>
      <c r="E11" s="26">
        <v>118</v>
      </c>
      <c r="F11" s="27">
        <v>37</v>
      </c>
      <c r="G11" s="28">
        <f t="shared" si="6"/>
        <v>454064</v>
      </c>
      <c r="H11" s="28">
        <v>50000</v>
      </c>
      <c r="I11" s="28">
        <f t="shared" si="1"/>
        <v>504064</v>
      </c>
      <c r="J11" s="28"/>
      <c r="K11" s="35">
        <v>455000</v>
      </c>
      <c r="L11" s="35">
        <v>72347</v>
      </c>
      <c r="M11" s="28">
        <v>110983</v>
      </c>
      <c r="N11" s="28">
        <v>108096</v>
      </c>
      <c r="O11" s="28"/>
      <c r="P11" s="28">
        <v>341420</v>
      </c>
      <c r="Q11" s="31">
        <f t="shared" si="5"/>
        <v>499516</v>
      </c>
      <c r="R11" s="31">
        <f t="shared" si="3"/>
        <v>499516</v>
      </c>
      <c r="S11" s="31" t="e">
        <f t="shared" si="7"/>
        <v>#REF!</v>
      </c>
      <c r="T11" s="31" t="e">
        <f t="shared" si="4"/>
        <v>#REF!</v>
      </c>
      <c r="U11" s="41" t="e">
        <f t="shared" si="0"/>
        <v>#REF!</v>
      </c>
    </row>
    <row r="12" spans="1:22" s="42" customFormat="1" ht="17.25" customHeight="1">
      <c r="A12" s="316"/>
      <c r="B12" s="23" t="s">
        <v>46</v>
      </c>
      <c r="C12" s="24">
        <v>8</v>
      </c>
      <c r="D12" s="25">
        <v>14</v>
      </c>
      <c r="E12" s="26">
        <v>118</v>
      </c>
      <c r="F12" s="27">
        <v>37</v>
      </c>
      <c r="G12" s="28">
        <f t="shared" si="6"/>
        <v>488992</v>
      </c>
      <c r="H12" s="28">
        <v>50000</v>
      </c>
      <c r="I12" s="28">
        <f t="shared" si="1"/>
        <v>538992</v>
      </c>
      <c r="J12" s="28"/>
      <c r="K12" s="35">
        <v>490000</v>
      </c>
      <c r="L12" s="35">
        <v>16258</v>
      </c>
      <c r="M12" s="28">
        <v>20397</v>
      </c>
      <c r="N12" s="28">
        <v>19512</v>
      </c>
      <c r="O12" s="28"/>
      <c r="P12" s="28">
        <v>165484</v>
      </c>
      <c r="Q12" s="31">
        <f t="shared" si="5"/>
        <v>234996</v>
      </c>
      <c r="R12" s="31">
        <f t="shared" si="3"/>
        <v>234996</v>
      </c>
      <c r="S12" s="31" t="e">
        <f t="shared" si="7"/>
        <v>#REF!</v>
      </c>
      <c r="T12" s="31" t="e">
        <f t="shared" si="4"/>
        <v>#REF!</v>
      </c>
      <c r="U12" s="41" t="e">
        <f t="shared" si="0"/>
        <v>#REF!</v>
      </c>
    </row>
    <row r="13" spans="1:22" s="42" customFormat="1" ht="17.25" customHeight="1">
      <c r="A13" s="316"/>
      <c r="B13" s="23" t="s">
        <v>47</v>
      </c>
      <c r="C13" s="24">
        <v>8</v>
      </c>
      <c r="D13" s="25">
        <v>12</v>
      </c>
      <c r="E13" s="26">
        <v>118</v>
      </c>
      <c r="F13" s="27">
        <v>37</v>
      </c>
      <c r="G13" s="28">
        <f t="shared" si="6"/>
        <v>419136</v>
      </c>
      <c r="H13" s="28">
        <v>50000</v>
      </c>
      <c r="I13" s="28">
        <f t="shared" si="1"/>
        <v>469136</v>
      </c>
      <c r="J13" s="28"/>
      <c r="K13" s="35">
        <v>410000</v>
      </c>
      <c r="L13" s="35">
        <v>6162</v>
      </c>
      <c r="M13" s="28">
        <v>24511</v>
      </c>
      <c r="N13" s="28">
        <v>28497</v>
      </c>
      <c r="O13" s="28"/>
      <c r="P13" s="28">
        <v>424791</v>
      </c>
      <c r="Q13" s="31">
        <f t="shared" si="2"/>
        <v>453288</v>
      </c>
      <c r="R13" s="31">
        <f t="shared" si="3"/>
        <v>453288</v>
      </c>
      <c r="S13" s="31" t="e">
        <f t="shared" si="7"/>
        <v>#REF!</v>
      </c>
      <c r="T13" s="31" t="e">
        <f t="shared" si="4"/>
        <v>#REF!</v>
      </c>
      <c r="U13" s="41" t="e">
        <f t="shared" si="0"/>
        <v>#REF!</v>
      </c>
    </row>
    <row r="14" spans="1:22" s="42" customFormat="1" ht="17.25" customHeight="1">
      <c r="A14" s="316"/>
      <c r="B14" s="23" t="s">
        <v>48</v>
      </c>
      <c r="C14" s="24">
        <v>8</v>
      </c>
      <c r="D14" s="25">
        <v>13</v>
      </c>
      <c r="E14" s="26">
        <v>118</v>
      </c>
      <c r="F14" s="27">
        <v>37</v>
      </c>
      <c r="G14" s="28">
        <f t="shared" si="6"/>
        <v>454064</v>
      </c>
      <c r="H14" s="28">
        <v>50000</v>
      </c>
      <c r="I14" s="28">
        <f t="shared" si="1"/>
        <v>504064</v>
      </c>
      <c r="J14" s="28"/>
      <c r="K14" s="35">
        <v>455000</v>
      </c>
      <c r="L14" s="35">
        <v>692</v>
      </c>
      <c r="M14" s="28">
        <v>6269</v>
      </c>
      <c r="N14" s="28">
        <v>6269</v>
      </c>
      <c r="O14" s="28"/>
      <c r="P14" s="28">
        <v>220708</v>
      </c>
      <c r="Q14" s="31">
        <f t="shared" si="2"/>
        <v>226977</v>
      </c>
      <c r="R14" s="31">
        <f t="shared" si="3"/>
        <v>226977</v>
      </c>
      <c r="S14" s="31" t="e">
        <f t="shared" si="7"/>
        <v>#REF!</v>
      </c>
      <c r="T14" s="31" t="e">
        <f t="shared" si="4"/>
        <v>#REF!</v>
      </c>
      <c r="U14" s="41" t="e">
        <f t="shared" si="0"/>
        <v>#REF!</v>
      </c>
    </row>
    <row r="15" spans="1:22" s="42" customFormat="1" ht="17.25" customHeight="1">
      <c r="A15" s="316"/>
      <c r="B15" s="23" t="s">
        <v>49</v>
      </c>
      <c r="C15" s="24">
        <v>8</v>
      </c>
      <c r="D15" s="43">
        <v>6</v>
      </c>
      <c r="E15" s="26">
        <v>118</v>
      </c>
      <c r="F15" s="27">
        <v>37</v>
      </c>
      <c r="G15" s="28">
        <f t="shared" si="6"/>
        <v>209568</v>
      </c>
      <c r="H15" s="28"/>
      <c r="I15" s="28">
        <f t="shared" si="1"/>
        <v>209568</v>
      </c>
      <c r="J15" s="28"/>
      <c r="K15" s="35">
        <v>210000</v>
      </c>
      <c r="L15" s="35">
        <v>941</v>
      </c>
      <c r="M15" s="28">
        <v>1617</v>
      </c>
      <c r="N15" s="28">
        <v>1247</v>
      </c>
      <c r="O15" s="28"/>
      <c r="P15" s="28">
        <v>465482</v>
      </c>
      <c r="Q15" s="31">
        <f t="shared" si="2"/>
        <v>466729</v>
      </c>
      <c r="R15" s="31">
        <f t="shared" si="3"/>
        <v>466729</v>
      </c>
      <c r="S15" s="31" t="e">
        <f t="shared" si="7"/>
        <v>#REF!</v>
      </c>
      <c r="T15" s="31" t="e">
        <f t="shared" si="4"/>
        <v>#REF!</v>
      </c>
      <c r="U15" s="41" t="e">
        <f t="shared" si="0"/>
        <v>#REF!</v>
      </c>
    </row>
    <row r="16" spans="1:22" s="42" customFormat="1" ht="17.25" customHeight="1">
      <c r="A16" s="316"/>
      <c r="B16" s="23" t="s">
        <v>50</v>
      </c>
      <c r="C16" s="24">
        <v>8</v>
      </c>
      <c r="D16" s="43">
        <v>9</v>
      </c>
      <c r="E16" s="26">
        <v>118</v>
      </c>
      <c r="F16" s="27">
        <v>37</v>
      </c>
      <c r="G16" s="28">
        <f t="shared" si="6"/>
        <v>314352</v>
      </c>
      <c r="H16" s="28"/>
      <c r="I16" s="28">
        <f t="shared" si="1"/>
        <v>314352</v>
      </c>
      <c r="J16" s="28"/>
      <c r="K16" s="35">
        <v>310000</v>
      </c>
      <c r="L16" s="35">
        <v>0</v>
      </c>
      <c r="M16" s="28">
        <v>2771</v>
      </c>
      <c r="N16" s="28">
        <v>2771</v>
      </c>
      <c r="O16" s="28"/>
      <c r="P16" s="28">
        <v>229397</v>
      </c>
      <c r="Q16" s="31">
        <f t="shared" si="2"/>
        <v>232168</v>
      </c>
      <c r="R16" s="31">
        <f t="shared" si="3"/>
        <v>232168</v>
      </c>
      <c r="S16" s="31" t="e">
        <f t="shared" si="7"/>
        <v>#REF!</v>
      </c>
      <c r="T16" s="31" t="e">
        <f t="shared" si="4"/>
        <v>#REF!</v>
      </c>
      <c r="U16" s="41" t="e">
        <f t="shared" si="0"/>
        <v>#REF!</v>
      </c>
    </row>
    <row r="17" spans="1:21" s="42" customFormat="1" ht="19.5" customHeight="1">
      <c r="A17" s="317" t="s">
        <v>51</v>
      </c>
      <c r="B17" s="318"/>
      <c r="C17" s="44"/>
      <c r="D17" s="45"/>
      <c r="E17" s="35"/>
      <c r="F17" s="45"/>
      <c r="G17" s="35">
        <f>SUM(G5:G16)</f>
        <v>4976904</v>
      </c>
      <c r="H17" s="35">
        <f>SUM(H5:H16)</f>
        <v>352314</v>
      </c>
      <c r="I17" s="35">
        <f>SUM(I5:I16)</f>
        <v>5329218</v>
      </c>
      <c r="J17" s="35"/>
      <c r="K17" s="35">
        <f>SUM(K5:K16)</f>
        <v>5060000</v>
      </c>
      <c r="L17" s="46">
        <f>SUM(L5:L16)</f>
        <v>1994527</v>
      </c>
      <c r="M17" s="46">
        <f>SUM(M5:M16)</f>
        <v>2146189</v>
      </c>
      <c r="N17" s="46">
        <f>SUM(N5:N16)</f>
        <v>1908268</v>
      </c>
      <c r="O17" s="46"/>
      <c r="P17" s="46">
        <f>SUM(P5:P16)</f>
        <v>2319567</v>
      </c>
      <c r="Q17" s="46">
        <f>SUM(Q5:Q16)</f>
        <v>4487545</v>
      </c>
      <c r="R17" s="46">
        <f>SUM(R5:R16)</f>
        <v>4487545</v>
      </c>
      <c r="S17" s="47"/>
      <c r="T17" s="49"/>
      <c r="U17" s="51"/>
    </row>
    <row r="18" spans="1:21" s="60" customFormat="1" ht="22.5" customHeight="1">
      <c r="A18" s="319" t="s">
        <v>147</v>
      </c>
      <c r="B18" s="320"/>
      <c r="C18" s="320"/>
      <c r="D18" s="320"/>
      <c r="E18" s="320"/>
      <c r="F18" s="320" t="s">
        <v>207</v>
      </c>
      <c r="G18" s="320"/>
      <c r="H18" s="320"/>
      <c r="I18" s="320"/>
      <c r="J18" s="320"/>
      <c r="K18" s="321"/>
      <c r="L18" s="189">
        <f>L17/K17</f>
        <v>0.39417529644268773</v>
      </c>
      <c r="M18" s="53">
        <f>M17/K17</f>
        <v>0.42414802371541505</v>
      </c>
      <c r="N18" s="53"/>
      <c r="O18" s="53"/>
      <c r="P18" s="54">
        <f>P17/K17</f>
        <v>0.45841245059288538</v>
      </c>
      <c r="Q18" s="55"/>
      <c r="R18" s="56"/>
      <c r="S18" s="57"/>
      <c r="T18" s="59"/>
      <c r="U18" s="59"/>
    </row>
    <row r="19" spans="1:21" s="60" customFormat="1" ht="17.25" hidden="1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62"/>
      <c r="O19" s="62"/>
      <c r="P19" s="63"/>
      <c r="Q19" s="64"/>
      <c r="R19" s="65"/>
      <c r="S19" s="66"/>
      <c r="T19" s="66"/>
      <c r="U19" s="66"/>
    </row>
    <row r="20" spans="1:21" s="60" customFormat="1" ht="17.25" hidden="1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2"/>
      <c r="N20" s="62"/>
      <c r="O20" s="62"/>
      <c r="P20" s="63"/>
      <c r="Q20" s="64"/>
      <c r="R20" s="65"/>
      <c r="S20" s="66"/>
      <c r="T20" s="66"/>
      <c r="U20" s="66"/>
    </row>
    <row r="21" spans="1:21">
      <c r="E21" s="68"/>
      <c r="P21" s="70"/>
      <c r="R21" s="70"/>
      <c r="S21" s="71"/>
    </row>
    <row r="22" spans="1:21">
      <c r="Q22" s="61" t="s">
        <v>209</v>
      </c>
    </row>
    <row r="23" spans="1:21">
      <c r="P23" s="69" t="s">
        <v>210</v>
      </c>
    </row>
    <row r="215" spans="9:9">
      <c r="I215" s="61">
        <v>2</v>
      </c>
    </row>
  </sheetData>
  <mergeCells count="23">
    <mergeCell ref="U2:U4"/>
    <mergeCell ref="M3:N3"/>
    <mergeCell ref="A5:A16"/>
    <mergeCell ref="A17:B17"/>
    <mergeCell ref="A18:K18"/>
    <mergeCell ref="M2:O2"/>
    <mergeCell ref="P2:P4"/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79"/>
  <sheetViews>
    <sheetView zoomScale="85" zoomScaleNormal="85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F5" sqref="F5"/>
    </sheetView>
  </sheetViews>
  <sheetFormatPr defaultColWidth="10.6640625" defaultRowHeight="15.6"/>
  <cols>
    <col min="1" max="1" width="9.44140625" style="61" customWidth="1"/>
    <col min="2" max="2" width="9.21875" style="61" customWidth="1"/>
    <col min="3" max="3" width="7.21875" style="61" customWidth="1"/>
    <col min="4" max="4" width="7.33203125" style="61" customWidth="1"/>
    <col min="5" max="5" width="8.44140625" style="61" customWidth="1"/>
    <col min="6" max="7" width="12" style="61" customWidth="1"/>
    <col min="8" max="8" width="10.109375" style="61" customWidth="1"/>
    <col min="9" max="10" width="11.77734375" style="61" customWidth="1"/>
    <col min="11" max="11" width="11.88671875" style="61" customWidth="1"/>
    <col min="12" max="12" width="10.88671875" style="61" customWidth="1"/>
    <col min="13" max="13" width="14.44140625" style="69" customWidth="1"/>
    <col min="14" max="15" width="16.44140625" style="69" customWidth="1"/>
    <col min="16" max="16" width="13.88671875" style="69" customWidth="1"/>
    <col min="17" max="17" width="13" style="61" customWidth="1"/>
    <col min="18" max="18" width="13.109375" style="61" customWidth="1"/>
    <col min="19" max="19" width="15.6640625" style="61" customWidth="1"/>
    <col min="20" max="20" width="11.6640625" style="61" customWidth="1"/>
    <col min="21" max="21" width="9.33203125" style="61" customWidth="1"/>
    <col min="22" max="22" width="14.109375" style="61" customWidth="1"/>
    <col min="23" max="16384" width="10.6640625" style="61"/>
  </cols>
  <sheetData>
    <row r="1" spans="1:22" ht="77.25" customHeight="1">
      <c r="A1" s="198" t="s">
        <v>215</v>
      </c>
      <c r="B1" s="1"/>
      <c r="C1" s="1"/>
      <c r="D1" s="1"/>
      <c r="E1" s="1"/>
      <c r="F1" s="1"/>
      <c r="G1" s="201" t="s">
        <v>217</v>
      </c>
      <c r="H1" s="201" t="s">
        <v>216</v>
      </c>
      <c r="I1" s="201"/>
      <c r="J1" s="201"/>
      <c r="K1" s="201"/>
      <c r="L1" s="202"/>
      <c r="M1" s="202" t="s">
        <v>218</v>
      </c>
      <c r="N1" s="202" t="s">
        <v>220</v>
      </c>
      <c r="O1" s="201"/>
      <c r="P1" s="202"/>
      <c r="Q1" s="201" t="s">
        <v>219</v>
      </c>
      <c r="R1" s="201" t="s">
        <v>219</v>
      </c>
      <c r="S1" s="201"/>
      <c r="T1" s="203">
        <f ca="1">NOW()</f>
        <v>44467.45394861111</v>
      </c>
      <c r="U1" s="204"/>
    </row>
    <row r="2" spans="1:22" s="181" customFormat="1" ht="28.5" customHeight="1">
      <c r="A2" s="325" t="s">
        <v>1</v>
      </c>
      <c r="B2" s="325" t="s">
        <v>154</v>
      </c>
      <c r="C2" s="325" t="s">
        <v>155</v>
      </c>
      <c r="D2" s="325" t="s">
        <v>156</v>
      </c>
      <c r="E2" s="325" t="s">
        <v>157</v>
      </c>
      <c r="F2" s="325" t="s">
        <v>158</v>
      </c>
      <c r="G2" s="322" t="s">
        <v>159</v>
      </c>
      <c r="H2" s="325" t="s">
        <v>141</v>
      </c>
      <c r="I2" s="325" t="s">
        <v>161</v>
      </c>
      <c r="J2" s="308" t="s">
        <v>191</v>
      </c>
      <c r="K2" s="322" t="s">
        <v>160</v>
      </c>
      <c r="L2" s="322" t="s">
        <v>152</v>
      </c>
      <c r="M2" s="312" t="s">
        <v>12</v>
      </c>
      <c r="N2" s="313"/>
      <c r="O2" s="313"/>
      <c r="P2" s="332" t="s">
        <v>212</v>
      </c>
      <c r="Q2" s="325" t="s">
        <v>211</v>
      </c>
      <c r="R2" s="325" t="s">
        <v>164</v>
      </c>
      <c r="S2" s="328" t="s">
        <v>165</v>
      </c>
      <c r="T2" s="325" t="s">
        <v>17</v>
      </c>
      <c r="U2" s="325" t="s">
        <v>18</v>
      </c>
    </row>
    <row r="3" spans="1:22" s="181" customFormat="1" ht="30.75" customHeight="1">
      <c r="A3" s="326"/>
      <c r="B3" s="326"/>
      <c r="C3" s="326"/>
      <c r="D3" s="326"/>
      <c r="E3" s="326"/>
      <c r="F3" s="326"/>
      <c r="G3" s="323"/>
      <c r="H3" s="326"/>
      <c r="I3" s="326"/>
      <c r="J3" s="331"/>
      <c r="K3" s="323"/>
      <c r="L3" s="323"/>
      <c r="M3" s="314" t="s">
        <v>19</v>
      </c>
      <c r="N3" s="314"/>
      <c r="O3" s="191" t="s">
        <v>20</v>
      </c>
      <c r="P3" s="333"/>
      <c r="Q3" s="326"/>
      <c r="R3" s="326"/>
      <c r="S3" s="329"/>
      <c r="T3" s="326"/>
      <c r="U3" s="326"/>
    </row>
    <row r="4" spans="1:22" s="168" customFormat="1" ht="49.5" customHeight="1">
      <c r="A4" s="327"/>
      <c r="B4" s="327"/>
      <c r="C4" s="327"/>
      <c r="D4" s="327"/>
      <c r="E4" s="327"/>
      <c r="F4" s="327"/>
      <c r="G4" s="324"/>
      <c r="H4" s="327"/>
      <c r="I4" s="327"/>
      <c r="J4" s="309"/>
      <c r="K4" s="324"/>
      <c r="L4" s="324"/>
      <c r="M4" s="191" t="s">
        <v>153</v>
      </c>
      <c r="N4" s="191" t="s">
        <v>162</v>
      </c>
      <c r="O4" s="191" t="s">
        <v>163</v>
      </c>
      <c r="P4" s="334"/>
      <c r="Q4" s="327"/>
      <c r="R4" s="327"/>
      <c r="S4" s="330"/>
      <c r="T4" s="327"/>
      <c r="U4" s="327"/>
    </row>
    <row r="5" spans="1:22" s="34" customFormat="1" ht="17.25" customHeight="1">
      <c r="A5" s="315" t="s">
        <v>38</v>
      </c>
      <c r="B5" s="171" t="s">
        <v>39</v>
      </c>
      <c r="C5" s="172">
        <f>G5/F5/E5/D5</f>
        <v>8.2866705755887811</v>
      </c>
      <c r="D5" s="173">
        <v>12</v>
      </c>
      <c r="E5" s="172">
        <v>113.7</v>
      </c>
      <c r="F5" s="175">
        <v>36</v>
      </c>
      <c r="G5" s="176">
        <v>407028</v>
      </c>
      <c r="H5" s="176"/>
      <c r="I5" s="176">
        <f t="shared" ref="I5:I12" si="0">SUM(G5)</f>
        <v>407028</v>
      </c>
      <c r="J5" s="176">
        <v>0</v>
      </c>
      <c r="K5" s="177">
        <v>430000</v>
      </c>
      <c r="L5" s="177">
        <v>427440</v>
      </c>
      <c r="M5" s="176">
        <v>537554</v>
      </c>
      <c r="N5" s="196"/>
      <c r="O5" s="196">
        <v>0</v>
      </c>
      <c r="P5" s="176">
        <v>0</v>
      </c>
      <c r="Q5" s="178">
        <f>N5+O5+P5</f>
        <v>0</v>
      </c>
      <c r="R5" s="178">
        <f t="shared" ref="R5:R12" si="1">G5</f>
        <v>407028</v>
      </c>
      <c r="S5" s="178" t="e">
        <f>R5+#REF!</f>
        <v>#REF!</v>
      </c>
      <c r="T5" s="178" t="e">
        <f t="shared" ref="T5:T16" si="2">S5-G5+J5</f>
        <v>#REF!</v>
      </c>
      <c r="U5" s="179" t="e">
        <f t="shared" ref="U5:U16" si="3">T5/C5/E5/F5</f>
        <v>#REF!</v>
      </c>
    </row>
    <row r="6" spans="1:22" s="34" customFormat="1" ht="17.25" customHeight="1">
      <c r="A6" s="316"/>
      <c r="B6" s="171" t="s">
        <v>151</v>
      </c>
      <c r="C6" s="172">
        <f>G6/F6/E6/D6</f>
        <v>8.3660805645840846</v>
      </c>
      <c r="D6" s="173">
        <v>13</v>
      </c>
      <c r="E6" s="172">
        <v>113.6</v>
      </c>
      <c r="F6" s="175">
        <v>36</v>
      </c>
      <c r="G6" s="176">
        <v>444781</v>
      </c>
      <c r="H6" s="176">
        <v>2874</v>
      </c>
      <c r="I6" s="176">
        <f t="shared" si="0"/>
        <v>444781</v>
      </c>
      <c r="J6" s="176">
        <v>0</v>
      </c>
      <c r="K6" s="180">
        <v>465000</v>
      </c>
      <c r="L6" s="180">
        <v>464901</v>
      </c>
      <c r="M6" s="176">
        <v>466809</v>
      </c>
      <c r="N6" s="196"/>
      <c r="O6" s="196"/>
      <c r="P6" s="176">
        <v>0</v>
      </c>
      <c r="Q6" s="178">
        <f>N6+O6+P6</f>
        <v>0</v>
      </c>
      <c r="R6" s="178">
        <f t="shared" si="1"/>
        <v>444781</v>
      </c>
      <c r="S6" s="178" t="e">
        <f>R6+T5</f>
        <v>#REF!</v>
      </c>
      <c r="T6" s="178" t="e">
        <f t="shared" si="2"/>
        <v>#REF!</v>
      </c>
      <c r="U6" s="179" t="e">
        <f>T6/C6/E6/F6</f>
        <v>#REF!</v>
      </c>
      <c r="V6" s="195"/>
    </row>
    <row r="7" spans="1:22" s="34" customFormat="1" ht="17.25" customHeight="1">
      <c r="A7" s="316"/>
      <c r="B7" s="171" t="s">
        <v>41</v>
      </c>
      <c r="C7" s="172">
        <v>8</v>
      </c>
      <c r="D7" s="173">
        <v>13</v>
      </c>
      <c r="E7" s="174">
        <f>G7/F7/D7/C7</f>
        <v>114.74155011655012</v>
      </c>
      <c r="F7" s="175">
        <v>33</v>
      </c>
      <c r="G7" s="176">
        <v>393793</v>
      </c>
      <c r="H7" s="176">
        <v>27714</v>
      </c>
      <c r="I7" s="176">
        <f>SUM(G7)</f>
        <v>393793</v>
      </c>
      <c r="J7" s="176">
        <v>0</v>
      </c>
      <c r="K7" s="180">
        <v>450000</v>
      </c>
      <c r="L7" s="180">
        <v>389857</v>
      </c>
      <c r="M7" s="176">
        <v>287973</v>
      </c>
      <c r="N7" s="196"/>
      <c r="O7" s="196"/>
      <c r="P7" s="176">
        <v>0</v>
      </c>
      <c r="Q7" s="178">
        <f>N7+O7+P7</f>
        <v>0</v>
      </c>
      <c r="R7" s="178">
        <f t="shared" si="1"/>
        <v>393793</v>
      </c>
      <c r="S7" s="178" t="e">
        <f>R7+T6</f>
        <v>#REF!</v>
      </c>
      <c r="T7" s="178" t="e">
        <f t="shared" si="2"/>
        <v>#REF!</v>
      </c>
      <c r="U7" s="179" t="e">
        <f t="shared" si="3"/>
        <v>#REF!</v>
      </c>
      <c r="V7" s="36"/>
    </row>
    <row r="8" spans="1:22" s="34" customFormat="1" ht="16.5" customHeight="1">
      <c r="A8" s="316"/>
      <c r="B8" s="171" t="s">
        <v>42</v>
      </c>
      <c r="C8" s="172">
        <v>8</v>
      </c>
      <c r="D8" s="173">
        <v>14</v>
      </c>
      <c r="E8" s="174">
        <v>115</v>
      </c>
      <c r="F8" s="175">
        <v>33</v>
      </c>
      <c r="G8" s="176">
        <v>440326</v>
      </c>
      <c r="H8" s="176">
        <v>27174</v>
      </c>
      <c r="I8" s="176">
        <f t="shared" si="0"/>
        <v>440326</v>
      </c>
      <c r="J8" s="176">
        <v>0</v>
      </c>
      <c r="K8" s="180">
        <v>495000</v>
      </c>
      <c r="L8" s="180">
        <v>395677</v>
      </c>
      <c r="M8" s="176">
        <v>215858</v>
      </c>
      <c r="N8" s="196"/>
      <c r="O8" s="196"/>
      <c r="P8" s="176">
        <v>0</v>
      </c>
      <c r="Q8" s="178">
        <f t="shared" ref="Q8:Q16" si="4">N8+O8+P8</f>
        <v>0</v>
      </c>
      <c r="R8" s="178">
        <f t="shared" si="1"/>
        <v>440326</v>
      </c>
      <c r="S8" s="178" t="e">
        <f t="shared" ref="S8:S16" si="5">R8+T7</f>
        <v>#REF!</v>
      </c>
      <c r="T8" s="178" t="e">
        <f t="shared" si="2"/>
        <v>#REF!</v>
      </c>
      <c r="U8" s="179" t="e">
        <f t="shared" si="3"/>
        <v>#REF!</v>
      </c>
      <c r="V8" s="36"/>
    </row>
    <row r="9" spans="1:22" s="34" customFormat="1" ht="16.95" customHeight="1">
      <c r="A9" s="316"/>
      <c r="B9" s="171" t="s">
        <v>43</v>
      </c>
      <c r="C9" s="197">
        <v>8.8000000000000007</v>
      </c>
      <c r="D9" s="186">
        <v>12</v>
      </c>
      <c r="E9" s="174">
        <f>G9/F9/D9/C9</f>
        <v>115.46676441837731</v>
      </c>
      <c r="F9" s="175">
        <v>31</v>
      </c>
      <c r="G9" s="176">
        <v>377992</v>
      </c>
      <c r="H9" s="176">
        <v>38615</v>
      </c>
      <c r="I9" s="176">
        <f t="shared" si="0"/>
        <v>377992</v>
      </c>
      <c r="J9" s="176">
        <v>0</v>
      </c>
      <c r="K9" s="180">
        <v>425000</v>
      </c>
      <c r="L9" s="180">
        <v>398241</v>
      </c>
      <c r="M9" s="176">
        <v>504586</v>
      </c>
      <c r="N9" s="196"/>
      <c r="O9" s="196"/>
      <c r="P9" s="176">
        <v>0</v>
      </c>
      <c r="Q9" s="178">
        <f t="shared" si="4"/>
        <v>0</v>
      </c>
      <c r="R9" s="178">
        <f t="shared" si="1"/>
        <v>377992</v>
      </c>
      <c r="S9" s="178" t="e">
        <f>R9+T8</f>
        <v>#REF!</v>
      </c>
      <c r="T9" s="178" t="e">
        <f t="shared" si="2"/>
        <v>#REF!</v>
      </c>
      <c r="U9" s="179" t="e">
        <f t="shared" si="3"/>
        <v>#REF!</v>
      </c>
    </row>
    <row r="10" spans="1:22" s="34" customFormat="1" ht="16.95" customHeight="1">
      <c r="A10" s="316"/>
      <c r="B10" s="171" t="s">
        <v>44</v>
      </c>
      <c r="C10" s="197">
        <v>8.8000000000000007</v>
      </c>
      <c r="D10" s="186">
        <v>13</v>
      </c>
      <c r="E10" s="174">
        <f>G10/F10/D10/C10</f>
        <v>120.56648996165123</v>
      </c>
      <c r="F10" s="175">
        <v>31</v>
      </c>
      <c r="G10" s="176">
        <v>427577</v>
      </c>
      <c r="H10" s="176">
        <v>46860</v>
      </c>
      <c r="I10" s="176">
        <f t="shared" si="0"/>
        <v>427577</v>
      </c>
      <c r="J10" s="176">
        <v>0</v>
      </c>
      <c r="K10" s="180">
        <v>465000</v>
      </c>
      <c r="L10" s="180">
        <v>446815</v>
      </c>
      <c r="M10" s="176">
        <v>396388</v>
      </c>
      <c r="N10" s="176"/>
      <c r="O10" s="176"/>
      <c r="P10" s="176">
        <v>0</v>
      </c>
      <c r="Q10" s="178">
        <f t="shared" si="4"/>
        <v>0</v>
      </c>
      <c r="R10" s="178">
        <f t="shared" si="1"/>
        <v>427577</v>
      </c>
      <c r="S10" s="178" t="e">
        <f t="shared" si="5"/>
        <v>#REF!</v>
      </c>
      <c r="T10" s="178" t="e">
        <f t="shared" si="2"/>
        <v>#REF!</v>
      </c>
      <c r="U10" s="179" t="e">
        <f t="shared" si="3"/>
        <v>#REF!</v>
      </c>
    </row>
    <row r="11" spans="1:22" s="42" customFormat="1" ht="16.95" customHeight="1">
      <c r="A11" s="316"/>
      <c r="B11" s="171" t="s">
        <v>45</v>
      </c>
      <c r="C11" s="197">
        <v>8.8000000000000007</v>
      </c>
      <c r="D11" s="173">
        <v>13</v>
      </c>
      <c r="E11" s="174">
        <f>G11/F11/D11/C11</f>
        <v>123.18069027746445</v>
      </c>
      <c r="F11" s="175">
        <v>31</v>
      </c>
      <c r="G11" s="176">
        <v>436848</v>
      </c>
      <c r="H11" s="176">
        <f>53093+7841</f>
        <v>60934</v>
      </c>
      <c r="I11" s="176">
        <f t="shared" si="0"/>
        <v>436848</v>
      </c>
      <c r="J11" s="176">
        <v>0</v>
      </c>
      <c r="K11" s="180">
        <v>455000</v>
      </c>
      <c r="L11" s="180">
        <v>380413</v>
      </c>
      <c r="M11" s="176">
        <v>513175</v>
      </c>
      <c r="N11" s="176"/>
      <c r="O11" s="176"/>
      <c r="P11" s="176">
        <v>0</v>
      </c>
      <c r="Q11" s="178">
        <f t="shared" si="4"/>
        <v>0</v>
      </c>
      <c r="R11" s="178">
        <f t="shared" si="1"/>
        <v>436848</v>
      </c>
      <c r="S11" s="178" t="e">
        <f t="shared" si="5"/>
        <v>#REF!</v>
      </c>
      <c r="T11" s="178" t="e">
        <f t="shared" si="2"/>
        <v>#REF!</v>
      </c>
      <c r="U11" s="179" t="e">
        <f t="shared" si="3"/>
        <v>#REF!</v>
      </c>
    </row>
    <row r="12" spans="1:22" s="42" customFormat="1" ht="16.5" customHeight="1">
      <c r="A12" s="316"/>
      <c r="B12" s="171" t="s">
        <v>46</v>
      </c>
      <c r="C12" s="197">
        <v>8.3000000000000007</v>
      </c>
      <c r="D12" s="173">
        <v>14</v>
      </c>
      <c r="E12" s="174">
        <f>G12/F12/D12/C12</f>
        <v>130.24290711232024</v>
      </c>
      <c r="F12" s="175">
        <v>31</v>
      </c>
      <c r="G12" s="176">
        <v>469161</v>
      </c>
      <c r="H12" s="176">
        <v>55015</v>
      </c>
      <c r="I12" s="176">
        <f t="shared" si="0"/>
        <v>469161</v>
      </c>
      <c r="J12" s="176">
        <v>0</v>
      </c>
      <c r="K12" s="180">
        <v>490000</v>
      </c>
      <c r="L12" s="180">
        <v>461293</v>
      </c>
      <c r="M12" s="176">
        <v>151579</v>
      </c>
      <c r="N12" s="176"/>
      <c r="O12" s="176"/>
      <c r="P12" s="176">
        <v>0</v>
      </c>
      <c r="Q12" s="178">
        <f t="shared" si="4"/>
        <v>0</v>
      </c>
      <c r="R12" s="178">
        <f t="shared" si="1"/>
        <v>469161</v>
      </c>
      <c r="S12" s="178" t="e">
        <f t="shared" si="5"/>
        <v>#REF!</v>
      </c>
      <c r="T12" s="178" t="e">
        <f t="shared" si="2"/>
        <v>#REF!</v>
      </c>
      <c r="U12" s="179" t="e">
        <f>T12/C12/E12/F12</f>
        <v>#REF!</v>
      </c>
    </row>
    <row r="13" spans="1:22" s="42" customFormat="1" ht="16.5" customHeight="1">
      <c r="A13" s="316"/>
      <c r="B13" s="171" t="s">
        <v>47</v>
      </c>
      <c r="C13" s="172">
        <v>8</v>
      </c>
      <c r="D13" s="199">
        <v>11</v>
      </c>
      <c r="E13" s="174">
        <v>125</v>
      </c>
      <c r="F13" s="175">
        <v>31</v>
      </c>
      <c r="G13" s="176">
        <v>368646</v>
      </c>
      <c r="H13" s="176">
        <v>46662</v>
      </c>
      <c r="I13" s="176">
        <f>SUM(G13)</f>
        <v>368646</v>
      </c>
      <c r="J13" s="176">
        <v>0</v>
      </c>
      <c r="K13" s="180">
        <v>410000</v>
      </c>
      <c r="L13" s="180">
        <v>379298</v>
      </c>
      <c r="M13" s="176">
        <v>634720</v>
      </c>
      <c r="N13" s="196"/>
      <c r="O13" s="176"/>
      <c r="P13" s="176">
        <v>0</v>
      </c>
      <c r="Q13" s="178">
        <f t="shared" si="4"/>
        <v>0</v>
      </c>
      <c r="R13" s="178">
        <f>G13</f>
        <v>368646</v>
      </c>
      <c r="S13" s="178" t="e">
        <f t="shared" si="5"/>
        <v>#REF!</v>
      </c>
      <c r="T13" s="178" t="e">
        <f t="shared" si="2"/>
        <v>#REF!</v>
      </c>
      <c r="U13" s="179" t="e">
        <f t="shared" si="3"/>
        <v>#REF!</v>
      </c>
    </row>
    <row r="14" spans="1:22" s="42" customFormat="1" ht="17.25" customHeight="1">
      <c r="A14" s="316"/>
      <c r="B14" s="171" t="s">
        <v>48</v>
      </c>
      <c r="C14" s="172">
        <v>8</v>
      </c>
      <c r="D14" s="173">
        <v>13</v>
      </c>
      <c r="E14" s="174">
        <v>125</v>
      </c>
      <c r="F14" s="175">
        <v>31</v>
      </c>
      <c r="G14" s="176">
        <v>405992</v>
      </c>
      <c r="H14" s="176">
        <v>53357</v>
      </c>
      <c r="I14" s="176">
        <f>SUM(G14)</f>
        <v>405992</v>
      </c>
      <c r="J14" s="176">
        <v>0</v>
      </c>
      <c r="K14" s="180">
        <v>455000</v>
      </c>
      <c r="L14" s="180">
        <v>429608</v>
      </c>
      <c r="M14" s="176">
        <v>327825</v>
      </c>
      <c r="N14" s="200"/>
      <c r="O14" s="176"/>
      <c r="P14" s="176">
        <v>0</v>
      </c>
      <c r="Q14" s="178">
        <f>N14+O14+P14</f>
        <v>0</v>
      </c>
      <c r="R14" s="178">
        <f>G14</f>
        <v>405992</v>
      </c>
      <c r="S14" s="178" t="e">
        <f t="shared" si="5"/>
        <v>#REF!</v>
      </c>
      <c r="T14" s="178" t="e">
        <f t="shared" si="2"/>
        <v>#REF!</v>
      </c>
      <c r="U14" s="179" t="e">
        <f>T14/C14/E14/F14</f>
        <v>#REF!</v>
      </c>
    </row>
    <row r="15" spans="1:22" s="42" customFormat="1" ht="17.25" customHeight="1">
      <c r="A15" s="316"/>
      <c r="B15" s="171" t="s">
        <v>49</v>
      </c>
      <c r="C15" s="172">
        <v>8.8000000000000007</v>
      </c>
      <c r="D15" s="190">
        <v>5</v>
      </c>
      <c r="E15" s="174">
        <v>111</v>
      </c>
      <c r="F15" s="175">
        <v>29</v>
      </c>
      <c r="G15" s="176">
        <v>116741</v>
      </c>
      <c r="H15" s="176">
        <v>11454</v>
      </c>
      <c r="I15" s="176">
        <f>SUM(G15)</f>
        <v>116741</v>
      </c>
      <c r="J15" s="176"/>
      <c r="K15" s="180">
        <v>210000</v>
      </c>
      <c r="L15" s="180">
        <v>127481</v>
      </c>
      <c r="M15" s="176">
        <v>296584</v>
      </c>
      <c r="N15" s="176"/>
      <c r="O15" s="176"/>
      <c r="P15" s="176">
        <v>0</v>
      </c>
      <c r="Q15" s="178">
        <f>N15+O15+P15</f>
        <v>0</v>
      </c>
      <c r="R15" s="178">
        <f>G15</f>
        <v>116741</v>
      </c>
      <c r="S15" s="178" t="e">
        <f t="shared" si="5"/>
        <v>#REF!</v>
      </c>
      <c r="T15" s="178" t="e">
        <f t="shared" si="2"/>
        <v>#REF!</v>
      </c>
      <c r="U15" s="179" t="e">
        <f t="shared" si="3"/>
        <v>#REF!</v>
      </c>
    </row>
    <row r="16" spans="1:22" s="42" customFormat="1" ht="17.25" customHeight="1">
      <c r="A16" s="316"/>
      <c r="B16" s="171" t="s">
        <v>50</v>
      </c>
      <c r="C16" s="172">
        <v>8.1</v>
      </c>
      <c r="D16" s="190">
        <v>10</v>
      </c>
      <c r="E16" s="174">
        <v>106</v>
      </c>
      <c r="F16" s="175">
        <v>29</v>
      </c>
      <c r="G16" s="176">
        <v>209314</v>
      </c>
      <c r="H16" s="176">
        <v>35684</v>
      </c>
      <c r="I16" s="176">
        <f>SUM(G16)</f>
        <v>209314</v>
      </c>
      <c r="J16" s="176"/>
      <c r="K16" s="180">
        <v>310000</v>
      </c>
      <c r="L16" s="180">
        <v>287428</v>
      </c>
      <c r="M16" s="176">
        <v>189268</v>
      </c>
      <c r="N16" s="176"/>
      <c r="O16" s="176"/>
      <c r="P16" s="176">
        <v>0</v>
      </c>
      <c r="Q16" s="178">
        <f t="shared" si="4"/>
        <v>0</v>
      </c>
      <c r="R16" s="178">
        <f>G16</f>
        <v>209314</v>
      </c>
      <c r="S16" s="178" t="e">
        <f t="shared" si="5"/>
        <v>#REF!</v>
      </c>
      <c r="T16" s="178" t="e">
        <f t="shared" si="2"/>
        <v>#REF!</v>
      </c>
      <c r="U16" s="179" t="e">
        <f t="shared" si="3"/>
        <v>#REF!</v>
      </c>
    </row>
    <row r="17" spans="1:21" s="42" customFormat="1" ht="19.5" customHeight="1">
      <c r="A17" s="317" t="s">
        <v>51</v>
      </c>
      <c r="B17" s="318"/>
      <c r="C17" s="44"/>
      <c r="D17" s="45"/>
      <c r="E17" s="35"/>
      <c r="F17" s="45"/>
      <c r="G17" s="35">
        <f>SUM(G5:G16)</f>
        <v>4498199</v>
      </c>
      <c r="H17" s="35">
        <f>SUM(H5:H16)</f>
        <v>406343</v>
      </c>
      <c r="I17" s="35">
        <f>SUM(I5:I16)</f>
        <v>4498199</v>
      </c>
      <c r="J17" s="35"/>
      <c r="K17" s="35">
        <f>SUM(K5:K16)</f>
        <v>5060000</v>
      </c>
      <c r="L17" s="46">
        <f>SUM(L5:L16)</f>
        <v>4588452</v>
      </c>
      <c r="M17" s="46">
        <f>SUM(M5:M16)</f>
        <v>4522319</v>
      </c>
      <c r="N17" s="46">
        <f>SUM(N5:N16)</f>
        <v>0</v>
      </c>
      <c r="O17" s="46"/>
      <c r="P17" s="192">
        <f>SUM(P5:P16)</f>
        <v>0</v>
      </c>
      <c r="Q17" s="46">
        <f>SUM(Q5:Q16)</f>
        <v>0</v>
      </c>
      <c r="R17" s="46">
        <f>SUM(R5:R16)</f>
        <v>4498199</v>
      </c>
      <c r="S17" s="47"/>
      <c r="T17" s="49"/>
      <c r="U17" s="51"/>
    </row>
    <row r="18" spans="1:21" s="42" customFormat="1" ht="22.5" customHeight="1">
      <c r="A18" s="319" t="s">
        <v>147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0"/>
      <c r="K18" s="321"/>
      <c r="L18" s="189">
        <f>L17/K17</f>
        <v>0.90680869565217392</v>
      </c>
      <c r="M18" s="53">
        <f>M17/K17</f>
        <v>0.8937389328063241</v>
      </c>
      <c r="N18" s="53"/>
      <c r="O18" s="53"/>
      <c r="P18" s="193">
        <f>P17/K17</f>
        <v>0</v>
      </c>
      <c r="Q18" s="55"/>
      <c r="R18" s="56"/>
      <c r="S18" s="57"/>
      <c r="T18" s="59"/>
      <c r="U18" s="59"/>
    </row>
    <row r="19" spans="1:21" s="42" customFormat="1" ht="17.25" hidden="1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62"/>
      <c r="O19" s="62"/>
      <c r="P19" s="194"/>
      <c r="Q19" s="64"/>
      <c r="R19" s="65"/>
      <c r="S19" s="66"/>
      <c r="T19" s="66"/>
      <c r="U19" s="66"/>
    </row>
    <row r="20" spans="1:21" s="42" customFormat="1" ht="17.25" hidden="1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2"/>
      <c r="N20" s="62"/>
      <c r="O20" s="62"/>
      <c r="P20" s="194"/>
      <c r="Q20" s="64"/>
      <c r="R20" s="65"/>
      <c r="S20" s="66"/>
      <c r="T20" s="66"/>
      <c r="U20" s="66"/>
    </row>
    <row r="21" spans="1:21">
      <c r="E21" s="68"/>
      <c r="P21" s="70"/>
      <c r="R21" s="70"/>
      <c r="S21" s="71"/>
    </row>
    <row r="179" spans="9:9">
      <c r="I179" s="61">
        <v>2</v>
      </c>
    </row>
  </sheetData>
  <mergeCells count="23">
    <mergeCell ref="U2:U4"/>
    <mergeCell ref="M3:N3"/>
    <mergeCell ref="A5:A16"/>
    <mergeCell ref="A17:B17"/>
    <mergeCell ref="A18:K18"/>
    <mergeCell ref="M2:O2"/>
    <mergeCell ref="P2:P4"/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8"/>
  <sheetViews>
    <sheetView tabSelected="1" zoomScale="85" zoomScaleNormal="85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J22" sqref="J22"/>
    </sheetView>
  </sheetViews>
  <sheetFormatPr defaultColWidth="10.6640625" defaultRowHeight="15.6"/>
  <cols>
    <col min="1" max="1" width="9.44140625" style="61" hidden="1" customWidth="1"/>
    <col min="2" max="2" width="9.21875" style="61" customWidth="1"/>
    <col min="3" max="3" width="7.21875" style="61" customWidth="1"/>
    <col min="4" max="4" width="9.109375" style="61" customWidth="1"/>
    <col min="5" max="5" width="8.44140625" style="61" customWidth="1"/>
    <col min="6" max="6" width="10.44140625" style="61" customWidth="1"/>
    <col min="7" max="7" width="12" style="61" customWidth="1"/>
    <col min="8" max="8" width="10.109375" style="61" customWidth="1"/>
    <col min="9" max="10" width="11.77734375" style="61" customWidth="1"/>
    <col min="11" max="11" width="11.88671875" style="61" customWidth="1"/>
    <col min="12" max="12" width="10.88671875" style="61" customWidth="1"/>
    <col min="13" max="13" width="13.44140625" style="69" customWidth="1"/>
    <col min="14" max="14" width="13.6640625" style="69" customWidth="1"/>
    <col min="15" max="15" width="12.44140625" style="69" customWidth="1"/>
    <col min="16" max="16" width="13.88671875" style="69" customWidth="1"/>
    <col min="17" max="17" width="15" style="61" customWidth="1"/>
    <col min="18" max="18" width="14.33203125" style="61" customWidth="1"/>
    <col min="19" max="19" width="15.6640625" style="61" customWidth="1"/>
    <col min="20" max="20" width="12.44140625" style="61" customWidth="1"/>
    <col min="21" max="21" width="9.33203125" style="61" customWidth="1"/>
    <col min="22" max="22" width="14.6640625" style="61" hidden="1" customWidth="1"/>
    <col min="23" max="23" width="12.21875" style="61" hidden="1" customWidth="1"/>
    <col min="24" max="24" width="10.6640625" style="61" hidden="1" customWidth="1"/>
    <col min="25" max="25" width="16.6640625" style="61" hidden="1" customWidth="1"/>
    <col min="26" max="26" width="20.77734375" style="61" hidden="1" customWidth="1"/>
    <col min="27" max="27" width="16.88671875" style="61" hidden="1" customWidth="1"/>
    <col min="28" max="28" width="12.6640625" style="61" hidden="1" customWidth="1"/>
    <col min="29" max="29" width="13.33203125" style="61" hidden="1" customWidth="1"/>
    <col min="30" max="16384" width="10.6640625" style="61"/>
  </cols>
  <sheetData>
    <row r="1" spans="1:35" ht="30" customHeight="1">
      <c r="A1" s="198" t="s">
        <v>214</v>
      </c>
      <c r="B1" s="1"/>
      <c r="C1" s="1"/>
      <c r="D1" s="1"/>
      <c r="E1" s="1"/>
      <c r="F1" s="1"/>
      <c r="G1" s="201" t="s">
        <v>217</v>
      </c>
      <c r="H1" s="201" t="s">
        <v>216</v>
      </c>
      <c r="I1" s="1"/>
      <c r="J1" s="1"/>
      <c r="K1" s="1"/>
      <c r="L1" s="188"/>
      <c r="M1" s="202" t="s">
        <v>218</v>
      </c>
      <c r="N1" s="202" t="s">
        <v>220</v>
      </c>
      <c r="O1" s="1"/>
      <c r="P1" s="188"/>
      <c r="Q1" s="201" t="s">
        <v>219</v>
      </c>
      <c r="R1" s="201" t="s">
        <v>219</v>
      </c>
      <c r="S1" s="201" t="s">
        <v>221</v>
      </c>
      <c r="T1" s="203" t="s">
        <v>222</v>
      </c>
      <c r="U1" s="5"/>
    </row>
    <row r="2" spans="1:35" s="181" customFormat="1" ht="28.5" customHeight="1">
      <c r="A2" s="325" t="s">
        <v>1</v>
      </c>
      <c r="B2" s="325" t="s">
        <v>154</v>
      </c>
      <c r="C2" s="325" t="s">
        <v>155</v>
      </c>
      <c r="D2" s="325" t="s">
        <v>156</v>
      </c>
      <c r="E2" s="325" t="s">
        <v>157</v>
      </c>
      <c r="F2" s="336" t="s">
        <v>158</v>
      </c>
      <c r="G2" s="335" t="s">
        <v>159</v>
      </c>
      <c r="H2" s="336" t="s">
        <v>141</v>
      </c>
      <c r="I2" s="336" t="s">
        <v>161</v>
      </c>
      <c r="J2" s="337" t="s">
        <v>191</v>
      </c>
      <c r="K2" s="335" t="s">
        <v>160</v>
      </c>
      <c r="L2" s="335" t="s">
        <v>152</v>
      </c>
      <c r="M2" s="312" t="s">
        <v>12</v>
      </c>
      <c r="N2" s="313"/>
      <c r="O2" s="313"/>
      <c r="P2" s="332" t="s">
        <v>234</v>
      </c>
      <c r="Q2" s="325" t="s">
        <v>231</v>
      </c>
      <c r="R2" s="325" t="s">
        <v>164</v>
      </c>
      <c r="S2" s="328" t="s">
        <v>165</v>
      </c>
      <c r="T2" s="325" t="s">
        <v>17</v>
      </c>
      <c r="U2" s="325" t="s">
        <v>18</v>
      </c>
    </row>
    <row r="3" spans="1:35" s="181" customFormat="1" ht="30.75" customHeight="1">
      <c r="A3" s="326"/>
      <c r="B3" s="326"/>
      <c r="C3" s="326"/>
      <c r="D3" s="326"/>
      <c r="E3" s="326"/>
      <c r="F3" s="336"/>
      <c r="G3" s="335"/>
      <c r="H3" s="336"/>
      <c r="I3" s="336"/>
      <c r="J3" s="337"/>
      <c r="K3" s="335"/>
      <c r="L3" s="335"/>
      <c r="M3" s="314" t="s">
        <v>19</v>
      </c>
      <c r="N3" s="314"/>
      <c r="O3" s="219" t="s">
        <v>20</v>
      </c>
      <c r="P3" s="333"/>
      <c r="Q3" s="326"/>
      <c r="R3" s="326"/>
      <c r="S3" s="329"/>
      <c r="T3" s="326"/>
      <c r="U3" s="326"/>
    </row>
    <row r="4" spans="1:35" s="168" customFormat="1" ht="49.5" customHeight="1">
      <c r="A4" s="327"/>
      <c r="B4" s="327"/>
      <c r="C4" s="327"/>
      <c r="D4" s="327"/>
      <c r="E4" s="327"/>
      <c r="F4" s="336"/>
      <c r="G4" s="322"/>
      <c r="H4" s="325"/>
      <c r="I4" s="325"/>
      <c r="J4" s="308"/>
      <c r="K4" s="322"/>
      <c r="L4" s="322"/>
      <c r="M4" s="218" t="s">
        <v>153</v>
      </c>
      <c r="N4" s="218" t="s">
        <v>232</v>
      </c>
      <c r="O4" s="218" t="s">
        <v>233</v>
      </c>
      <c r="P4" s="333"/>
      <c r="Q4" s="326"/>
      <c r="R4" s="327"/>
      <c r="S4" s="330"/>
      <c r="T4" s="327"/>
      <c r="U4" s="327"/>
      <c r="V4" s="168" t="s">
        <v>227</v>
      </c>
      <c r="W4" s="206" t="s">
        <v>223</v>
      </c>
      <c r="X4" s="206" t="s">
        <v>224</v>
      </c>
      <c r="Y4" s="206" t="s">
        <v>228</v>
      </c>
      <c r="Z4" s="208" t="s">
        <v>225</v>
      </c>
      <c r="AA4" s="208" t="s">
        <v>226</v>
      </c>
      <c r="AB4" s="168" t="s">
        <v>229</v>
      </c>
      <c r="AC4" s="209" t="s">
        <v>230</v>
      </c>
    </row>
    <row r="5" spans="1:35" s="34" customFormat="1" ht="17.25" customHeight="1">
      <c r="A5" s="315" t="s">
        <v>213</v>
      </c>
      <c r="B5" s="210" t="s">
        <v>55</v>
      </c>
      <c r="C5" s="211">
        <v>9</v>
      </c>
      <c r="D5" s="212">
        <v>13</v>
      </c>
      <c r="E5" s="213">
        <v>115</v>
      </c>
      <c r="F5" s="213">
        <v>32</v>
      </c>
      <c r="G5" s="214">
        <f t="shared" ref="G5:G16" si="0">C5*D5*E5*F5</f>
        <v>430560</v>
      </c>
      <c r="H5" s="214">
        <v>42892</v>
      </c>
      <c r="I5" s="214">
        <v>383171</v>
      </c>
      <c r="J5" s="214"/>
      <c r="K5" s="215">
        <v>548889</v>
      </c>
      <c r="L5" s="272">
        <v>350441</v>
      </c>
      <c r="M5" s="287">
        <v>332730</v>
      </c>
      <c r="N5" s="271">
        <v>0</v>
      </c>
      <c r="O5" s="220">
        <v>0</v>
      </c>
      <c r="P5" s="220">
        <v>0</v>
      </c>
      <c r="Q5" s="216">
        <f t="shared" ref="Q5:Q12" si="1">N5+O5+P5</f>
        <v>0</v>
      </c>
      <c r="R5" s="216">
        <f t="shared" ref="R5:R9" si="2">I5</f>
        <v>383171</v>
      </c>
      <c r="S5" s="216">
        <f>R5</f>
        <v>383171</v>
      </c>
      <c r="T5" s="216">
        <v>0</v>
      </c>
      <c r="U5" s="217">
        <f t="shared" ref="U5:U16" si="3">T5/C5/E5/F5</f>
        <v>0</v>
      </c>
      <c r="V5" s="42">
        <v>0</v>
      </c>
      <c r="W5" s="205">
        <v>0</v>
      </c>
      <c r="X5" s="205">
        <f>V5-W5</f>
        <v>0</v>
      </c>
      <c r="Y5" s="205">
        <v>0</v>
      </c>
      <c r="Z5" s="42">
        <v>336083</v>
      </c>
      <c r="AA5" s="42">
        <v>133770</v>
      </c>
      <c r="AC5" s="209">
        <v>0</v>
      </c>
      <c r="AF5" s="224"/>
      <c r="AG5" s="224"/>
      <c r="AH5" s="224"/>
    </row>
    <row r="6" spans="1:35" s="34" customFormat="1" ht="15.6" customHeight="1">
      <c r="A6" s="316"/>
      <c r="B6" s="210" t="s">
        <v>56</v>
      </c>
      <c r="C6" s="211">
        <f>8+40/27</f>
        <v>9.481481481481481</v>
      </c>
      <c r="D6" s="212">
        <v>14</v>
      </c>
      <c r="E6" s="213">
        <v>121.3</v>
      </c>
      <c r="F6" s="213">
        <v>32</v>
      </c>
      <c r="G6" s="214">
        <f t="shared" si="0"/>
        <v>515246.45925925922</v>
      </c>
      <c r="H6" s="214">
        <v>42673</v>
      </c>
      <c r="I6" s="214">
        <v>469545</v>
      </c>
      <c r="J6" s="214"/>
      <c r="K6" s="213">
        <v>591111</v>
      </c>
      <c r="L6" s="272">
        <v>459362</v>
      </c>
      <c r="M6" s="287">
        <v>577974</v>
      </c>
      <c r="N6" s="271">
        <v>0</v>
      </c>
      <c r="O6" s="220">
        <v>0</v>
      </c>
      <c r="P6" s="220">
        <v>0</v>
      </c>
      <c r="Q6" s="216">
        <f t="shared" si="1"/>
        <v>0</v>
      </c>
      <c r="R6" s="216">
        <f t="shared" si="2"/>
        <v>469545</v>
      </c>
      <c r="S6" s="216">
        <f>R6</f>
        <v>469545</v>
      </c>
      <c r="T6" s="216">
        <v>0</v>
      </c>
      <c r="U6" s="217">
        <f t="shared" si="3"/>
        <v>0</v>
      </c>
      <c r="V6" s="42">
        <v>0</v>
      </c>
      <c r="W6" s="205">
        <v>0</v>
      </c>
      <c r="X6" s="205">
        <f t="shared" ref="X6:X16" si="4">V6-W6</f>
        <v>0</v>
      </c>
      <c r="Y6" s="205">
        <v>0</v>
      </c>
      <c r="Z6" s="42">
        <v>577976</v>
      </c>
      <c r="AA6" s="42">
        <v>475223</v>
      </c>
      <c r="AC6" s="209">
        <v>0</v>
      </c>
      <c r="AF6" s="224"/>
      <c r="AG6" s="224"/>
      <c r="AH6" s="224"/>
    </row>
    <row r="7" spans="1:35" s="34" customFormat="1" ht="16.5" customHeight="1">
      <c r="A7" s="316"/>
      <c r="B7" s="210" t="s">
        <v>57</v>
      </c>
      <c r="C7" s="211">
        <v>9.5</v>
      </c>
      <c r="D7" s="212">
        <v>13</v>
      </c>
      <c r="E7" s="213">
        <v>110</v>
      </c>
      <c r="F7" s="213">
        <v>38</v>
      </c>
      <c r="G7" s="214">
        <f t="shared" si="0"/>
        <v>516230</v>
      </c>
      <c r="H7" s="214">
        <v>9372</v>
      </c>
      <c r="I7" s="214">
        <v>476940</v>
      </c>
      <c r="J7" s="214"/>
      <c r="K7" s="213">
        <v>555208</v>
      </c>
      <c r="L7" s="272">
        <v>488996</v>
      </c>
      <c r="M7" s="287">
        <v>636694</v>
      </c>
      <c r="N7" s="271">
        <v>0</v>
      </c>
      <c r="O7" s="220"/>
      <c r="P7" s="220">
        <v>0</v>
      </c>
      <c r="Q7" s="216">
        <f t="shared" si="1"/>
        <v>0</v>
      </c>
      <c r="R7" s="216">
        <f t="shared" si="2"/>
        <v>476940</v>
      </c>
      <c r="S7" s="216">
        <f t="shared" ref="S7:S16" si="5">R7+T6</f>
        <v>476940</v>
      </c>
      <c r="T7" s="216">
        <v>0</v>
      </c>
      <c r="U7" s="217">
        <f t="shared" si="3"/>
        <v>0</v>
      </c>
      <c r="V7" s="42">
        <v>22320</v>
      </c>
      <c r="W7" s="207">
        <v>5193</v>
      </c>
      <c r="X7" s="205">
        <f t="shared" si="4"/>
        <v>17127</v>
      </c>
      <c r="Y7" s="205">
        <v>0</v>
      </c>
      <c r="Z7" s="42">
        <v>638661</v>
      </c>
      <c r="AA7" s="42">
        <v>605035</v>
      </c>
      <c r="AC7" s="209">
        <v>0</v>
      </c>
      <c r="AF7" s="224"/>
      <c r="AG7" s="224"/>
      <c r="AH7" s="224"/>
    </row>
    <row r="8" spans="1:35" s="34" customFormat="1" ht="16.5" customHeight="1">
      <c r="A8" s="316"/>
      <c r="B8" s="210" t="s">
        <v>58</v>
      </c>
      <c r="C8" s="211">
        <v>9.5</v>
      </c>
      <c r="D8" s="212">
        <v>11</v>
      </c>
      <c r="E8" s="213">
        <v>112</v>
      </c>
      <c r="F8" s="213">
        <v>38</v>
      </c>
      <c r="G8" s="214">
        <f t="shared" si="0"/>
        <v>444752</v>
      </c>
      <c r="H8" s="214"/>
      <c r="I8" s="214">
        <v>426583</v>
      </c>
      <c r="J8" s="214"/>
      <c r="K8" s="213">
        <v>469792</v>
      </c>
      <c r="L8" s="272">
        <v>431673</v>
      </c>
      <c r="M8" s="287">
        <v>433782</v>
      </c>
      <c r="N8" s="271">
        <v>0</v>
      </c>
      <c r="O8" s="220"/>
      <c r="P8" s="220">
        <v>0</v>
      </c>
      <c r="Q8" s="216">
        <f t="shared" si="1"/>
        <v>0</v>
      </c>
      <c r="R8" s="216">
        <f t="shared" si="2"/>
        <v>426583</v>
      </c>
      <c r="S8" s="216">
        <f t="shared" si="5"/>
        <v>426583</v>
      </c>
      <c r="T8" s="216">
        <v>0</v>
      </c>
      <c r="U8" s="217">
        <f t="shared" si="3"/>
        <v>0</v>
      </c>
      <c r="V8" s="42">
        <v>22584</v>
      </c>
      <c r="W8" s="207">
        <v>3227</v>
      </c>
      <c r="X8" s="205">
        <f t="shared" si="4"/>
        <v>19357</v>
      </c>
      <c r="Y8" s="205">
        <v>14661</v>
      </c>
      <c r="Z8" s="42">
        <v>430815</v>
      </c>
      <c r="AA8" s="42">
        <v>419803</v>
      </c>
      <c r="AC8" s="209">
        <v>0</v>
      </c>
      <c r="AF8" s="224"/>
      <c r="AG8" s="224"/>
      <c r="AH8" s="224"/>
    </row>
    <row r="9" spans="1:35" s="34" customFormat="1" ht="16.95" customHeight="1">
      <c r="A9" s="316"/>
      <c r="B9" s="210" t="s">
        <v>59</v>
      </c>
      <c r="C9" s="211">
        <v>8.8000000000000007</v>
      </c>
      <c r="D9" s="223">
        <v>12</v>
      </c>
      <c r="E9" s="213">
        <v>116</v>
      </c>
      <c r="F9" s="213">
        <v>35</v>
      </c>
      <c r="G9" s="214">
        <f t="shared" si="0"/>
        <v>428736</v>
      </c>
      <c r="H9" s="214"/>
      <c r="I9" s="214">
        <v>443124</v>
      </c>
      <c r="J9" s="214"/>
      <c r="K9" s="213">
        <v>504000</v>
      </c>
      <c r="L9" s="272">
        <v>439314</v>
      </c>
      <c r="M9" s="287">
        <v>419900</v>
      </c>
      <c r="N9" s="272">
        <v>18107</v>
      </c>
      <c r="O9" s="220"/>
      <c r="P9" s="220">
        <v>0</v>
      </c>
      <c r="Q9" s="216">
        <f t="shared" si="1"/>
        <v>18107</v>
      </c>
      <c r="R9" s="216">
        <f t="shared" si="2"/>
        <v>443124</v>
      </c>
      <c r="S9" s="216">
        <f t="shared" si="5"/>
        <v>443124</v>
      </c>
      <c r="T9" s="216">
        <v>0</v>
      </c>
      <c r="U9" s="217">
        <f>T9/C9/E9/F9</f>
        <v>0</v>
      </c>
      <c r="V9" s="42">
        <v>201926</v>
      </c>
      <c r="W9" s="207">
        <v>113523</v>
      </c>
      <c r="X9" s="205">
        <f t="shared" si="4"/>
        <v>88403</v>
      </c>
      <c r="Y9" s="205">
        <v>34425</v>
      </c>
      <c r="Z9" s="42">
        <v>358959</v>
      </c>
      <c r="AA9" s="42">
        <v>356272</v>
      </c>
      <c r="AC9" s="209">
        <v>6180</v>
      </c>
      <c r="AF9" s="224"/>
      <c r="AG9" s="224"/>
      <c r="AH9" s="224"/>
    </row>
    <row r="10" spans="1:35" s="34" customFormat="1">
      <c r="A10" s="316"/>
      <c r="B10" s="210" t="s">
        <v>60</v>
      </c>
      <c r="C10" s="211">
        <v>8.5</v>
      </c>
      <c r="D10" s="223">
        <v>13</v>
      </c>
      <c r="E10" s="213">
        <v>117.5</v>
      </c>
      <c r="F10" s="213">
        <v>35</v>
      </c>
      <c r="G10" s="214">
        <f t="shared" si="0"/>
        <v>454431.25</v>
      </c>
      <c r="H10" s="214"/>
      <c r="I10" s="214">
        <v>464062</v>
      </c>
      <c r="J10" s="214"/>
      <c r="K10" s="213">
        <v>546000</v>
      </c>
      <c r="L10" s="272">
        <v>424943</v>
      </c>
      <c r="M10" s="287">
        <v>336540</v>
      </c>
      <c r="N10" s="272">
        <v>320</v>
      </c>
      <c r="O10" s="220"/>
      <c r="P10" s="220">
        <v>0</v>
      </c>
      <c r="Q10" s="216">
        <f t="shared" si="1"/>
        <v>320</v>
      </c>
      <c r="R10" s="216">
        <f>I10</f>
        <v>464062</v>
      </c>
      <c r="S10" s="216">
        <f t="shared" ref="S10:S15" si="6">R10+T9</f>
        <v>464062</v>
      </c>
      <c r="T10" s="216">
        <v>0</v>
      </c>
      <c r="U10" s="217">
        <f t="shared" si="3"/>
        <v>0</v>
      </c>
      <c r="V10" s="42">
        <v>185159</v>
      </c>
      <c r="W10" s="207">
        <v>13524</v>
      </c>
      <c r="X10" s="205">
        <f t="shared" si="4"/>
        <v>171635</v>
      </c>
      <c r="Y10" s="205">
        <v>171014</v>
      </c>
      <c r="Z10" s="42">
        <v>314025</v>
      </c>
      <c r="AA10" s="42">
        <v>311570</v>
      </c>
      <c r="AC10" s="209">
        <v>58341</v>
      </c>
      <c r="AF10" s="224"/>
      <c r="AG10" s="224"/>
      <c r="AH10" s="224"/>
    </row>
    <row r="11" spans="1:35" s="42" customFormat="1" ht="16.2" customHeight="1">
      <c r="A11" s="316"/>
      <c r="B11" s="210" t="s">
        <v>61</v>
      </c>
      <c r="C11" s="211">
        <v>8.8000000000000007</v>
      </c>
      <c r="D11" s="212">
        <v>13</v>
      </c>
      <c r="E11" s="213">
        <v>118</v>
      </c>
      <c r="F11" s="213">
        <v>33</v>
      </c>
      <c r="G11" s="214">
        <f t="shared" si="0"/>
        <v>445473.60000000003</v>
      </c>
      <c r="H11" s="214">
        <v>25566</v>
      </c>
      <c r="I11" s="214">
        <v>432329</v>
      </c>
      <c r="J11" s="214"/>
      <c r="K11" s="213">
        <v>552500</v>
      </c>
      <c r="L11" s="272">
        <v>493516</v>
      </c>
      <c r="M11" s="287">
        <v>350765</v>
      </c>
      <c r="N11" s="272">
        <v>1955</v>
      </c>
      <c r="O11" s="221"/>
      <c r="P11" s="220">
        <v>0</v>
      </c>
      <c r="Q11" s="216">
        <f>N11+O11+P11</f>
        <v>1955</v>
      </c>
      <c r="R11" s="216">
        <f>I11</f>
        <v>432329</v>
      </c>
      <c r="S11" s="216">
        <f t="shared" si="6"/>
        <v>432329</v>
      </c>
      <c r="T11" s="216">
        <v>0</v>
      </c>
      <c r="U11" s="217">
        <f>T11/C11/E11/F11</f>
        <v>0</v>
      </c>
      <c r="V11" s="42">
        <v>664133</v>
      </c>
      <c r="W11" s="205">
        <v>65649</v>
      </c>
      <c r="X11" s="205">
        <f t="shared" si="4"/>
        <v>598484</v>
      </c>
      <c r="Y11" s="205">
        <v>515941</v>
      </c>
      <c r="Z11" s="42">
        <v>176607</v>
      </c>
      <c r="AA11" s="42">
        <v>175907</v>
      </c>
      <c r="AC11" s="209">
        <v>162462</v>
      </c>
      <c r="AF11" s="224"/>
      <c r="AG11" s="224"/>
      <c r="AH11" s="224"/>
    </row>
    <row r="12" spans="1:35" s="42" customFormat="1" ht="16.5" customHeight="1">
      <c r="A12" s="316"/>
      <c r="B12" s="210" t="s">
        <v>62</v>
      </c>
      <c r="C12" s="211">
        <v>8.8000000000000007</v>
      </c>
      <c r="D12" s="212">
        <v>13</v>
      </c>
      <c r="E12" s="213">
        <v>120</v>
      </c>
      <c r="F12" s="213">
        <v>33</v>
      </c>
      <c r="G12" s="214">
        <f t="shared" si="0"/>
        <v>453024</v>
      </c>
      <c r="H12" s="214">
        <v>28746</v>
      </c>
      <c r="I12" s="214">
        <v>456387</v>
      </c>
      <c r="J12" s="214"/>
      <c r="K12" s="213">
        <v>552500</v>
      </c>
      <c r="L12" s="272">
        <v>477093</v>
      </c>
      <c r="M12" s="287">
        <v>522574</v>
      </c>
      <c r="N12" s="272">
        <v>4022</v>
      </c>
      <c r="O12" s="221"/>
      <c r="P12" s="220">
        <v>0</v>
      </c>
      <c r="Q12" s="276">
        <f t="shared" si="1"/>
        <v>4022</v>
      </c>
      <c r="R12" s="216">
        <f>I12</f>
        <v>456387</v>
      </c>
      <c r="S12" s="216">
        <f t="shared" si="6"/>
        <v>456387</v>
      </c>
      <c r="T12" s="216">
        <v>0</v>
      </c>
      <c r="U12" s="217">
        <f>T12/C12/E12/F12</f>
        <v>0</v>
      </c>
      <c r="V12" s="42">
        <v>440021</v>
      </c>
      <c r="W12" s="205">
        <v>21261</v>
      </c>
      <c r="X12" s="205">
        <f t="shared" si="4"/>
        <v>418760</v>
      </c>
      <c r="Y12" s="205">
        <v>394434</v>
      </c>
      <c r="Z12" s="42">
        <v>90530</v>
      </c>
      <c r="AA12" s="42">
        <v>90530</v>
      </c>
      <c r="AC12" s="209">
        <v>424185</v>
      </c>
      <c r="AE12" s="61"/>
      <c r="AF12" s="224"/>
      <c r="AG12" s="224"/>
      <c r="AH12" s="224"/>
      <c r="AI12" s="224"/>
    </row>
    <row r="13" spans="1:35" s="42" customFormat="1" ht="16.95" customHeight="1">
      <c r="A13" s="316"/>
      <c r="B13" s="210" t="s">
        <v>63</v>
      </c>
      <c r="C13" s="211">
        <v>8</v>
      </c>
      <c r="D13" s="212">
        <v>11</v>
      </c>
      <c r="E13" s="213">
        <v>118</v>
      </c>
      <c r="F13" s="213">
        <v>32</v>
      </c>
      <c r="G13" s="285">
        <f t="shared" si="0"/>
        <v>332288</v>
      </c>
      <c r="H13" s="285">
        <v>31106</v>
      </c>
      <c r="I13" s="285">
        <v>312647</v>
      </c>
      <c r="J13" s="285">
        <v>312647</v>
      </c>
      <c r="K13" s="286">
        <v>464630</v>
      </c>
      <c r="L13" s="272">
        <v>374053</v>
      </c>
      <c r="M13" s="282">
        <v>443129</v>
      </c>
      <c r="N13" s="272">
        <v>141378</v>
      </c>
      <c r="O13" s="221"/>
      <c r="P13" s="220">
        <v>0</v>
      </c>
      <c r="Q13" s="276">
        <f>N13+O13+P13</f>
        <v>141378</v>
      </c>
      <c r="R13" s="216">
        <f>I13</f>
        <v>312647</v>
      </c>
      <c r="S13" s="216">
        <f t="shared" si="6"/>
        <v>312647</v>
      </c>
      <c r="T13" s="216">
        <v>0</v>
      </c>
      <c r="U13" s="217">
        <f t="shared" si="3"/>
        <v>0</v>
      </c>
      <c r="V13" s="42">
        <v>376996</v>
      </c>
      <c r="W13" s="205">
        <v>17742</v>
      </c>
      <c r="X13" s="205">
        <f t="shared" si="4"/>
        <v>359254</v>
      </c>
      <c r="Y13" s="205">
        <v>315911</v>
      </c>
      <c r="Z13" s="42">
        <v>37696</v>
      </c>
      <c r="AA13" s="42">
        <v>37259</v>
      </c>
      <c r="AC13" s="209">
        <v>438487</v>
      </c>
      <c r="AE13" s="61"/>
      <c r="AF13" s="224"/>
      <c r="AG13" s="224"/>
      <c r="AH13" s="224"/>
      <c r="AI13" s="224"/>
    </row>
    <row r="14" spans="1:35" s="42" customFormat="1" ht="17.25" customHeight="1">
      <c r="A14" s="316"/>
      <c r="B14" s="23" t="s">
        <v>64</v>
      </c>
      <c r="C14" s="24">
        <v>8</v>
      </c>
      <c r="D14" s="25">
        <v>3</v>
      </c>
      <c r="E14" s="26">
        <v>118</v>
      </c>
      <c r="F14" s="26">
        <v>32</v>
      </c>
      <c r="G14" s="28">
        <f t="shared" si="0"/>
        <v>90624</v>
      </c>
      <c r="H14" s="28">
        <v>37500</v>
      </c>
      <c r="I14" s="28">
        <f t="shared" ref="I14:I16" si="7">SUM(G14)</f>
        <v>90624</v>
      </c>
      <c r="J14" s="28">
        <v>198</v>
      </c>
      <c r="K14" s="26">
        <v>500370</v>
      </c>
      <c r="L14" s="284">
        <v>72146</v>
      </c>
      <c r="M14" s="281">
        <v>303027</v>
      </c>
      <c r="N14" s="284">
        <v>205195</v>
      </c>
      <c r="O14" s="222"/>
      <c r="P14" s="267"/>
      <c r="Q14" s="225">
        <f>N14+O14+P14</f>
        <v>205195</v>
      </c>
      <c r="R14" s="31">
        <f>Q9+Q10+Q11+Q12+Q13+Q14</f>
        <v>370977</v>
      </c>
      <c r="S14" s="31">
        <f t="shared" si="6"/>
        <v>370977</v>
      </c>
      <c r="T14" s="31">
        <f t="shared" ref="T14:T16" si="8">S14-G14+J14</f>
        <v>280551</v>
      </c>
      <c r="U14" s="33">
        <f t="shared" si="3"/>
        <v>9.2873079978813564</v>
      </c>
      <c r="V14" s="42">
        <v>315494</v>
      </c>
      <c r="W14" s="205">
        <v>7939</v>
      </c>
      <c r="X14" s="205">
        <f t="shared" si="4"/>
        <v>307555</v>
      </c>
      <c r="Y14" s="205">
        <v>265277</v>
      </c>
      <c r="Z14" s="42">
        <v>28162</v>
      </c>
      <c r="AA14" s="42">
        <v>27779</v>
      </c>
      <c r="AB14" s="42">
        <v>17552</v>
      </c>
      <c r="AC14" s="209">
        <v>369772</v>
      </c>
      <c r="AE14" s="61"/>
      <c r="AF14" s="224"/>
      <c r="AG14" s="224"/>
      <c r="AH14" s="224"/>
      <c r="AI14" s="224"/>
    </row>
    <row r="15" spans="1:35" s="42" customFormat="1" ht="17.25" customHeight="1">
      <c r="A15" s="316"/>
      <c r="B15" s="23" t="s">
        <v>65</v>
      </c>
      <c r="C15" s="24">
        <v>8</v>
      </c>
      <c r="D15" s="43">
        <v>12</v>
      </c>
      <c r="E15" s="26">
        <v>118</v>
      </c>
      <c r="F15" s="26">
        <v>32</v>
      </c>
      <c r="G15" s="28">
        <f t="shared" si="0"/>
        <v>362496</v>
      </c>
      <c r="H15" s="28">
        <v>37500</v>
      </c>
      <c r="I15" s="28">
        <f t="shared" si="7"/>
        <v>362496</v>
      </c>
      <c r="J15" s="28"/>
      <c r="K15" s="26">
        <v>457407</v>
      </c>
      <c r="L15" s="284">
        <v>233552</v>
      </c>
      <c r="M15" s="281">
        <v>462248</v>
      </c>
      <c r="N15" s="284">
        <v>425497</v>
      </c>
      <c r="O15" s="222"/>
      <c r="P15" s="267"/>
      <c r="Q15" s="225">
        <f>N15+O15+P15</f>
        <v>425497</v>
      </c>
      <c r="R15" s="31">
        <f>Q15</f>
        <v>425497</v>
      </c>
      <c r="S15" s="31">
        <f t="shared" si="6"/>
        <v>706048</v>
      </c>
      <c r="T15" s="31">
        <f t="shared" si="8"/>
        <v>343552</v>
      </c>
      <c r="U15" s="33">
        <f t="shared" si="3"/>
        <v>11.372881355932204</v>
      </c>
      <c r="V15" s="42">
        <v>508310</v>
      </c>
      <c r="W15" s="205">
        <v>4308</v>
      </c>
      <c r="X15" s="205">
        <f t="shared" si="4"/>
        <v>504002</v>
      </c>
      <c r="Y15" s="205">
        <v>460126</v>
      </c>
      <c r="Z15" s="42">
        <v>14940</v>
      </c>
      <c r="AA15" s="42">
        <v>14940</v>
      </c>
      <c r="AC15" s="209">
        <v>431713</v>
      </c>
      <c r="AE15" s="61"/>
      <c r="AF15" s="224"/>
      <c r="AG15" s="224"/>
      <c r="AH15" s="224"/>
      <c r="AI15" s="224"/>
    </row>
    <row r="16" spans="1:35" s="42" customFormat="1" ht="17.25" customHeight="1">
      <c r="A16" s="316"/>
      <c r="B16" s="23" t="s">
        <v>66</v>
      </c>
      <c r="C16" s="24">
        <v>8</v>
      </c>
      <c r="D16" s="43">
        <v>14</v>
      </c>
      <c r="E16" s="26">
        <v>118</v>
      </c>
      <c r="F16" s="26">
        <v>32</v>
      </c>
      <c r="G16" s="28">
        <f t="shared" si="0"/>
        <v>422912</v>
      </c>
      <c r="H16" s="28">
        <v>37500</v>
      </c>
      <c r="I16" s="28">
        <f t="shared" si="7"/>
        <v>422912</v>
      </c>
      <c r="J16" s="28"/>
      <c r="K16" s="26">
        <v>492593</v>
      </c>
      <c r="L16" s="284">
        <v>461655</v>
      </c>
      <c r="M16" s="281">
        <v>212568</v>
      </c>
      <c r="N16" s="284">
        <v>198917</v>
      </c>
      <c r="O16" s="222"/>
      <c r="P16" s="267">
        <v>236</v>
      </c>
      <c r="Q16" s="225">
        <f>N16+O16+P16</f>
        <v>199153</v>
      </c>
      <c r="R16" s="31">
        <f t="shared" ref="R16" si="9">Q16</f>
        <v>199153</v>
      </c>
      <c r="S16" s="31">
        <f t="shared" si="5"/>
        <v>542705</v>
      </c>
      <c r="T16" s="31">
        <f t="shared" si="8"/>
        <v>119793</v>
      </c>
      <c r="U16" s="33">
        <f t="shared" si="3"/>
        <v>3.9656051377118646</v>
      </c>
      <c r="V16" s="42">
        <v>223473</v>
      </c>
      <c r="W16" s="205">
        <v>0</v>
      </c>
      <c r="X16" s="205">
        <f t="shared" si="4"/>
        <v>223473</v>
      </c>
      <c r="Y16" s="205">
        <v>200531</v>
      </c>
      <c r="Z16" s="42">
        <v>7094</v>
      </c>
      <c r="AA16" s="42">
        <v>7094</v>
      </c>
      <c r="AB16" s="42">
        <v>176574</v>
      </c>
      <c r="AC16" s="209">
        <v>353593</v>
      </c>
      <c r="AE16" s="61"/>
      <c r="AF16" s="224"/>
      <c r="AG16" s="224"/>
      <c r="AH16" s="224"/>
      <c r="AI16" s="224"/>
    </row>
    <row r="17" spans="1:21" s="42" customFormat="1" ht="19.5" customHeight="1">
      <c r="A17" s="317" t="s">
        <v>51</v>
      </c>
      <c r="B17" s="318"/>
      <c r="C17" s="44"/>
      <c r="D17" s="45"/>
      <c r="E17" s="35"/>
      <c r="F17" s="45"/>
      <c r="G17" s="35">
        <f>SUM(G5:G16)</f>
        <v>4896773.3092592601</v>
      </c>
      <c r="H17" s="35">
        <f>SUM(H5:H16)</f>
        <v>292855</v>
      </c>
      <c r="I17" s="35">
        <f>SUM(I5:I16)</f>
        <v>4740820</v>
      </c>
      <c r="J17" s="35"/>
      <c r="K17" s="26">
        <f>SUM(K5:K16)</f>
        <v>6235000</v>
      </c>
      <c r="L17" s="192">
        <f>SUM(L5:L16)</f>
        <v>4706744</v>
      </c>
      <c r="M17" s="192">
        <f>SUM(M5:M16)</f>
        <v>5031931</v>
      </c>
      <c r="N17" s="192">
        <f>SUM(N5:N16)</f>
        <v>995391</v>
      </c>
      <c r="O17" s="46">
        <v>0</v>
      </c>
      <c r="P17" s="192">
        <f>SUM(P5:P16)</f>
        <v>236</v>
      </c>
      <c r="Q17" s="46">
        <f>SUM(Q5:Q16)</f>
        <v>995627</v>
      </c>
      <c r="R17" s="46">
        <f>SUM(R5:R16)</f>
        <v>4860415</v>
      </c>
      <c r="S17" s="47"/>
      <c r="T17" s="49"/>
      <c r="U17" s="51"/>
    </row>
    <row r="18" spans="1:21" s="42" customFormat="1" ht="22.5" customHeight="1">
      <c r="A18" s="319" t="s">
        <v>147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0"/>
      <c r="K18" s="321"/>
      <c r="L18" s="189">
        <f>L17/K17</f>
        <v>0.75489077786688052</v>
      </c>
      <c r="M18" s="53">
        <f>M17/K17</f>
        <v>0.80704587008821171</v>
      </c>
      <c r="N18" s="53"/>
      <c r="O18" s="53"/>
      <c r="P18" s="193">
        <f>P17/K17</f>
        <v>3.7850842020850043E-5</v>
      </c>
      <c r="Q18" s="55"/>
      <c r="R18" s="56"/>
      <c r="S18" s="57"/>
      <c r="T18" s="59"/>
      <c r="U18" s="59"/>
    </row>
    <row r="20" spans="1:21">
      <c r="O20" s="273"/>
      <c r="P20" s="274" t="s">
        <v>239</v>
      </c>
      <c r="Q20" s="275"/>
    </row>
    <row r="21" spans="1:21">
      <c r="Q21" s="73"/>
    </row>
    <row r="24" spans="1:21">
      <c r="L24" s="69"/>
    </row>
    <row r="25" spans="1:21">
      <c r="L25" s="69"/>
    </row>
    <row r="26" spans="1:21">
      <c r="L26" s="69"/>
    </row>
    <row r="27" spans="1:21">
      <c r="L27" s="69"/>
    </row>
    <row r="28" spans="1:21">
      <c r="J28" s="69"/>
    </row>
    <row r="29" spans="1:21">
      <c r="J29" s="69"/>
    </row>
    <row r="30" spans="1:21">
      <c r="J30" s="69"/>
      <c r="M30" s="61"/>
    </row>
    <row r="31" spans="1:21">
      <c r="J31" s="69"/>
      <c r="K31" s="69"/>
      <c r="M31" s="61"/>
    </row>
    <row r="32" spans="1:21">
      <c r="J32" s="69"/>
      <c r="K32" s="69"/>
      <c r="M32" s="61"/>
    </row>
    <row r="33" spans="5:13">
      <c r="K33" s="69"/>
      <c r="M33" s="61"/>
    </row>
    <row r="34" spans="5:13">
      <c r="F34" s="69"/>
      <c r="K34" s="69"/>
      <c r="M34" s="61"/>
    </row>
    <row r="35" spans="5:13">
      <c r="E35" s="69"/>
      <c r="F35" s="69"/>
      <c r="M35" s="61"/>
    </row>
    <row r="36" spans="5:13">
      <c r="E36" s="69"/>
      <c r="F36" s="69"/>
      <c r="M36" s="61"/>
    </row>
    <row r="37" spans="5:13">
      <c r="E37" s="69"/>
      <c r="F37" s="69"/>
    </row>
    <row r="38" spans="5:13">
      <c r="E38" s="69"/>
    </row>
  </sheetData>
  <mergeCells count="23">
    <mergeCell ref="U2:U4"/>
    <mergeCell ref="M3:N3"/>
    <mergeCell ref="A5:A16"/>
    <mergeCell ref="A17:B17"/>
    <mergeCell ref="A18:K18"/>
    <mergeCell ref="M2:O2"/>
    <mergeCell ref="P2:P4"/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1"/>
  <sheetViews>
    <sheetView topLeftCell="B1" zoomScale="85" zoomScaleNormal="85" workbookViewId="0">
      <selection activeCell="C15" sqref="C15"/>
    </sheetView>
  </sheetViews>
  <sheetFormatPr defaultColWidth="10.6640625" defaultRowHeight="16.2"/>
  <cols>
    <col min="1" max="1" width="9.44140625" style="233" hidden="1" customWidth="1"/>
    <col min="2" max="2" width="9.21875" style="233" customWidth="1"/>
    <col min="3" max="3" width="7.21875" style="233" customWidth="1"/>
    <col min="4" max="4" width="9.109375" style="233" customWidth="1"/>
    <col min="5" max="5" width="8.44140625" style="233" customWidth="1"/>
    <col min="6" max="6" width="10.44140625" style="233" customWidth="1"/>
    <col min="7" max="7" width="12" style="233" customWidth="1"/>
    <col min="8" max="8" width="10.109375" style="233" customWidth="1"/>
    <col min="9" max="10" width="11.77734375" style="233" customWidth="1"/>
    <col min="11" max="11" width="11.88671875" style="233" customWidth="1"/>
    <col min="12" max="12" width="12.109375" style="233" customWidth="1"/>
    <col min="13" max="13" width="13.44140625" style="234" customWidth="1"/>
    <col min="14" max="14" width="13.6640625" style="234" customWidth="1"/>
    <col min="15" max="15" width="12.44140625" style="234" customWidth="1"/>
    <col min="16" max="16" width="13.88671875" style="234" customWidth="1"/>
    <col min="17" max="17" width="15" style="233" customWidth="1"/>
    <col min="18" max="18" width="14.33203125" style="233" customWidth="1"/>
    <col min="19" max="19" width="15.6640625" style="233" customWidth="1"/>
    <col min="20" max="20" width="12.44140625" style="233" customWidth="1"/>
    <col min="21" max="21" width="9.33203125" style="233" customWidth="1"/>
    <col min="22" max="22" width="14.6640625" style="233" hidden="1" customWidth="1"/>
    <col min="23" max="23" width="12.21875" style="233" hidden="1" customWidth="1"/>
    <col min="24" max="24" width="10.6640625" style="233" hidden="1" customWidth="1"/>
    <col min="25" max="25" width="16.6640625" style="233" hidden="1" customWidth="1"/>
    <col min="26" max="26" width="20.77734375" style="233" hidden="1" customWidth="1"/>
    <col min="27" max="27" width="16.88671875" style="233" hidden="1" customWidth="1"/>
    <col min="28" max="28" width="12.6640625" style="233" hidden="1" customWidth="1"/>
    <col min="29" max="29" width="13.33203125" style="233" hidden="1" customWidth="1"/>
    <col min="30" max="16384" width="10.6640625" style="233"/>
  </cols>
  <sheetData>
    <row r="1" spans="1:33" ht="30" customHeight="1">
      <c r="A1" s="226" t="s">
        <v>214</v>
      </c>
      <c r="B1" s="227"/>
      <c r="C1" s="227"/>
      <c r="D1" s="227"/>
      <c r="E1" s="227"/>
      <c r="F1" s="227"/>
      <c r="G1" s="228" t="s">
        <v>217</v>
      </c>
      <c r="H1" s="228" t="s">
        <v>216</v>
      </c>
      <c r="I1" s="227"/>
      <c r="J1" s="227"/>
      <c r="K1" s="227"/>
      <c r="L1" s="229"/>
      <c r="M1" s="230" t="s">
        <v>218</v>
      </c>
      <c r="N1" s="230" t="s">
        <v>220</v>
      </c>
      <c r="O1" s="227"/>
      <c r="P1" s="229"/>
      <c r="Q1" s="228" t="s">
        <v>219</v>
      </c>
      <c r="R1" s="228" t="s">
        <v>219</v>
      </c>
      <c r="S1" s="228" t="s">
        <v>221</v>
      </c>
      <c r="T1" s="231" t="s">
        <v>222</v>
      </c>
      <c r="U1" s="232"/>
    </row>
    <row r="2" spans="1:33" s="236" customFormat="1" ht="28.5" customHeight="1">
      <c r="A2" s="340" t="s">
        <v>1</v>
      </c>
      <c r="B2" s="340" t="s">
        <v>154</v>
      </c>
      <c r="C2" s="340" t="s">
        <v>155</v>
      </c>
      <c r="D2" s="340" t="s">
        <v>156</v>
      </c>
      <c r="E2" s="340" t="s">
        <v>157</v>
      </c>
      <c r="F2" s="343" t="s">
        <v>158</v>
      </c>
      <c r="G2" s="338" t="s">
        <v>159</v>
      </c>
      <c r="H2" s="343" t="s">
        <v>141</v>
      </c>
      <c r="I2" s="343" t="s">
        <v>161</v>
      </c>
      <c r="J2" s="358" t="s">
        <v>191</v>
      </c>
      <c r="K2" s="338" t="s">
        <v>160</v>
      </c>
      <c r="L2" s="338" t="s">
        <v>152</v>
      </c>
      <c r="M2" s="352" t="s">
        <v>12</v>
      </c>
      <c r="N2" s="353"/>
      <c r="O2" s="353"/>
      <c r="P2" s="354" t="s">
        <v>234</v>
      </c>
      <c r="Q2" s="340" t="s">
        <v>235</v>
      </c>
      <c r="R2" s="340" t="s">
        <v>164</v>
      </c>
      <c r="S2" s="356" t="s">
        <v>165</v>
      </c>
      <c r="T2" s="340" t="s">
        <v>17</v>
      </c>
      <c r="U2" s="340" t="s">
        <v>18</v>
      </c>
    </row>
    <row r="3" spans="1:33" s="236" customFormat="1" ht="30.75" customHeight="1">
      <c r="A3" s="341"/>
      <c r="B3" s="341"/>
      <c r="C3" s="341"/>
      <c r="D3" s="341"/>
      <c r="E3" s="341"/>
      <c r="F3" s="343"/>
      <c r="G3" s="338"/>
      <c r="H3" s="343"/>
      <c r="I3" s="343"/>
      <c r="J3" s="358"/>
      <c r="K3" s="338"/>
      <c r="L3" s="338"/>
      <c r="M3" s="344" t="s">
        <v>19</v>
      </c>
      <c r="N3" s="344"/>
      <c r="O3" s="237" t="s">
        <v>20</v>
      </c>
      <c r="P3" s="355"/>
      <c r="Q3" s="341"/>
      <c r="R3" s="341"/>
      <c r="S3" s="357"/>
      <c r="T3" s="341"/>
      <c r="U3" s="341"/>
    </row>
    <row r="4" spans="1:33" s="239" customFormat="1" ht="49.5" customHeight="1">
      <c r="A4" s="342"/>
      <c r="B4" s="342"/>
      <c r="C4" s="342"/>
      <c r="D4" s="342"/>
      <c r="E4" s="342"/>
      <c r="F4" s="343"/>
      <c r="G4" s="338"/>
      <c r="H4" s="343"/>
      <c r="I4" s="343"/>
      <c r="J4" s="358"/>
      <c r="K4" s="338"/>
      <c r="L4" s="339"/>
      <c r="M4" s="238" t="s">
        <v>153</v>
      </c>
      <c r="N4" s="238" t="s">
        <v>236</v>
      </c>
      <c r="O4" s="238" t="s">
        <v>237</v>
      </c>
      <c r="P4" s="355"/>
      <c r="Q4" s="341"/>
      <c r="R4" s="341"/>
      <c r="S4" s="357"/>
      <c r="T4" s="341"/>
      <c r="U4" s="342"/>
      <c r="V4" s="239" t="s">
        <v>227</v>
      </c>
      <c r="W4" s="240" t="s">
        <v>223</v>
      </c>
      <c r="X4" s="240" t="s">
        <v>224</v>
      </c>
      <c r="Y4" s="240" t="s">
        <v>228</v>
      </c>
      <c r="Z4" s="241" t="s">
        <v>225</v>
      </c>
      <c r="AA4" s="241" t="s">
        <v>226</v>
      </c>
      <c r="AB4" s="239" t="s">
        <v>229</v>
      </c>
      <c r="AC4" s="242" t="s">
        <v>230</v>
      </c>
    </row>
    <row r="5" spans="1:33" s="251" customFormat="1" ht="17.25" customHeight="1">
      <c r="A5" s="345" t="s">
        <v>213</v>
      </c>
      <c r="B5" s="243" t="s">
        <v>39</v>
      </c>
      <c r="C5" s="266">
        <v>8.8000000000000007</v>
      </c>
      <c r="D5" s="244">
        <v>11</v>
      </c>
      <c r="E5" s="245">
        <v>118</v>
      </c>
      <c r="F5" s="245">
        <v>34</v>
      </c>
      <c r="G5" s="246">
        <f t="shared" ref="G5:G16" si="0">C5*D5*E5*F5</f>
        <v>388361.60000000003</v>
      </c>
      <c r="H5" s="246"/>
      <c r="I5" s="246">
        <f t="shared" ref="I5:I11" si="1">SUM(G5)</f>
        <v>388361.60000000003</v>
      </c>
      <c r="J5" s="246"/>
      <c r="K5" s="247">
        <v>425000</v>
      </c>
      <c r="L5" s="283">
        <v>465648</v>
      </c>
      <c r="M5" s="283">
        <v>393337</v>
      </c>
      <c r="N5" s="283">
        <v>393337</v>
      </c>
      <c r="O5" s="277">
        <f>'FW21 季 Cold cement'!T16</f>
        <v>119793</v>
      </c>
      <c r="P5" s="278">
        <v>44167</v>
      </c>
      <c r="Q5" s="279">
        <f>N5+O5+P5</f>
        <v>557297</v>
      </c>
      <c r="R5" s="279">
        <f>Q5</f>
        <v>557297</v>
      </c>
      <c r="S5" s="279">
        <f>R5</f>
        <v>557297</v>
      </c>
      <c r="T5" s="279">
        <f>S5-G5+J5</f>
        <v>168935.39999999997</v>
      </c>
      <c r="U5" s="249">
        <f t="shared" ref="U5:U16" si="2">T5/C5/E5/F5</f>
        <v>4.7849462974712216</v>
      </c>
      <c r="V5" s="250">
        <v>508459</v>
      </c>
      <c r="W5" s="250">
        <v>470951</v>
      </c>
      <c r="X5" s="250">
        <v>567706</v>
      </c>
      <c r="Y5" s="250">
        <v>276110</v>
      </c>
      <c r="Z5" s="250">
        <v>388960</v>
      </c>
      <c r="AA5" s="250">
        <v>245349</v>
      </c>
      <c r="AC5" s="242">
        <v>0</v>
      </c>
      <c r="AE5" s="252"/>
      <c r="AF5" s="224"/>
      <c r="AG5" s="224"/>
    </row>
    <row r="6" spans="1:33" s="251" customFormat="1" ht="15.6" customHeight="1">
      <c r="A6" s="346"/>
      <c r="B6" s="243" t="s">
        <v>151</v>
      </c>
      <c r="C6" s="266">
        <v>8.8000000000000007</v>
      </c>
      <c r="D6" s="244">
        <v>13</v>
      </c>
      <c r="E6" s="245">
        <v>118</v>
      </c>
      <c r="F6" s="245">
        <v>34</v>
      </c>
      <c r="G6" s="246">
        <f t="shared" si="0"/>
        <v>458972.80000000005</v>
      </c>
      <c r="H6" s="246"/>
      <c r="I6" s="246">
        <f t="shared" si="1"/>
        <v>458972.80000000005</v>
      </c>
      <c r="J6" s="246"/>
      <c r="K6" s="245">
        <v>505000</v>
      </c>
      <c r="L6" s="283">
        <v>426411</v>
      </c>
      <c r="M6" s="283">
        <v>278717</v>
      </c>
      <c r="N6" s="283">
        <v>278717</v>
      </c>
      <c r="O6" s="277"/>
      <c r="P6" s="278">
        <v>128018</v>
      </c>
      <c r="Q6" s="279">
        <f>N6+O6+P6</f>
        <v>406735</v>
      </c>
      <c r="R6" s="279">
        <f>Q6</f>
        <v>406735</v>
      </c>
      <c r="S6" s="279">
        <f>R6</f>
        <v>406735</v>
      </c>
      <c r="T6" s="279">
        <f>S6-G6+J6</f>
        <v>-52237.800000000047</v>
      </c>
      <c r="U6" s="249">
        <f t="shared" si="2"/>
        <v>-1.4795896401703992</v>
      </c>
      <c r="V6" s="250">
        <v>0</v>
      </c>
      <c r="W6" s="250">
        <v>0</v>
      </c>
      <c r="X6" s="250">
        <f t="shared" ref="X6:X16" si="3">V6-W6</f>
        <v>0</v>
      </c>
      <c r="Y6" s="250">
        <v>0</v>
      </c>
      <c r="Z6" s="250">
        <v>577976</v>
      </c>
      <c r="AA6" s="250">
        <v>475223</v>
      </c>
      <c r="AC6" s="242">
        <v>0</v>
      </c>
      <c r="AE6" s="252"/>
      <c r="AF6" s="224"/>
      <c r="AG6" s="224"/>
    </row>
    <row r="7" spans="1:33" s="251" customFormat="1" ht="16.5" customHeight="1">
      <c r="A7" s="346"/>
      <c r="B7" s="243" t="s">
        <v>41</v>
      </c>
      <c r="C7" s="266">
        <v>8.8000000000000007</v>
      </c>
      <c r="D7" s="244">
        <v>13</v>
      </c>
      <c r="E7" s="245">
        <v>118</v>
      </c>
      <c r="F7" s="245">
        <v>35</v>
      </c>
      <c r="G7" s="246">
        <f t="shared" si="0"/>
        <v>472472</v>
      </c>
      <c r="H7" s="246"/>
      <c r="I7" s="246">
        <f t="shared" si="1"/>
        <v>472472</v>
      </c>
      <c r="J7" s="246"/>
      <c r="K7" s="245">
        <v>500000</v>
      </c>
      <c r="L7" s="283">
        <v>319258</v>
      </c>
      <c r="M7" s="283">
        <v>282546</v>
      </c>
      <c r="N7" s="283">
        <v>282546</v>
      </c>
      <c r="O7" s="277"/>
      <c r="P7" s="278">
        <v>413333</v>
      </c>
      <c r="Q7" s="279">
        <f>N7+O7+P7</f>
        <v>695879</v>
      </c>
      <c r="R7" s="279">
        <f t="shared" ref="R7:R12" si="4">Q7</f>
        <v>695879</v>
      </c>
      <c r="S7" s="279">
        <f t="shared" ref="S7:S16" si="5">R7+T6</f>
        <v>643641.19999999995</v>
      </c>
      <c r="T7" s="279">
        <f t="shared" ref="T7:T16" si="6">S7-G7+J7</f>
        <v>171169.19999999995</v>
      </c>
      <c r="U7" s="249">
        <f>T7/C7/E7/F7</f>
        <v>4.7096962359674208</v>
      </c>
      <c r="V7" s="250">
        <v>22320</v>
      </c>
      <c r="W7" s="251">
        <v>5193</v>
      </c>
      <c r="X7" s="250">
        <f t="shared" si="3"/>
        <v>17127</v>
      </c>
      <c r="Y7" s="250">
        <v>0</v>
      </c>
      <c r="Z7" s="250">
        <v>638661</v>
      </c>
      <c r="AA7" s="250">
        <v>605035</v>
      </c>
      <c r="AC7" s="242">
        <v>0</v>
      </c>
      <c r="AE7" s="252"/>
      <c r="AF7" s="224"/>
      <c r="AG7" s="224"/>
    </row>
    <row r="8" spans="1:33" s="251" customFormat="1" ht="16.5" customHeight="1">
      <c r="A8" s="346"/>
      <c r="B8" s="243" t="s">
        <v>42</v>
      </c>
      <c r="C8" s="266">
        <v>8.8000000000000007</v>
      </c>
      <c r="D8" s="244">
        <v>13</v>
      </c>
      <c r="E8" s="245">
        <v>118</v>
      </c>
      <c r="F8" s="245">
        <v>35</v>
      </c>
      <c r="G8" s="246">
        <f t="shared" si="0"/>
        <v>472472</v>
      </c>
      <c r="H8" s="246"/>
      <c r="I8" s="246">
        <f t="shared" si="1"/>
        <v>472472</v>
      </c>
      <c r="J8" s="246"/>
      <c r="K8" s="245">
        <v>505000</v>
      </c>
      <c r="L8" s="283">
        <v>158815</v>
      </c>
      <c r="M8" s="283">
        <v>84409</v>
      </c>
      <c r="N8" s="283">
        <v>84409</v>
      </c>
      <c r="O8" s="277"/>
      <c r="P8" s="278">
        <v>207553</v>
      </c>
      <c r="Q8" s="279">
        <f>N8+O8+P8</f>
        <v>291962</v>
      </c>
      <c r="R8" s="279">
        <f t="shared" si="4"/>
        <v>291962</v>
      </c>
      <c r="S8" s="279">
        <f t="shared" si="5"/>
        <v>463131.19999999995</v>
      </c>
      <c r="T8" s="279">
        <f t="shared" si="6"/>
        <v>-9340.8000000000466</v>
      </c>
      <c r="U8" s="249">
        <f t="shared" si="2"/>
        <v>-0.25701078582434639</v>
      </c>
      <c r="V8" s="250">
        <v>22584</v>
      </c>
      <c r="W8" s="251">
        <v>3227</v>
      </c>
      <c r="X8" s="250">
        <f t="shared" si="3"/>
        <v>19357</v>
      </c>
      <c r="Y8" s="250">
        <v>14661</v>
      </c>
      <c r="Z8" s="250">
        <v>430815</v>
      </c>
      <c r="AA8" s="250">
        <v>419803</v>
      </c>
      <c r="AC8" s="242">
        <v>0</v>
      </c>
      <c r="AE8" s="252"/>
      <c r="AF8" s="224"/>
      <c r="AG8" s="224"/>
    </row>
    <row r="9" spans="1:33" s="251" customFormat="1" ht="16.95" customHeight="1">
      <c r="A9" s="346"/>
      <c r="B9" s="243" t="s">
        <v>43</v>
      </c>
      <c r="C9" s="266">
        <v>8.8000000000000007</v>
      </c>
      <c r="D9" s="253">
        <v>13</v>
      </c>
      <c r="E9" s="245">
        <v>115</v>
      </c>
      <c r="F9" s="245">
        <v>36</v>
      </c>
      <c r="G9" s="246">
        <f t="shared" si="0"/>
        <v>473616</v>
      </c>
      <c r="H9" s="246"/>
      <c r="I9" s="246">
        <f t="shared" si="1"/>
        <v>473616</v>
      </c>
      <c r="J9" s="246"/>
      <c r="K9" s="245">
        <v>500000</v>
      </c>
      <c r="L9" s="283">
        <v>35342</v>
      </c>
      <c r="M9" s="283">
        <v>60348</v>
      </c>
      <c r="N9" s="283">
        <v>60348</v>
      </c>
      <c r="O9" s="277"/>
      <c r="P9" s="278">
        <v>686897</v>
      </c>
      <c r="Q9" s="279">
        <f>N9+O9+P9</f>
        <v>747245</v>
      </c>
      <c r="R9" s="279">
        <f t="shared" si="4"/>
        <v>747245</v>
      </c>
      <c r="S9" s="279">
        <f t="shared" si="5"/>
        <v>737904.2</v>
      </c>
      <c r="T9" s="279">
        <f t="shared" si="6"/>
        <v>264288.19999999995</v>
      </c>
      <c r="U9" s="249">
        <f t="shared" si="2"/>
        <v>7.2542874396135248</v>
      </c>
      <c r="V9" s="250">
        <v>201926</v>
      </c>
      <c r="W9" s="251">
        <v>113523</v>
      </c>
      <c r="X9" s="250">
        <f t="shared" si="3"/>
        <v>88403</v>
      </c>
      <c r="Y9" s="250">
        <v>34425</v>
      </c>
      <c r="Z9" s="250">
        <v>358959</v>
      </c>
      <c r="AA9" s="250">
        <v>356272</v>
      </c>
      <c r="AC9" s="242">
        <v>6180</v>
      </c>
      <c r="AF9" s="224"/>
      <c r="AG9" s="224"/>
    </row>
    <row r="10" spans="1:33" s="251" customFormat="1">
      <c r="A10" s="346"/>
      <c r="B10" s="243" t="s">
        <v>44</v>
      </c>
      <c r="C10" s="266">
        <v>8.8000000000000007</v>
      </c>
      <c r="D10" s="253">
        <v>13</v>
      </c>
      <c r="E10" s="245">
        <v>115</v>
      </c>
      <c r="F10" s="245">
        <v>36</v>
      </c>
      <c r="G10" s="246">
        <f>C10*D10*E10*F10</f>
        <v>473616</v>
      </c>
      <c r="H10" s="246"/>
      <c r="I10" s="246">
        <f t="shared" si="1"/>
        <v>473616</v>
      </c>
      <c r="J10" s="246"/>
      <c r="K10" s="245">
        <v>505000</v>
      </c>
      <c r="L10" s="283">
        <v>1190</v>
      </c>
      <c r="M10" s="283">
        <v>16146</v>
      </c>
      <c r="N10" s="283">
        <v>16146</v>
      </c>
      <c r="O10" s="277"/>
      <c r="P10" s="278">
        <v>370120</v>
      </c>
      <c r="Q10" s="279">
        <f t="shared" ref="Q10:Q16" si="7">N10+O10+P10</f>
        <v>386266</v>
      </c>
      <c r="R10" s="279">
        <f t="shared" si="4"/>
        <v>386266</v>
      </c>
      <c r="S10" s="279">
        <f t="shared" si="5"/>
        <v>650554.19999999995</v>
      </c>
      <c r="T10" s="279">
        <f t="shared" si="6"/>
        <v>176938.19999999995</v>
      </c>
      <c r="U10" s="249">
        <f t="shared" si="2"/>
        <v>4.8566699604743064</v>
      </c>
      <c r="V10" s="250">
        <v>185159</v>
      </c>
      <c r="W10" s="254">
        <v>13524</v>
      </c>
      <c r="X10" s="255">
        <f t="shared" si="3"/>
        <v>171635</v>
      </c>
      <c r="Y10" s="255">
        <v>171014</v>
      </c>
      <c r="Z10" s="250">
        <v>314025</v>
      </c>
      <c r="AA10" s="250">
        <v>311570</v>
      </c>
      <c r="AC10" s="242">
        <v>58341</v>
      </c>
      <c r="AF10" s="224"/>
      <c r="AG10" s="224"/>
    </row>
    <row r="11" spans="1:33" s="250" customFormat="1" ht="16.2" customHeight="1">
      <c r="A11" s="346"/>
      <c r="B11" s="243" t="s">
        <v>45</v>
      </c>
      <c r="C11" s="266">
        <v>8.8000000000000007</v>
      </c>
      <c r="D11" s="244">
        <v>13</v>
      </c>
      <c r="E11" s="245">
        <v>115</v>
      </c>
      <c r="F11" s="245">
        <v>36</v>
      </c>
      <c r="G11" s="246">
        <f t="shared" si="0"/>
        <v>473616</v>
      </c>
      <c r="H11" s="246"/>
      <c r="I11" s="246">
        <f t="shared" si="1"/>
        <v>473616</v>
      </c>
      <c r="J11" s="246"/>
      <c r="K11" s="245">
        <v>500000</v>
      </c>
      <c r="L11" s="283">
        <v>2716</v>
      </c>
      <c r="M11" s="283">
        <v>32218</v>
      </c>
      <c r="N11" s="283">
        <v>32218</v>
      </c>
      <c r="O11" s="277"/>
      <c r="P11" s="278">
        <v>507003</v>
      </c>
      <c r="Q11" s="279">
        <f>N11+O11+P11</f>
        <v>539221</v>
      </c>
      <c r="R11" s="279">
        <f t="shared" si="4"/>
        <v>539221</v>
      </c>
      <c r="S11" s="279">
        <f t="shared" si="5"/>
        <v>716159.2</v>
      </c>
      <c r="T11" s="279">
        <f t="shared" si="6"/>
        <v>242543.19999999995</v>
      </c>
      <c r="U11" s="249">
        <f t="shared" si="2"/>
        <v>6.6574220465524796</v>
      </c>
      <c r="V11" s="250">
        <v>664133</v>
      </c>
      <c r="W11" s="255">
        <v>65649</v>
      </c>
      <c r="X11" s="255">
        <f t="shared" si="3"/>
        <v>598484</v>
      </c>
      <c r="Y11" s="255">
        <v>515941</v>
      </c>
      <c r="Z11" s="250">
        <v>176607</v>
      </c>
      <c r="AA11" s="250">
        <v>175907</v>
      </c>
      <c r="AC11" s="242">
        <v>162462</v>
      </c>
      <c r="AF11" s="224"/>
      <c r="AG11" s="224"/>
    </row>
    <row r="12" spans="1:33" s="250" customFormat="1" ht="16.5" customHeight="1">
      <c r="A12" s="346"/>
      <c r="B12" s="243" t="s">
        <v>46</v>
      </c>
      <c r="C12" s="266">
        <v>8.8000000000000007</v>
      </c>
      <c r="D12" s="244">
        <v>13</v>
      </c>
      <c r="E12" s="245">
        <v>115</v>
      </c>
      <c r="F12" s="245">
        <v>36</v>
      </c>
      <c r="G12" s="246">
        <f t="shared" si="0"/>
        <v>473616</v>
      </c>
      <c r="H12" s="246"/>
      <c r="I12" s="246">
        <f>SUM(G12)</f>
        <v>473616</v>
      </c>
      <c r="J12" s="246"/>
      <c r="K12" s="245">
        <v>505000</v>
      </c>
      <c r="L12" s="248"/>
      <c r="M12" s="283">
        <v>4092</v>
      </c>
      <c r="N12" s="283">
        <v>4092</v>
      </c>
      <c r="O12" s="277"/>
      <c r="P12" s="278">
        <v>463923</v>
      </c>
      <c r="Q12" s="279">
        <f>N12+O12+P12</f>
        <v>468015</v>
      </c>
      <c r="R12" s="279">
        <f t="shared" si="4"/>
        <v>468015</v>
      </c>
      <c r="S12" s="279">
        <f t="shared" si="5"/>
        <v>710558.2</v>
      </c>
      <c r="T12" s="279">
        <f t="shared" si="6"/>
        <v>236942.19999999995</v>
      </c>
      <c r="U12" s="249">
        <f t="shared" si="2"/>
        <v>6.5036835748792257</v>
      </c>
      <c r="V12" s="250">
        <v>440021</v>
      </c>
      <c r="W12" s="255">
        <v>21261</v>
      </c>
      <c r="X12" s="255">
        <f t="shared" si="3"/>
        <v>418760</v>
      </c>
      <c r="Y12" s="255">
        <v>394434</v>
      </c>
      <c r="Z12" s="250">
        <v>90530</v>
      </c>
      <c r="AA12" s="250">
        <v>90530</v>
      </c>
      <c r="AC12" s="242">
        <v>424185</v>
      </c>
      <c r="AF12" s="224"/>
      <c r="AG12" s="224"/>
    </row>
    <row r="13" spans="1:33" s="250" customFormat="1" ht="16.95" customHeight="1">
      <c r="A13" s="346"/>
      <c r="B13" s="243" t="s">
        <v>47</v>
      </c>
      <c r="C13" s="266">
        <v>8.8000000000000007</v>
      </c>
      <c r="D13" s="244">
        <v>12</v>
      </c>
      <c r="E13" s="245">
        <v>115</v>
      </c>
      <c r="F13" s="245">
        <v>36</v>
      </c>
      <c r="G13" s="246">
        <f t="shared" si="0"/>
        <v>437184.00000000006</v>
      </c>
      <c r="H13" s="246"/>
      <c r="I13" s="246">
        <f>SUM(G13)</f>
        <v>437184.00000000006</v>
      </c>
      <c r="J13" s="246"/>
      <c r="K13" s="245">
        <v>465000</v>
      </c>
      <c r="L13" s="248">
        <v>2332</v>
      </c>
      <c r="M13" s="283">
        <v>7390</v>
      </c>
      <c r="N13" s="283">
        <v>7390</v>
      </c>
      <c r="O13" s="277"/>
      <c r="P13" s="278">
        <v>552843</v>
      </c>
      <c r="Q13" s="279">
        <f t="shared" si="7"/>
        <v>560233</v>
      </c>
      <c r="R13" s="279">
        <f>Q13</f>
        <v>560233</v>
      </c>
      <c r="S13" s="279">
        <f t="shared" si="5"/>
        <v>797175.2</v>
      </c>
      <c r="T13" s="279">
        <f t="shared" si="6"/>
        <v>359991.1999999999</v>
      </c>
      <c r="U13" s="249">
        <f t="shared" si="2"/>
        <v>9.8811813790074634</v>
      </c>
      <c r="V13" s="250">
        <v>376996</v>
      </c>
      <c r="W13" s="255">
        <v>17742</v>
      </c>
      <c r="X13" s="255">
        <f t="shared" si="3"/>
        <v>359254</v>
      </c>
      <c r="Y13" s="255">
        <v>315911</v>
      </c>
      <c r="Z13" s="250">
        <v>37696</v>
      </c>
      <c r="AA13" s="250">
        <v>37259</v>
      </c>
      <c r="AC13" s="242">
        <v>438487</v>
      </c>
      <c r="AF13" s="224"/>
      <c r="AG13" s="224"/>
    </row>
    <row r="14" spans="1:33" s="250" customFormat="1" ht="17.25" customHeight="1">
      <c r="A14" s="346"/>
      <c r="B14" s="243" t="s">
        <v>48</v>
      </c>
      <c r="C14" s="266">
        <v>8.8000000000000007</v>
      </c>
      <c r="D14" s="244">
        <v>11</v>
      </c>
      <c r="E14" s="245">
        <v>118</v>
      </c>
      <c r="F14" s="245">
        <v>36</v>
      </c>
      <c r="G14" s="246">
        <f t="shared" si="0"/>
        <v>411206.40000000002</v>
      </c>
      <c r="H14" s="246"/>
      <c r="I14" s="246">
        <f>SUM(G14)</f>
        <v>411206.40000000002</v>
      </c>
      <c r="J14" s="246"/>
      <c r="K14" s="245">
        <v>425000</v>
      </c>
      <c r="L14" s="248">
        <v>130</v>
      </c>
      <c r="M14" s="283">
        <v>2178</v>
      </c>
      <c r="N14" s="283">
        <v>2178</v>
      </c>
      <c r="O14" s="277"/>
      <c r="P14" s="278">
        <v>273267</v>
      </c>
      <c r="Q14" s="279">
        <f t="shared" si="7"/>
        <v>275445</v>
      </c>
      <c r="R14" s="279">
        <f>Q14</f>
        <v>275445</v>
      </c>
      <c r="S14" s="279">
        <f t="shared" si="5"/>
        <v>635436.19999999995</v>
      </c>
      <c r="T14" s="279">
        <f t="shared" si="6"/>
        <v>224229.79999999993</v>
      </c>
      <c r="U14" s="249">
        <f t="shared" si="2"/>
        <v>5.9982719140558096</v>
      </c>
      <c r="V14" s="250">
        <v>315494</v>
      </c>
      <c r="W14" s="255">
        <v>7939</v>
      </c>
      <c r="X14" s="255">
        <f t="shared" si="3"/>
        <v>307555</v>
      </c>
      <c r="Y14" s="255">
        <v>265277</v>
      </c>
      <c r="Z14" s="250">
        <v>28162</v>
      </c>
      <c r="AA14" s="250">
        <v>27779</v>
      </c>
      <c r="AB14" s="250">
        <v>17552</v>
      </c>
      <c r="AC14" s="242">
        <v>369772</v>
      </c>
      <c r="AF14" s="224"/>
      <c r="AG14" s="224"/>
    </row>
    <row r="15" spans="1:33" s="250" customFormat="1" ht="17.25" customHeight="1">
      <c r="A15" s="346"/>
      <c r="B15" s="243" t="s">
        <v>49</v>
      </c>
      <c r="C15" s="266">
        <v>8.8000000000000007</v>
      </c>
      <c r="D15" s="244">
        <v>7</v>
      </c>
      <c r="E15" s="245">
        <v>118</v>
      </c>
      <c r="F15" s="245">
        <v>36</v>
      </c>
      <c r="G15" s="246">
        <f t="shared" si="0"/>
        <v>261676.80000000005</v>
      </c>
      <c r="H15" s="246"/>
      <c r="I15" s="246">
        <f>SUM(G15)</f>
        <v>261676.80000000005</v>
      </c>
      <c r="J15" s="246"/>
      <c r="K15" s="245">
        <v>270000</v>
      </c>
      <c r="L15" s="248">
        <v>0</v>
      </c>
      <c r="M15" s="283">
        <v>3954</v>
      </c>
      <c r="N15" s="283">
        <v>3954</v>
      </c>
      <c r="O15" s="277"/>
      <c r="P15" s="278">
        <v>379747</v>
      </c>
      <c r="Q15" s="279">
        <f t="shared" si="7"/>
        <v>383701</v>
      </c>
      <c r="R15" s="279">
        <f>Q15</f>
        <v>383701</v>
      </c>
      <c r="S15" s="279">
        <f t="shared" si="5"/>
        <v>607930.79999999993</v>
      </c>
      <c r="T15" s="279">
        <f t="shared" si="6"/>
        <v>346253.99999999988</v>
      </c>
      <c r="U15" s="249">
        <f t="shared" si="2"/>
        <v>9.2624871597329204</v>
      </c>
      <c r="V15" s="250">
        <v>508310</v>
      </c>
      <c r="W15" s="255">
        <v>4308</v>
      </c>
      <c r="X15" s="255">
        <f t="shared" si="3"/>
        <v>504002</v>
      </c>
      <c r="Y15" s="255">
        <v>460126</v>
      </c>
      <c r="Z15" s="250">
        <v>14940</v>
      </c>
      <c r="AA15" s="250">
        <v>14940</v>
      </c>
      <c r="AC15" s="242">
        <v>431713</v>
      </c>
      <c r="AF15" s="224"/>
      <c r="AG15" s="224"/>
    </row>
    <row r="16" spans="1:33" s="250" customFormat="1" ht="17.25" customHeight="1">
      <c r="A16" s="346"/>
      <c r="B16" s="243" t="s">
        <v>50</v>
      </c>
      <c r="C16" s="266">
        <v>8.8000000000000007</v>
      </c>
      <c r="D16" s="244">
        <v>11</v>
      </c>
      <c r="E16" s="245">
        <v>118</v>
      </c>
      <c r="F16" s="245">
        <v>36</v>
      </c>
      <c r="G16" s="246">
        <f t="shared" si="0"/>
        <v>411206.40000000002</v>
      </c>
      <c r="H16" s="246"/>
      <c r="I16" s="246">
        <f>SUM(G16)</f>
        <v>411206.40000000002</v>
      </c>
      <c r="J16" s="246"/>
      <c r="K16" s="245">
        <v>425000</v>
      </c>
      <c r="L16" s="248">
        <v>0</v>
      </c>
      <c r="M16" s="268">
        <v>0</v>
      </c>
      <c r="N16" s="268">
        <v>0</v>
      </c>
      <c r="O16" s="277"/>
      <c r="P16" s="278">
        <v>243722</v>
      </c>
      <c r="Q16" s="279">
        <f t="shared" si="7"/>
        <v>243722</v>
      </c>
      <c r="R16" s="279">
        <f>Q16</f>
        <v>243722</v>
      </c>
      <c r="S16" s="279">
        <f t="shared" si="5"/>
        <v>589975.99999999988</v>
      </c>
      <c r="T16" s="279">
        <f t="shared" si="6"/>
        <v>178769.59999999986</v>
      </c>
      <c r="U16" s="249">
        <f t="shared" si="2"/>
        <v>4.7821862694744004</v>
      </c>
      <c r="V16" s="250">
        <v>223473</v>
      </c>
      <c r="W16" s="255">
        <v>0</v>
      </c>
      <c r="X16" s="255">
        <f t="shared" si="3"/>
        <v>223473</v>
      </c>
      <c r="Y16" s="255">
        <v>200531</v>
      </c>
      <c r="Z16" s="250">
        <v>7094</v>
      </c>
      <c r="AA16" s="250">
        <v>7094</v>
      </c>
      <c r="AB16" s="250">
        <v>176574</v>
      </c>
      <c r="AC16" s="242">
        <v>353593</v>
      </c>
      <c r="AF16" s="224"/>
      <c r="AG16" s="224"/>
    </row>
    <row r="17" spans="1:32" s="250" customFormat="1" ht="19.5" customHeight="1">
      <c r="A17" s="347" t="s">
        <v>51</v>
      </c>
      <c r="B17" s="348"/>
      <c r="C17" s="256"/>
      <c r="D17" s="253"/>
      <c r="E17" s="245"/>
      <c r="F17" s="253"/>
      <c r="G17" s="245">
        <f>SUM(G5:G16)</f>
        <v>5208016.0000000009</v>
      </c>
      <c r="H17" s="245">
        <f>SUM(H5:H16)</f>
        <v>0</v>
      </c>
      <c r="I17" s="245">
        <f>SUM(I5:I16)</f>
        <v>5208016.0000000009</v>
      </c>
      <c r="J17" s="245"/>
      <c r="K17" s="245">
        <f t="shared" ref="K17:R17" si="8">SUM(K5:K16)</f>
        <v>5530000</v>
      </c>
      <c r="L17" s="257">
        <f t="shared" si="8"/>
        <v>1411842</v>
      </c>
      <c r="M17" s="257">
        <f t="shared" si="8"/>
        <v>1165335</v>
      </c>
      <c r="N17" s="257">
        <f t="shared" si="8"/>
        <v>1165335</v>
      </c>
      <c r="O17" s="257">
        <f t="shared" si="8"/>
        <v>119793</v>
      </c>
      <c r="P17" s="257">
        <f t="shared" si="8"/>
        <v>4270593</v>
      </c>
      <c r="Q17" s="257">
        <f t="shared" si="8"/>
        <v>5555721</v>
      </c>
      <c r="R17" s="257">
        <f t="shared" si="8"/>
        <v>5555721</v>
      </c>
      <c r="S17" s="269"/>
      <c r="T17" s="258"/>
      <c r="U17" s="270"/>
      <c r="AF17" s="251"/>
    </row>
    <row r="18" spans="1:32" s="250" customFormat="1" ht="22.5" customHeight="1">
      <c r="A18" s="349" t="s">
        <v>147</v>
      </c>
      <c r="B18" s="350"/>
      <c r="C18" s="350"/>
      <c r="D18" s="350"/>
      <c r="E18" s="350"/>
      <c r="F18" s="350" t="s">
        <v>53</v>
      </c>
      <c r="G18" s="350"/>
      <c r="H18" s="350"/>
      <c r="I18" s="350"/>
      <c r="J18" s="350"/>
      <c r="K18" s="351"/>
      <c r="L18" s="259">
        <f>L17/K17</f>
        <v>0.25530596745027123</v>
      </c>
      <c r="M18" s="260">
        <f>M17/K17</f>
        <v>0.21072965641952984</v>
      </c>
      <c r="N18" s="260"/>
      <c r="O18" s="260"/>
      <c r="P18" s="261">
        <f>P17/K17</f>
        <v>0.77225913200723328</v>
      </c>
      <c r="Q18" s="262"/>
      <c r="R18" s="263"/>
      <c r="S18" s="264"/>
      <c r="T18" s="265"/>
      <c r="U18" s="265"/>
      <c r="AF18" s="251"/>
    </row>
    <row r="20" spans="1:32">
      <c r="P20" s="274" t="s">
        <v>238</v>
      </c>
    </row>
    <row r="21" spans="1:32">
      <c r="Q21" s="235"/>
    </row>
    <row r="33" spans="32:32">
      <c r="AF33" s="233">
        <v>273267</v>
      </c>
    </row>
    <row r="34" spans="32:32">
      <c r="AF34" s="233">
        <v>379747</v>
      </c>
    </row>
    <row r="35" spans="32:32">
      <c r="AF35" s="233">
        <v>243722</v>
      </c>
    </row>
    <row r="51" spans="9:9">
      <c r="I51" s="233">
        <v>2</v>
      </c>
    </row>
  </sheetData>
  <mergeCells count="23">
    <mergeCell ref="U2:U4"/>
    <mergeCell ref="M3:N3"/>
    <mergeCell ref="A5:A16"/>
    <mergeCell ref="A17:B17"/>
    <mergeCell ref="A18:K18"/>
    <mergeCell ref="M2:O2"/>
    <mergeCell ref="P2:P4"/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8"/>
  <sheetViews>
    <sheetView zoomScale="85" zoomScaleNormal="85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D16" sqref="D16"/>
    </sheetView>
  </sheetViews>
  <sheetFormatPr defaultColWidth="10.6640625" defaultRowHeight="15.6"/>
  <cols>
    <col min="1" max="1" width="9.44140625" style="61" hidden="1" customWidth="1"/>
    <col min="2" max="2" width="9.21875" style="61" customWidth="1"/>
    <col min="3" max="3" width="7.21875" style="61" customWidth="1"/>
    <col min="4" max="4" width="9.109375" style="61" customWidth="1"/>
    <col min="5" max="5" width="8.44140625" style="61" customWidth="1"/>
    <col min="6" max="6" width="10.44140625" style="61" customWidth="1"/>
    <col min="7" max="7" width="12" style="61" customWidth="1"/>
    <col min="8" max="8" width="10.109375" style="61" customWidth="1"/>
    <col min="9" max="10" width="11.77734375" style="61" customWidth="1"/>
    <col min="11" max="11" width="11.88671875" style="61" customWidth="1"/>
    <col min="12" max="12" width="10.88671875" style="61" customWidth="1"/>
    <col min="13" max="13" width="13.44140625" style="69" customWidth="1"/>
    <col min="14" max="14" width="13.6640625" style="69" customWidth="1"/>
    <col min="15" max="15" width="12.44140625" style="69" customWidth="1"/>
    <col min="16" max="16" width="13.88671875" style="69" customWidth="1"/>
    <col min="17" max="17" width="15" style="61" customWidth="1"/>
    <col min="18" max="18" width="14.33203125" style="61" customWidth="1"/>
    <col min="19" max="19" width="15.6640625" style="61" customWidth="1"/>
    <col min="20" max="20" width="12.44140625" style="61" customWidth="1"/>
    <col min="21" max="21" width="9.33203125" style="61" customWidth="1"/>
    <col min="22" max="22" width="14.6640625" style="61" hidden="1" customWidth="1"/>
    <col min="23" max="23" width="12.21875" style="61" hidden="1" customWidth="1"/>
    <col min="24" max="24" width="10.6640625" style="61" hidden="1" customWidth="1"/>
    <col min="25" max="25" width="16.6640625" style="61" hidden="1" customWidth="1"/>
    <col min="26" max="26" width="20.77734375" style="61" hidden="1" customWidth="1"/>
    <col min="27" max="27" width="16.88671875" style="61" hidden="1" customWidth="1"/>
    <col min="28" max="28" width="12.6640625" style="61" hidden="1" customWidth="1"/>
    <col min="29" max="29" width="13.33203125" style="61" hidden="1" customWidth="1"/>
    <col min="30" max="16384" width="10.6640625" style="61"/>
  </cols>
  <sheetData>
    <row r="1" spans="1:35" ht="30" customHeight="1">
      <c r="A1" s="198" t="s">
        <v>214</v>
      </c>
      <c r="B1" s="1"/>
      <c r="C1" s="1"/>
      <c r="D1" s="1"/>
      <c r="E1" s="1"/>
      <c r="F1" s="1"/>
      <c r="G1" s="201" t="s">
        <v>217</v>
      </c>
      <c r="H1" s="201" t="s">
        <v>216</v>
      </c>
      <c r="I1" s="1"/>
      <c r="J1" s="1"/>
      <c r="K1" s="1"/>
      <c r="L1" s="188"/>
      <c r="M1" s="202" t="s">
        <v>218</v>
      </c>
      <c r="N1" s="202" t="s">
        <v>220</v>
      </c>
      <c r="O1" s="1"/>
      <c r="P1" s="188"/>
      <c r="Q1" s="201" t="s">
        <v>219</v>
      </c>
      <c r="R1" s="201" t="s">
        <v>219</v>
      </c>
      <c r="S1" s="201" t="s">
        <v>221</v>
      </c>
      <c r="T1" s="203" t="s">
        <v>222</v>
      </c>
      <c r="U1" s="5"/>
    </row>
    <row r="2" spans="1:35" s="181" customFormat="1" ht="28.5" customHeight="1">
      <c r="A2" s="325" t="s">
        <v>1</v>
      </c>
      <c r="B2" s="325" t="s">
        <v>154</v>
      </c>
      <c r="C2" s="325" t="s">
        <v>155</v>
      </c>
      <c r="D2" s="325" t="s">
        <v>156</v>
      </c>
      <c r="E2" s="325" t="s">
        <v>157</v>
      </c>
      <c r="F2" s="336" t="s">
        <v>158</v>
      </c>
      <c r="G2" s="335" t="s">
        <v>159</v>
      </c>
      <c r="H2" s="336" t="s">
        <v>141</v>
      </c>
      <c r="I2" s="336" t="s">
        <v>161</v>
      </c>
      <c r="J2" s="337" t="s">
        <v>191</v>
      </c>
      <c r="K2" s="335" t="s">
        <v>160</v>
      </c>
      <c r="L2" s="335" t="s">
        <v>152</v>
      </c>
      <c r="M2" s="312" t="s">
        <v>12</v>
      </c>
      <c r="N2" s="313"/>
      <c r="O2" s="313"/>
      <c r="P2" s="332" t="s">
        <v>234</v>
      </c>
      <c r="Q2" s="325" t="s">
        <v>231</v>
      </c>
      <c r="R2" s="325" t="s">
        <v>164</v>
      </c>
      <c r="S2" s="328" t="s">
        <v>165</v>
      </c>
      <c r="T2" s="325" t="s">
        <v>17</v>
      </c>
      <c r="U2" s="325" t="s">
        <v>18</v>
      </c>
    </row>
    <row r="3" spans="1:35" s="181" customFormat="1" ht="30.75" customHeight="1">
      <c r="A3" s="326"/>
      <c r="B3" s="326"/>
      <c r="C3" s="326"/>
      <c r="D3" s="326"/>
      <c r="E3" s="326"/>
      <c r="F3" s="336"/>
      <c r="G3" s="335"/>
      <c r="H3" s="336"/>
      <c r="I3" s="336"/>
      <c r="J3" s="337"/>
      <c r="K3" s="335"/>
      <c r="L3" s="335"/>
      <c r="M3" s="314" t="s">
        <v>19</v>
      </c>
      <c r="N3" s="314"/>
      <c r="O3" s="280" t="s">
        <v>20</v>
      </c>
      <c r="P3" s="333"/>
      <c r="Q3" s="326"/>
      <c r="R3" s="326"/>
      <c r="S3" s="329"/>
      <c r="T3" s="326"/>
      <c r="U3" s="326"/>
    </row>
    <row r="4" spans="1:35" s="168" customFormat="1" ht="49.5" customHeight="1">
      <c r="A4" s="327"/>
      <c r="B4" s="327"/>
      <c r="C4" s="327"/>
      <c r="D4" s="327"/>
      <c r="E4" s="327"/>
      <c r="F4" s="336"/>
      <c r="G4" s="322"/>
      <c r="H4" s="325"/>
      <c r="I4" s="325"/>
      <c r="J4" s="308"/>
      <c r="K4" s="322"/>
      <c r="L4" s="322"/>
      <c r="M4" s="218" t="s">
        <v>153</v>
      </c>
      <c r="N4" s="218" t="s">
        <v>232</v>
      </c>
      <c r="O4" s="218" t="s">
        <v>233</v>
      </c>
      <c r="P4" s="333"/>
      <c r="Q4" s="326"/>
      <c r="R4" s="327"/>
      <c r="S4" s="330"/>
      <c r="T4" s="327"/>
      <c r="U4" s="327"/>
      <c r="V4" s="168" t="s">
        <v>227</v>
      </c>
      <c r="W4" s="206" t="s">
        <v>223</v>
      </c>
      <c r="X4" s="206" t="s">
        <v>224</v>
      </c>
      <c r="Y4" s="206" t="s">
        <v>228</v>
      </c>
      <c r="Z4" s="208" t="s">
        <v>225</v>
      </c>
      <c r="AA4" s="208" t="s">
        <v>226</v>
      </c>
      <c r="AB4" s="168" t="s">
        <v>229</v>
      </c>
      <c r="AC4" s="209" t="s">
        <v>230</v>
      </c>
    </row>
    <row r="5" spans="1:35" s="34" customFormat="1" ht="17.25" customHeight="1">
      <c r="A5" s="315" t="s">
        <v>213</v>
      </c>
      <c r="B5" s="210" t="s">
        <v>55</v>
      </c>
      <c r="C5" s="211">
        <v>9</v>
      </c>
      <c r="D5" s="212">
        <v>13</v>
      </c>
      <c r="E5" s="213">
        <v>115</v>
      </c>
      <c r="F5" s="213">
        <v>32</v>
      </c>
      <c r="G5" s="214">
        <f t="shared" ref="G5:G16" si="0">C5*D5*E5*F5</f>
        <v>430560</v>
      </c>
      <c r="H5" s="214">
        <v>42892</v>
      </c>
      <c r="I5" s="214">
        <v>383171</v>
      </c>
      <c r="J5" s="214"/>
      <c r="K5" s="215">
        <v>548889</v>
      </c>
      <c r="L5" s="272">
        <v>350441</v>
      </c>
      <c r="M5" s="287">
        <v>332730</v>
      </c>
      <c r="N5" s="271">
        <v>0</v>
      </c>
      <c r="O5" s="220">
        <v>0</v>
      </c>
      <c r="P5" s="220">
        <v>0</v>
      </c>
      <c r="Q5" s="216">
        <f t="shared" ref="Q5:Q12" si="1">N5+O5+P5</f>
        <v>0</v>
      </c>
      <c r="R5" s="216">
        <f t="shared" ref="R5:R9" si="2">I5</f>
        <v>383171</v>
      </c>
      <c r="S5" s="216">
        <f>R5</f>
        <v>383171</v>
      </c>
      <c r="T5" s="216">
        <v>0</v>
      </c>
      <c r="U5" s="217">
        <f t="shared" ref="U5:U16" si="3">T5/C5/E5/F5</f>
        <v>0</v>
      </c>
      <c r="V5" s="42">
        <v>0</v>
      </c>
      <c r="W5" s="205">
        <v>0</v>
      </c>
      <c r="X5" s="205">
        <f>V5-W5</f>
        <v>0</v>
      </c>
      <c r="Y5" s="205">
        <v>0</v>
      </c>
      <c r="Z5" s="42">
        <v>336083</v>
      </c>
      <c r="AA5" s="42">
        <v>133770</v>
      </c>
      <c r="AC5" s="209">
        <v>0</v>
      </c>
      <c r="AF5" s="224"/>
      <c r="AG5" s="224"/>
      <c r="AH5" s="224"/>
    </row>
    <row r="6" spans="1:35" s="34" customFormat="1" ht="15.6" customHeight="1">
      <c r="A6" s="316"/>
      <c r="B6" s="210" t="s">
        <v>56</v>
      </c>
      <c r="C6" s="211">
        <f>8+40/27</f>
        <v>9.481481481481481</v>
      </c>
      <c r="D6" s="212">
        <v>14</v>
      </c>
      <c r="E6" s="213">
        <v>121.3</v>
      </c>
      <c r="F6" s="213">
        <v>32</v>
      </c>
      <c r="G6" s="214">
        <f t="shared" si="0"/>
        <v>515246.45925925922</v>
      </c>
      <c r="H6" s="214">
        <v>42673</v>
      </c>
      <c r="I6" s="214">
        <v>469545</v>
      </c>
      <c r="J6" s="214"/>
      <c r="K6" s="213">
        <v>591111</v>
      </c>
      <c r="L6" s="272">
        <v>459362</v>
      </c>
      <c r="M6" s="287">
        <v>577974</v>
      </c>
      <c r="N6" s="271">
        <v>0</v>
      </c>
      <c r="O6" s="220">
        <v>0</v>
      </c>
      <c r="P6" s="220">
        <v>0</v>
      </c>
      <c r="Q6" s="216">
        <f t="shared" si="1"/>
        <v>0</v>
      </c>
      <c r="R6" s="216">
        <f t="shared" si="2"/>
        <v>469545</v>
      </c>
      <c r="S6" s="216">
        <f>R6</f>
        <v>469545</v>
      </c>
      <c r="T6" s="216">
        <v>0</v>
      </c>
      <c r="U6" s="217">
        <f t="shared" si="3"/>
        <v>0</v>
      </c>
      <c r="V6" s="42">
        <v>0</v>
      </c>
      <c r="W6" s="205">
        <v>0</v>
      </c>
      <c r="X6" s="205">
        <f t="shared" ref="X6:X16" si="4">V6-W6</f>
        <v>0</v>
      </c>
      <c r="Y6" s="205">
        <v>0</v>
      </c>
      <c r="Z6" s="42">
        <v>577976</v>
      </c>
      <c r="AA6" s="42">
        <v>475223</v>
      </c>
      <c r="AC6" s="209">
        <v>0</v>
      </c>
      <c r="AF6" s="224"/>
      <c r="AG6" s="224"/>
      <c r="AH6" s="224"/>
    </row>
    <row r="7" spans="1:35" s="34" customFormat="1" ht="16.5" customHeight="1">
      <c r="A7" s="316"/>
      <c r="B7" s="210" t="s">
        <v>57</v>
      </c>
      <c r="C7" s="211">
        <v>9.5</v>
      </c>
      <c r="D7" s="212">
        <v>13</v>
      </c>
      <c r="E7" s="213">
        <v>110</v>
      </c>
      <c r="F7" s="213">
        <v>38</v>
      </c>
      <c r="G7" s="214">
        <f t="shared" si="0"/>
        <v>516230</v>
      </c>
      <c r="H7" s="214">
        <v>9372</v>
      </c>
      <c r="I7" s="214">
        <v>476940</v>
      </c>
      <c r="J7" s="214"/>
      <c r="K7" s="213">
        <v>555208</v>
      </c>
      <c r="L7" s="272">
        <v>488996</v>
      </c>
      <c r="M7" s="287">
        <v>636694</v>
      </c>
      <c r="N7" s="271">
        <v>0</v>
      </c>
      <c r="O7" s="220"/>
      <c r="P7" s="220">
        <v>0</v>
      </c>
      <c r="Q7" s="216">
        <f t="shared" si="1"/>
        <v>0</v>
      </c>
      <c r="R7" s="216">
        <f t="shared" si="2"/>
        <v>476940</v>
      </c>
      <c r="S7" s="216">
        <f t="shared" ref="S7:S16" si="5">R7+T6</f>
        <v>476940</v>
      </c>
      <c r="T7" s="216">
        <v>0</v>
      </c>
      <c r="U7" s="217">
        <f t="shared" si="3"/>
        <v>0</v>
      </c>
      <c r="V7" s="42">
        <v>22320</v>
      </c>
      <c r="W7" s="207">
        <v>5193</v>
      </c>
      <c r="X7" s="205">
        <f t="shared" si="4"/>
        <v>17127</v>
      </c>
      <c r="Y7" s="205">
        <v>0</v>
      </c>
      <c r="Z7" s="42">
        <v>638661</v>
      </c>
      <c r="AA7" s="42">
        <v>605035</v>
      </c>
      <c r="AC7" s="209">
        <v>0</v>
      </c>
      <c r="AF7" s="224"/>
      <c r="AG7" s="224"/>
      <c r="AH7" s="224"/>
    </row>
    <row r="8" spans="1:35" s="34" customFormat="1" ht="16.5" customHeight="1">
      <c r="A8" s="316"/>
      <c r="B8" s="210" t="s">
        <v>58</v>
      </c>
      <c r="C8" s="211">
        <v>9.5</v>
      </c>
      <c r="D8" s="212">
        <v>11</v>
      </c>
      <c r="E8" s="213">
        <v>112</v>
      </c>
      <c r="F8" s="213">
        <v>38</v>
      </c>
      <c r="G8" s="214">
        <f t="shared" si="0"/>
        <v>444752</v>
      </c>
      <c r="H8" s="214"/>
      <c r="I8" s="214">
        <v>426583</v>
      </c>
      <c r="J8" s="214"/>
      <c r="K8" s="213">
        <v>469792</v>
      </c>
      <c r="L8" s="272">
        <v>431673</v>
      </c>
      <c r="M8" s="287">
        <v>433782</v>
      </c>
      <c r="N8" s="271">
        <v>0</v>
      </c>
      <c r="O8" s="220"/>
      <c r="P8" s="220">
        <v>0</v>
      </c>
      <c r="Q8" s="216">
        <f t="shared" si="1"/>
        <v>0</v>
      </c>
      <c r="R8" s="216">
        <f t="shared" si="2"/>
        <v>426583</v>
      </c>
      <c r="S8" s="216">
        <f t="shared" si="5"/>
        <v>426583</v>
      </c>
      <c r="T8" s="216">
        <v>0</v>
      </c>
      <c r="U8" s="217">
        <f t="shared" si="3"/>
        <v>0</v>
      </c>
      <c r="V8" s="42">
        <v>22584</v>
      </c>
      <c r="W8" s="207">
        <v>3227</v>
      </c>
      <c r="X8" s="205">
        <f t="shared" si="4"/>
        <v>19357</v>
      </c>
      <c r="Y8" s="205">
        <v>14661</v>
      </c>
      <c r="Z8" s="42">
        <v>430815</v>
      </c>
      <c r="AA8" s="42">
        <v>419803</v>
      </c>
      <c r="AC8" s="209">
        <v>0</v>
      </c>
      <c r="AF8" s="224"/>
      <c r="AG8" s="224"/>
      <c r="AH8" s="224"/>
    </row>
    <row r="9" spans="1:35" s="34" customFormat="1" ht="16.95" customHeight="1">
      <c r="A9" s="316"/>
      <c r="B9" s="210" t="s">
        <v>59</v>
      </c>
      <c r="C9" s="211">
        <v>8.8000000000000007</v>
      </c>
      <c r="D9" s="223">
        <v>12</v>
      </c>
      <c r="E9" s="213">
        <v>116</v>
      </c>
      <c r="F9" s="213">
        <v>35</v>
      </c>
      <c r="G9" s="214">
        <f t="shared" si="0"/>
        <v>428736</v>
      </c>
      <c r="H9" s="214"/>
      <c r="I9" s="214">
        <v>443124</v>
      </c>
      <c r="J9" s="214"/>
      <c r="K9" s="213">
        <v>504000</v>
      </c>
      <c r="L9" s="272">
        <v>439314</v>
      </c>
      <c r="M9" s="287">
        <v>419900</v>
      </c>
      <c r="N9" s="272">
        <v>18107</v>
      </c>
      <c r="O9" s="220"/>
      <c r="P9" s="220">
        <v>0</v>
      </c>
      <c r="Q9" s="216">
        <f t="shared" si="1"/>
        <v>18107</v>
      </c>
      <c r="R9" s="216">
        <f t="shared" si="2"/>
        <v>443124</v>
      </c>
      <c r="S9" s="216">
        <f t="shared" si="5"/>
        <v>443124</v>
      </c>
      <c r="T9" s="216">
        <v>0</v>
      </c>
      <c r="U9" s="217">
        <f>T9/C9/E9/F9</f>
        <v>0</v>
      </c>
      <c r="V9" s="42">
        <v>201926</v>
      </c>
      <c r="W9" s="207">
        <v>113523</v>
      </c>
      <c r="X9" s="205">
        <f t="shared" si="4"/>
        <v>88403</v>
      </c>
      <c r="Y9" s="205">
        <v>34425</v>
      </c>
      <c r="Z9" s="42">
        <v>358959</v>
      </c>
      <c r="AA9" s="42">
        <v>356272</v>
      </c>
      <c r="AC9" s="209">
        <v>6180</v>
      </c>
      <c r="AF9" s="224"/>
      <c r="AG9" s="224"/>
      <c r="AH9" s="224"/>
    </row>
    <row r="10" spans="1:35" s="34" customFormat="1">
      <c r="A10" s="316"/>
      <c r="B10" s="210" t="s">
        <v>60</v>
      </c>
      <c r="C10" s="211">
        <v>8.5</v>
      </c>
      <c r="D10" s="223">
        <v>13</v>
      </c>
      <c r="E10" s="213">
        <v>117.5</v>
      </c>
      <c r="F10" s="213">
        <v>35</v>
      </c>
      <c r="G10" s="214">
        <f t="shared" si="0"/>
        <v>454431.25</v>
      </c>
      <c r="H10" s="214"/>
      <c r="I10" s="214">
        <v>464062</v>
      </c>
      <c r="J10" s="214"/>
      <c r="K10" s="213">
        <v>546000</v>
      </c>
      <c r="L10" s="272">
        <v>424943</v>
      </c>
      <c r="M10" s="287">
        <v>336540</v>
      </c>
      <c r="N10" s="272">
        <v>320</v>
      </c>
      <c r="O10" s="220"/>
      <c r="P10" s="220">
        <v>0</v>
      </c>
      <c r="Q10" s="216">
        <f t="shared" si="1"/>
        <v>320</v>
      </c>
      <c r="R10" s="216">
        <f>I10</f>
        <v>464062</v>
      </c>
      <c r="S10" s="216">
        <f t="shared" si="5"/>
        <v>464062</v>
      </c>
      <c r="T10" s="216">
        <v>0</v>
      </c>
      <c r="U10" s="217">
        <f t="shared" si="3"/>
        <v>0</v>
      </c>
      <c r="V10" s="42">
        <v>185159</v>
      </c>
      <c r="W10" s="207">
        <v>13524</v>
      </c>
      <c r="X10" s="205">
        <f t="shared" si="4"/>
        <v>171635</v>
      </c>
      <c r="Y10" s="205">
        <v>171014</v>
      </c>
      <c r="Z10" s="42">
        <v>314025</v>
      </c>
      <c r="AA10" s="42">
        <v>311570</v>
      </c>
      <c r="AC10" s="209">
        <v>58341</v>
      </c>
      <c r="AF10" s="224"/>
      <c r="AG10" s="224"/>
      <c r="AH10" s="224"/>
    </row>
    <row r="11" spans="1:35" s="42" customFormat="1" ht="16.2" customHeight="1">
      <c r="A11" s="316"/>
      <c r="B11" s="210" t="s">
        <v>61</v>
      </c>
      <c r="C11" s="211">
        <v>8.8000000000000007</v>
      </c>
      <c r="D11" s="212">
        <v>13</v>
      </c>
      <c r="E11" s="213">
        <v>118</v>
      </c>
      <c r="F11" s="213">
        <v>33</v>
      </c>
      <c r="G11" s="214">
        <f t="shared" si="0"/>
        <v>445473.60000000003</v>
      </c>
      <c r="H11" s="214">
        <v>25566</v>
      </c>
      <c r="I11" s="214">
        <v>432329</v>
      </c>
      <c r="J11" s="214"/>
      <c r="K11" s="213">
        <v>552500</v>
      </c>
      <c r="L11" s="272">
        <v>493516</v>
      </c>
      <c r="M11" s="287">
        <v>350765</v>
      </c>
      <c r="N11" s="272">
        <v>1955</v>
      </c>
      <c r="O11" s="221"/>
      <c r="P11" s="220">
        <v>0</v>
      </c>
      <c r="Q11" s="216">
        <f>N11+O11+P11</f>
        <v>1955</v>
      </c>
      <c r="R11" s="216">
        <f>I11</f>
        <v>432329</v>
      </c>
      <c r="S11" s="216">
        <f t="shared" si="5"/>
        <v>432329</v>
      </c>
      <c r="T11" s="216">
        <v>0</v>
      </c>
      <c r="U11" s="217">
        <f>T11/C11/E11/F11</f>
        <v>0</v>
      </c>
      <c r="V11" s="42">
        <v>664133</v>
      </c>
      <c r="W11" s="205">
        <v>65649</v>
      </c>
      <c r="X11" s="205">
        <f t="shared" si="4"/>
        <v>598484</v>
      </c>
      <c r="Y11" s="205">
        <v>515941</v>
      </c>
      <c r="Z11" s="42">
        <v>176607</v>
      </c>
      <c r="AA11" s="42">
        <v>175907</v>
      </c>
      <c r="AC11" s="209">
        <v>162462</v>
      </c>
      <c r="AF11" s="224"/>
      <c r="AG11" s="224"/>
      <c r="AH11" s="224"/>
    </row>
    <row r="12" spans="1:35" s="42" customFormat="1" ht="16.5" customHeight="1">
      <c r="A12" s="316"/>
      <c r="B12" s="210" t="s">
        <v>62</v>
      </c>
      <c r="C12" s="211">
        <v>8.8000000000000007</v>
      </c>
      <c r="D12" s="212">
        <v>13</v>
      </c>
      <c r="E12" s="213">
        <v>120</v>
      </c>
      <c r="F12" s="213">
        <v>33</v>
      </c>
      <c r="G12" s="214">
        <f t="shared" si="0"/>
        <v>453024</v>
      </c>
      <c r="H12" s="214">
        <v>28746</v>
      </c>
      <c r="I12" s="214">
        <v>456387</v>
      </c>
      <c r="J12" s="214"/>
      <c r="K12" s="213">
        <v>552500</v>
      </c>
      <c r="L12" s="272">
        <v>477093</v>
      </c>
      <c r="M12" s="287">
        <v>522574</v>
      </c>
      <c r="N12" s="272">
        <v>4022</v>
      </c>
      <c r="O12" s="221"/>
      <c r="P12" s="220">
        <v>0</v>
      </c>
      <c r="Q12" s="276">
        <f t="shared" si="1"/>
        <v>4022</v>
      </c>
      <c r="R12" s="216">
        <f>I12</f>
        <v>456387</v>
      </c>
      <c r="S12" s="216">
        <f t="shared" si="5"/>
        <v>456387</v>
      </c>
      <c r="T12" s="216">
        <v>0</v>
      </c>
      <c r="U12" s="217">
        <f>T12/C12/E12/F12</f>
        <v>0</v>
      </c>
      <c r="V12" s="42">
        <v>440021</v>
      </c>
      <c r="W12" s="205">
        <v>21261</v>
      </c>
      <c r="X12" s="205">
        <f t="shared" si="4"/>
        <v>418760</v>
      </c>
      <c r="Y12" s="205">
        <v>394434</v>
      </c>
      <c r="Z12" s="42">
        <v>90530</v>
      </c>
      <c r="AA12" s="42">
        <v>90530</v>
      </c>
      <c r="AC12" s="209">
        <v>424185</v>
      </c>
      <c r="AE12" s="61"/>
      <c r="AF12" s="224"/>
      <c r="AG12" s="224"/>
      <c r="AH12" s="224"/>
      <c r="AI12" s="224"/>
    </row>
    <row r="13" spans="1:35" s="42" customFormat="1" ht="16.95" customHeight="1">
      <c r="A13" s="316"/>
      <c r="B13" s="210" t="s">
        <v>63</v>
      </c>
      <c r="C13" s="211">
        <v>8</v>
      </c>
      <c r="D13" s="212">
        <v>11</v>
      </c>
      <c r="E13" s="213">
        <v>118</v>
      </c>
      <c r="F13" s="213">
        <v>32</v>
      </c>
      <c r="G13" s="285">
        <f t="shared" si="0"/>
        <v>332288</v>
      </c>
      <c r="H13" s="285">
        <v>31106</v>
      </c>
      <c r="I13" s="285">
        <v>312647</v>
      </c>
      <c r="J13" s="285">
        <v>312647</v>
      </c>
      <c r="K13" s="286">
        <v>464630</v>
      </c>
      <c r="L13" s="272">
        <v>374053</v>
      </c>
      <c r="M13" s="282">
        <v>443129</v>
      </c>
      <c r="N13" s="272">
        <v>141378</v>
      </c>
      <c r="O13" s="221"/>
      <c r="P13" s="220">
        <v>0</v>
      </c>
      <c r="Q13" s="276">
        <f>N13+O13+P13</f>
        <v>141378</v>
      </c>
      <c r="R13" s="216">
        <f>I13</f>
        <v>312647</v>
      </c>
      <c r="S13" s="216">
        <f t="shared" si="5"/>
        <v>312647</v>
      </c>
      <c r="T13" s="216">
        <v>0</v>
      </c>
      <c r="U13" s="217">
        <f t="shared" si="3"/>
        <v>0</v>
      </c>
      <c r="V13" s="42">
        <v>376996</v>
      </c>
      <c r="W13" s="205">
        <v>17742</v>
      </c>
      <c r="X13" s="205">
        <f t="shared" si="4"/>
        <v>359254</v>
      </c>
      <c r="Y13" s="205">
        <v>315911</v>
      </c>
      <c r="Z13" s="42">
        <v>37696</v>
      </c>
      <c r="AA13" s="42">
        <v>37259</v>
      </c>
      <c r="AC13" s="209">
        <v>438487</v>
      </c>
      <c r="AE13" s="61"/>
      <c r="AF13" s="224"/>
      <c r="AG13" s="224"/>
      <c r="AH13" s="224"/>
      <c r="AI13" s="224"/>
    </row>
    <row r="14" spans="1:35" s="42" customFormat="1" ht="17.25" customHeight="1">
      <c r="A14" s="316"/>
      <c r="B14" s="23" t="s">
        <v>64</v>
      </c>
      <c r="C14" s="24">
        <v>8</v>
      </c>
      <c r="D14" s="25">
        <v>0</v>
      </c>
      <c r="E14" s="26">
        <v>118</v>
      </c>
      <c r="F14" s="26">
        <v>32</v>
      </c>
      <c r="G14" s="28">
        <f t="shared" si="0"/>
        <v>0</v>
      </c>
      <c r="H14" s="28">
        <v>37500</v>
      </c>
      <c r="I14" s="28">
        <f t="shared" ref="I14:I16" si="6">SUM(G14)</f>
        <v>0</v>
      </c>
      <c r="J14" s="28">
        <v>198</v>
      </c>
      <c r="K14" s="26">
        <v>500370</v>
      </c>
      <c r="L14" s="284">
        <v>72146</v>
      </c>
      <c r="M14" s="281">
        <v>303027</v>
      </c>
      <c r="N14" s="284">
        <v>205195</v>
      </c>
      <c r="O14" s="222"/>
      <c r="P14" s="267"/>
      <c r="Q14" s="225">
        <f>N14+O14+P14</f>
        <v>205195</v>
      </c>
      <c r="R14" s="31">
        <f>Q9+Q10+Q11+Q12+Q13+Q14</f>
        <v>370977</v>
      </c>
      <c r="S14" s="31">
        <f t="shared" si="5"/>
        <v>370977</v>
      </c>
      <c r="T14" s="31">
        <f t="shared" ref="T14:T16" si="7">S14-G14+J14</f>
        <v>371175</v>
      </c>
      <c r="U14" s="33">
        <f t="shared" si="3"/>
        <v>12.287307997881356</v>
      </c>
      <c r="V14" s="42">
        <v>315494</v>
      </c>
      <c r="W14" s="205">
        <v>7939</v>
      </c>
      <c r="X14" s="205">
        <f t="shared" si="4"/>
        <v>307555</v>
      </c>
      <c r="Y14" s="205">
        <v>265277</v>
      </c>
      <c r="Z14" s="42">
        <v>28162</v>
      </c>
      <c r="AA14" s="42">
        <v>27779</v>
      </c>
      <c r="AB14" s="42">
        <v>17552</v>
      </c>
      <c r="AC14" s="209">
        <v>369772</v>
      </c>
      <c r="AE14" s="61"/>
      <c r="AF14" s="224"/>
      <c r="AG14" s="224"/>
      <c r="AH14" s="224"/>
      <c r="AI14" s="224"/>
    </row>
    <row r="15" spans="1:35" s="42" customFormat="1" ht="17.25" customHeight="1">
      <c r="A15" s="316"/>
      <c r="B15" s="23" t="s">
        <v>65</v>
      </c>
      <c r="C15" s="24">
        <v>8</v>
      </c>
      <c r="D15" s="43">
        <v>8</v>
      </c>
      <c r="E15" s="26">
        <v>118</v>
      </c>
      <c r="F15" s="26">
        <v>32</v>
      </c>
      <c r="G15" s="28">
        <f t="shared" si="0"/>
        <v>241664</v>
      </c>
      <c r="H15" s="28">
        <v>37500</v>
      </c>
      <c r="I15" s="28">
        <f t="shared" si="6"/>
        <v>241664</v>
      </c>
      <c r="J15" s="28"/>
      <c r="K15" s="26">
        <v>457407</v>
      </c>
      <c r="L15" s="284">
        <v>233552</v>
      </c>
      <c r="M15" s="281">
        <v>462248</v>
      </c>
      <c r="N15" s="284">
        <v>425497</v>
      </c>
      <c r="O15" s="222"/>
      <c r="P15" s="267"/>
      <c r="Q15" s="225">
        <f>N15+O15+P15</f>
        <v>425497</v>
      </c>
      <c r="R15" s="31">
        <f>Q15</f>
        <v>425497</v>
      </c>
      <c r="S15" s="31">
        <f t="shared" si="5"/>
        <v>796672</v>
      </c>
      <c r="T15" s="31">
        <f t="shared" si="7"/>
        <v>555008</v>
      </c>
      <c r="U15" s="33">
        <f t="shared" si="3"/>
        <v>18.372881355932204</v>
      </c>
      <c r="V15" s="42">
        <v>508310</v>
      </c>
      <c r="W15" s="205">
        <v>4308</v>
      </c>
      <c r="X15" s="205">
        <f t="shared" si="4"/>
        <v>504002</v>
      </c>
      <c r="Y15" s="205">
        <v>460126</v>
      </c>
      <c r="Z15" s="42">
        <v>14940</v>
      </c>
      <c r="AA15" s="42">
        <v>14940</v>
      </c>
      <c r="AC15" s="209">
        <v>431713</v>
      </c>
      <c r="AE15" s="61"/>
      <c r="AF15" s="224"/>
      <c r="AG15" s="224"/>
      <c r="AH15" s="224"/>
      <c r="AI15" s="224"/>
    </row>
    <row r="16" spans="1:35" s="42" customFormat="1" ht="17.25" customHeight="1">
      <c r="A16" s="316"/>
      <c r="B16" s="23" t="s">
        <v>66</v>
      </c>
      <c r="C16" s="24">
        <v>8</v>
      </c>
      <c r="D16" s="43">
        <v>14</v>
      </c>
      <c r="E16" s="26">
        <v>118</v>
      </c>
      <c r="F16" s="26">
        <v>32</v>
      </c>
      <c r="G16" s="28">
        <f t="shared" si="0"/>
        <v>422912</v>
      </c>
      <c r="H16" s="28">
        <v>37500</v>
      </c>
      <c r="I16" s="28">
        <f t="shared" si="6"/>
        <v>422912</v>
      </c>
      <c r="J16" s="28"/>
      <c r="K16" s="26">
        <v>492593</v>
      </c>
      <c r="L16" s="284">
        <v>461655</v>
      </c>
      <c r="M16" s="281">
        <v>212568</v>
      </c>
      <c r="N16" s="284">
        <v>198917</v>
      </c>
      <c r="O16" s="222"/>
      <c r="P16" s="267">
        <v>236</v>
      </c>
      <c r="Q16" s="225">
        <f>N16+O16+P16</f>
        <v>199153</v>
      </c>
      <c r="R16" s="31">
        <f t="shared" ref="R16" si="8">Q16</f>
        <v>199153</v>
      </c>
      <c r="S16" s="31">
        <f t="shared" si="5"/>
        <v>754161</v>
      </c>
      <c r="T16" s="31">
        <f t="shared" si="7"/>
        <v>331249</v>
      </c>
      <c r="U16" s="33">
        <f t="shared" si="3"/>
        <v>10.965605137711865</v>
      </c>
      <c r="V16" s="42">
        <v>223473</v>
      </c>
      <c r="W16" s="205">
        <v>0</v>
      </c>
      <c r="X16" s="205">
        <f t="shared" si="4"/>
        <v>223473</v>
      </c>
      <c r="Y16" s="205">
        <v>200531</v>
      </c>
      <c r="Z16" s="42">
        <v>7094</v>
      </c>
      <c r="AA16" s="42">
        <v>7094</v>
      </c>
      <c r="AB16" s="42">
        <v>176574</v>
      </c>
      <c r="AC16" s="209">
        <v>353593</v>
      </c>
      <c r="AE16" s="61"/>
      <c r="AF16" s="224"/>
      <c r="AG16" s="224"/>
      <c r="AH16" s="224"/>
      <c r="AI16" s="224"/>
    </row>
    <row r="17" spans="1:21" s="42" customFormat="1" ht="19.5" customHeight="1">
      <c r="A17" s="317" t="s">
        <v>51</v>
      </c>
      <c r="B17" s="318"/>
      <c r="C17" s="44"/>
      <c r="D17" s="45"/>
      <c r="E17" s="35"/>
      <c r="F17" s="45"/>
      <c r="G17" s="35">
        <f>SUM(G5:G16)</f>
        <v>4685317.3092592601</v>
      </c>
      <c r="H17" s="35">
        <f>SUM(H5:H16)</f>
        <v>292855</v>
      </c>
      <c r="I17" s="35">
        <f>SUM(I5:I16)</f>
        <v>4529364</v>
      </c>
      <c r="J17" s="35"/>
      <c r="K17" s="26">
        <f>SUM(K5:K16)</f>
        <v>6235000</v>
      </c>
      <c r="L17" s="192">
        <f>SUM(L5:L16)</f>
        <v>4706744</v>
      </c>
      <c r="M17" s="192">
        <f>SUM(M5:M16)</f>
        <v>5031931</v>
      </c>
      <c r="N17" s="192">
        <f>SUM(N5:N16)</f>
        <v>995391</v>
      </c>
      <c r="O17" s="46">
        <v>0</v>
      </c>
      <c r="P17" s="192">
        <f>SUM(P5:P16)</f>
        <v>236</v>
      </c>
      <c r="Q17" s="46">
        <f>SUM(Q5:Q16)</f>
        <v>995627</v>
      </c>
      <c r="R17" s="46">
        <f>SUM(R5:R16)</f>
        <v>4860415</v>
      </c>
      <c r="S17" s="47"/>
      <c r="T17" s="49"/>
      <c r="U17" s="51"/>
    </row>
    <row r="18" spans="1:21" s="42" customFormat="1" ht="22.5" customHeight="1">
      <c r="A18" s="319" t="s">
        <v>147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0"/>
      <c r="K18" s="321"/>
      <c r="L18" s="189">
        <f>L17/K17</f>
        <v>0.75489077786688052</v>
      </c>
      <c r="M18" s="53">
        <f>M17/K17</f>
        <v>0.80704587008821171</v>
      </c>
      <c r="N18" s="53"/>
      <c r="O18" s="53"/>
      <c r="P18" s="193">
        <f>P17/K17</f>
        <v>3.7850842020850043E-5</v>
      </c>
      <c r="Q18" s="55"/>
      <c r="R18" s="56"/>
      <c r="S18" s="57"/>
      <c r="T18" s="59"/>
      <c r="U18" s="59"/>
    </row>
    <row r="20" spans="1:21">
      <c r="O20" s="273"/>
      <c r="P20" s="274" t="s">
        <v>239</v>
      </c>
      <c r="Q20" s="275"/>
    </row>
    <row r="21" spans="1:21">
      <c r="Q21" s="73"/>
    </row>
    <row r="24" spans="1:21">
      <c r="L24" s="69"/>
    </row>
    <row r="25" spans="1:21">
      <c r="L25" s="69"/>
    </row>
    <row r="26" spans="1:21">
      <c r="L26" s="69"/>
    </row>
    <row r="27" spans="1:21">
      <c r="L27" s="69"/>
    </row>
    <row r="28" spans="1:21">
      <c r="J28" s="69"/>
    </row>
    <row r="29" spans="1:21">
      <c r="J29" s="69"/>
    </row>
    <row r="30" spans="1:21">
      <c r="J30" s="69"/>
      <c r="M30" s="61"/>
    </row>
    <row r="31" spans="1:21">
      <c r="J31" s="69"/>
      <c r="K31" s="69"/>
      <c r="M31" s="61"/>
    </row>
    <row r="32" spans="1:21">
      <c r="J32" s="69"/>
      <c r="K32" s="69"/>
      <c r="M32" s="61"/>
    </row>
    <row r="33" spans="5:13">
      <c r="K33" s="69"/>
      <c r="M33" s="61"/>
    </row>
    <row r="34" spans="5:13">
      <c r="F34" s="69"/>
      <c r="K34" s="69"/>
      <c r="M34" s="61"/>
    </row>
    <row r="35" spans="5:13">
      <c r="E35" s="69"/>
      <c r="F35" s="69"/>
      <c r="M35" s="61"/>
    </row>
    <row r="36" spans="5:13">
      <c r="E36" s="69"/>
      <c r="F36" s="69"/>
      <c r="M36" s="61"/>
    </row>
    <row r="37" spans="5:13">
      <c r="E37" s="69"/>
      <c r="F37" s="69"/>
    </row>
    <row r="38" spans="5:13">
      <c r="E38" s="69"/>
    </row>
  </sheetData>
  <mergeCells count="23">
    <mergeCell ref="U2:U4"/>
    <mergeCell ref="M3:N3"/>
    <mergeCell ref="A5:A16"/>
    <mergeCell ref="A17:B17"/>
    <mergeCell ref="A18:K18"/>
    <mergeCell ref="M2:O2"/>
    <mergeCell ref="P2:P4"/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1"/>
  <sheetViews>
    <sheetView topLeftCell="B1" zoomScale="85" zoomScaleNormal="85" workbookViewId="0">
      <selection activeCell="C16" sqref="C16"/>
    </sheetView>
  </sheetViews>
  <sheetFormatPr defaultColWidth="10.6640625" defaultRowHeight="16.2"/>
  <cols>
    <col min="1" max="1" width="9.44140625" style="233" hidden="1" customWidth="1"/>
    <col min="2" max="2" width="9.21875" style="233" customWidth="1"/>
    <col min="3" max="3" width="7.21875" style="233" customWidth="1"/>
    <col min="4" max="4" width="9.109375" style="233" customWidth="1"/>
    <col min="5" max="5" width="8.44140625" style="233" customWidth="1"/>
    <col min="6" max="6" width="10.44140625" style="233" customWidth="1"/>
    <col min="7" max="7" width="12" style="233" customWidth="1"/>
    <col min="8" max="8" width="10.109375" style="233" customWidth="1"/>
    <col min="9" max="10" width="11.77734375" style="233" customWidth="1"/>
    <col min="11" max="11" width="11.88671875" style="233" customWidth="1"/>
    <col min="12" max="12" width="12.109375" style="233" customWidth="1"/>
    <col min="13" max="13" width="13.44140625" style="234" customWidth="1"/>
    <col min="14" max="14" width="13.6640625" style="234" customWidth="1"/>
    <col min="15" max="15" width="12.44140625" style="234" customWidth="1"/>
    <col min="16" max="16" width="13.88671875" style="234" customWidth="1"/>
    <col min="17" max="17" width="15" style="233" customWidth="1"/>
    <col min="18" max="18" width="14.33203125" style="233" customWidth="1"/>
    <col min="19" max="19" width="15.6640625" style="233" customWidth="1"/>
    <col min="20" max="20" width="12.44140625" style="233" customWidth="1"/>
    <col min="21" max="21" width="9.33203125" style="233" customWidth="1"/>
    <col min="22" max="22" width="14.6640625" style="233" hidden="1" customWidth="1"/>
    <col min="23" max="23" width="12.21875" style="233" hidden="1" customWidth="1"/>
    <col min="24" max="24" width="10.6640625" style="233" hidden="1" customWidth="1"/>
    <col min="25" max="25" width="16.6640625" style="233" hidden="1" customWidth="1"/>
    <col min="26" max="26" width="20.77734375" style="233" hidden="1" customWidth="1"/>
    <col min="27" max="27" width="16.88671875" style="233" hidden="1" customWidth="1"/>
    <col min="28" max="28" width="12.6640625" style="233" hidden="1" customWidth="1"/>
    <col min="29" max="29" width="13.33203125" style="233" hidden="1" customWidth="1"/>
    <col min="30" max="16384" width="10.6640625" style="233"/>
  </cols>
  <sheetData>
    <row r="1" spans="1:33" ht="30" customHeight="1">
      <c r="A1" s="226" t="s">
        <v>214</v>
      </c>
      <c r="B1" s="227"/>
      <c r="C1" s="227"/>
      <c r="D1" s="227"/>
      <c r="E1" s="227"/>
      <c r="F1" s="227"/>
      <c r="G1" s="228" t="s">
        <v>217</v>
      </c>
      <c r="H1" s="228" t="s">
        <v>216</v>
      </c>
      <c r="I1" s="227"/>
      <c r="J1" s="227"/>
      <c r="K1" s="227"/>
      <c r="L1" s="229"/>
      <c r="M1" s="230" t="s">
        <v>218</v>
      </c>
      <c r="N1" s="230" t="s">
        <v>220</v>
      </c>
      <c r="O1" s="227"/>
      <c r="P1" s="229"/>
      <c r="Q1" s="228" t="s">
        <v>219</v>
      </c>
      <c r="R1" s="228" t="s">
        <v>219</v>
      </c>
      <c r="S1" s="228" t="s">
        <v>221</v>
      </c>
      <c r="T1" s="231" t="s">
        <v>222</v>
      </c>
      <c r="U1" s="232"/>
    </row>
    <row r="2" spans="1:33" s="236" customFormat="1" ht="28.5" customHeight="1">
      <c r="A2" s="340" t="s">
        <v>1</v>
      </c>
      <c r="B2" s="340" t="s">
        <v>154</v>
      </c>
      <c r="C2" s="340" t="s">
        <v>155</v>
      </c>
      <c r="D2" s="340" t="s">
        <v>156</v>
      </c>
      <c r="E2" s="340" t="s">
        <v>157</v>
      </c>
      <c r="F2" s="343" t="s">
        <v>158</v>
      </c>
      <c r="G2" s="338" t="s">
        <v>159</v>
      </c>
      <c r="H2" s="343" t="s">
        <v>141</v>
      </c>
      <c r="I2" s="343" t="s">
        <v>161</v>
      </c>
      <c r="J2" s="358" t="s">
        <v>191</v>
      </c>
      <c r="K2" s="338" t="s">
        <v>160</v>
      </c>
      <c r="L2" s="338" t="s">
        <v>152</v>
      </c>
      <c r="M2" s="352" t="s">
        <v>12</v>
      </c>
      <c r="N2" s="353"/>
      <c r="O2" s="353"/>
      <c r="P2" s="354" t="s">
        <v>234</v>
      </c>
      <c r="Q2" s="340" t="s">
        <v>235</v>
      </c>
      <c r="R2" s="340" t="s">
        <v>164</v>
      </c>
      <c r="S2" s="356" t="s">
        <v>165</v>
      </c>
      <c r="T2" s="340" t="s">
        <v>17</v>
      </c>
      <c r="U2" s="340" t="s">
        <v>18</v>
      </c>
    </row>
    <row r="3" spans="1:33" s="236" customFormat="1" ht="30.75" customHeight="1">
      <c r="A3" s="341"/>
      <c r="B3" s="341"/>
      <c r="C3" s="341"/>
      <c r="D3" s="341"/>
      <c r="E3" s="341"/>
      <c r="F3" s="343"/>
      <c r="G3" s="338"/>
      <c r="H3" s="343"/>
      <c r="I3" s="343"/>
      <c r="J3" s="358"/>
      <c r="K3" s="338"/>
      <c r="L3" s="338"/>
      <c r="M3" s="344" t="s">
        <v>19</v>
      </c>
      <c r="N3" s="344"/>
      <c r="O3" s="237" t="s">
        <v>20</v>
      </c>
      <c r="P3" s="355"/>
      <c r="Q3" s="341"/>
      <c r="R3" s="341"/>
      <c r="S3" s="357"/>
      <c r="T3" s="341"/>
      <c r="U3" s="341"/>
    </row>
    <row r="4" spans="1:33" s="239" customFormat="1" ht="49.5" customHeight="1">
      <c r="A4" s="342"/>
      <c r="B4" s="342"/>
      <c r="C4" s="342"/>
      <c r="D4" s="342"/>
      <c r="E4" s="342"/>
      <c r="F4" s="343"/>
      <c r="G4" s="338"/>
      <c r="H4" s="343"/>
      <c r="I4" s="343"/>
      <c r="J4" s="358"/>
      <c r="K4" s="338"/>
      <c r="L4" s="339"/>
      <c r="M4" s="238" t="s">
        <v>153</v>
      </c>
      <c r="N4" s="238" t="s">
        <v>236</v>
      </c>
      <c r="O4" s="238" t="s">
        <v>237</v>
      </c>
      <c r="P4" s="355"/>
      <c r="Q4" s="341"/>
      <c r="R4" s="341"/>
      <c r="S4" s="357"/>
      <c r="T4" s="341"/>
      <c r="U4" s="342"/>
      <c r="V4" s="239" t="s">
        <v>227</v>
      </c>
      <c r="W4" s="240" t="s">
        <v>223</v>
      </c>
      <c r="X4" s="240" t="s">
        <v>224</v>
      </c>
      <c r="Y4" s="240" t="s">
        <v>228</v>
      </c>
      <c r="Z4" s="241" t="s">
        <v>225</v>
      </c>
      <c r="AA4" s="241" t="s">
        <v>226</v>
      </c>
      <c r="AB4" s="239" t="s">
        <v>229</v>
      </c>
      <c r="AC4" s="242" t="s">
        <v>230</v>
      </c>
    </row>
    <row r="5" spans="1:33" s="251" customFormat="1" ht="17.25" customHeight="1">
      <c r="A5" s="345" t="s">
        <v>213</v>
      </c>
      <c r="B5" s="243" t="s">
        <v>39</v>
      </c>
      <c r="C5" s="266">
        <v>8.8000000000000007</v>
      </c>
      <c r="D5" s="244">
        <v>11</v>
      </c>
      <c r="E5" s="245">
        <v>118</v>
      </c>
      <c r="F5" s="245">
        <v>34</v>
      </c>
      <c r="G5" s="246">
        <f t="shared" ref="G5:G16" si="0">C5*D5*E5*F5</f>
        <v>388361.60000000003</v>
      </c>
      <c r="H5" s="246"/>
      <c r="I5" s="246">
        <f t="shared" ref="I5:I11" si="1">SUM(G5)</f>
        <v>388361.60000000003</v>
      </c>
      <c r="J5" s="246"/>
      <c r="K5" s="247">
        <v>425000</v>
      </c>
      <c r="L5" s="283">
        <v>465648</v>
      </c>
      <c r="M5" s="283">
        <v>393337</v>
      </c>
      <c r="N5" s="283">
        <v>393337</v>
      </c>
      <c r="O5" s="277">
        <f>'FW21 季 Cold cement(0805)'!T16</f>
        <v>331249</v>
      </c>
      <c r="P5" s="278">
        <v>44167</v>
      </c>
      <c r="Q5" s="279">
        <f>N5+O5+P5</f>
        <v>768753</v>
      </c>
      <c r="R5" s="279">
        <f>Q5</f>
        <v>768753</v>
      </c>
      <c r="S5" s="279">
        <f>R5</f>
        <v>768753</v>
      </c>
      <c r="T5" s="279">
        <f>S5-G5+J5</f>
        <v>380391.39999999997</v>
      </c>
      <c r="U5" s="249">
        <f t="shared" ref="U5:U16" si="2">T5/C5/E5/F5</f>
        <v>10.774251110305446</v>
      </c>
      <c r="V5" s="250">
        <v>508459</v>
      </c>
      <c r="W5" s="250">
        <v>470951</v>
      </c>
      <c r="X5" s="250">
        <v>567706</v>
      </c>
      <c r="Y5" s="250">
        <v>276110</v>
      </c>
      <c r="Z5" s="250">
        <v>388960</v>
      </c>
      <c r="AA5" s="250">
        <v>245349</v>
      </c>
      <c r="AC5" s="242">
        <v>0</v>
      </c>
      <c r="AE5" s="252"/>
      <c r="AF5" s="224"/>
      <c r="AG5" s="224"/>
    </row>
    <row r="6" spans="1:33" s="251" customFormat="1" ht="15.6" customHeight="1">
      <c r="A6" s="346"/>
      <c r="B6" s="243" t="s">
        <v>151</v>
      </c>
      <c r="C6" s="266">
        <v>8.8000000000000007</v>
      </c>
      <c r="D6" s="244">
        <v>13</v>
      </c>
      <c r="E6" s="245">
        <v>118</v>
      </c>
      <c r="F6" s="245">
        <v>34</v>
      </c>
      <c r="G6" s="246">
        <f t="shared" si="0"/>
        <v>458972.80000000005</v>
      </c>
      <c r="H6" s="246"/>
      <c r="I6" s="246">
        <f t="shared" si="1"/>
        <v>458972.80000000005</v>
      </c>
      <c r="J6" s="246"/>
      <c r="K6" s="245">
        <v>505000</v>
      </c>
      <c r="L6" s="283">
        <v>426411</v>
      </c>
      <c r="M6" s="283">
        <v>278717</v>
      </c>
      <c r="N6" s="283">
        <v>278717</v>
      </c>
      <c r="O6" s="277"/>
      <c r="P6" s="278">
        <v>128018</v>
      </c>
      <c r="Q6" s="279">
        <f>N6+O6+P6</f>
        <v>406735</v>
      </c>
      <c r="R6" s="279">
        <f>Q6</f>
        <v>406735</v>
      </c>
      <c r="S6" s="279">
        <f>R6</f>
        <v>406735</v>
      </c>
      <c r="T6" s="279">
        <f>S6-G6+J6</f>
        <v>-52237.800000000047</v>
      </c>
      <c r="U6" s="249">
        <f t="shared" si="2"/>
        <v>-1.4795896401703992</v>
      </c>
      <c r="V6" s="250">
        <v>0</v>
      </c>
      <c r="W6" s="250">
        <v>0</v>
      </c>
      <c r="X6" s="250">
        <f t="shared" ref="X6:X16" si="3">V6-W6</f>
        <v>0</v>
      </c>
      <c r="Y6" s="250">
        <v>0</v>
      </c>
      <c r="Z6" s="250">
        <v>577976</v>
      </c>
      <c r="AA6" s="250">
        <v>475223</v>
      </c>
      <c r="AC6" s="242">
        <v>0</v>
      </c>
      <c r="AE6" s="252"/>
      <c r="AF6" s="224"/>
      <c r="AG6" s="224"/>
    </row>
    <row r="7" spans="1:33" s="251" customFormat="1" ht="16.5" customHeight="1">
      <c r="A7" s="346"/>
      <c r="B7" s="243" t="s">
        <v>41</v>
      </c>
      <c r="C7" s="266">
        <v>8.8000000000000007</v>
      </c>
      <c r="D7" s="244">
        <v>13</v>
      </c>
      <c r="E7" s="245">
        <v>118</v>
      </c>
      <c r="F7" s="245">
        <v>35</v>
      </c>
      <c r="G7" s="246">
        <f t="shared" si="0"/>
        <v>472472</v>
      </c>
      <c r="H7" s="246"/>
      <c r="I7" s="246">
        <f t="shared" si="1"/>
        <v>472472</v>
      </c>
      <c r="J7" s="246"/>
      <c r="K7" s="245">
        <v>500000</v>
      </c>
      <c r="L7" s="283">
        <v>319258</v>
      </c>
      <c r="M7" s="283">
        <v>282546</v>
      </c>
      <c r="N7" s="283">
        <v>282546</v>
      </c>
      <c r="O7" s="277"/>
      <c r="P7" s="278">
        <v>413333</v>
      </c>
      <c r="Q7" s="279">
        <f>N7+O7+P7</f>
        <v>695879</v>
      </c>
      <c r="R7" s="279">
        <f t="shared" ref="R7:R12" si="4">Q7</f>
        <v>695879</v>
      </c>
      <c r="S7" s="279">
        <f t="shared" ref="S7:S16" si="5">R7+T6</f>
        <v>643641.19999999995</v>
      </c>
      <c r="T7" s="279">
        <f t="shared" ref="T7:T16" si="6">S7-G7+J7</f>
        <v>171169.19999999995</v>
      </c>
      <c r="U7" s="249">
        <f>T7/C7/E7/F7</f>
        <v>4.7096962359674208</v>
      </c>
      <c r="V7" s="250">
        <v>22320</v>
      </c>
      <c r="W7" s="251">
        <v>5193</v>
      </c>
      <c r="X7" s="250">
        <f t="shared" si="3"/>
        <v>17127</v>
      </c>
      <c r="Y7" s="250">
        <v>0</v>
      </c>
      <c r="Z7" s="250">
        <v>638661</v>
      </c>
      <c r="AA7" s="250">
        <v>605035</v>
      </c>
      <c r="AC7" s="242">
        <v>0</v>
      </c>
      <c r="AE7" s="252"/>
      <c r="AF7" s="224"/>
      <c r="AG7" s="224"/>
    </row>
    <row r="8" spans="1:33" s="251" customFormat="1" ht="16.5" customHeight="1">
      <c r="A8" s="346"/>
      <c r="B8" s="243" t="s">
        <v>42</v>
      </c>
      <c r="C8" s="266">
        <v>8.8000000000000007</v>
      </c>
      <c r="D8" s="244">
        <v>13</v>
      </c>
      <c r="E8" s="245">
        <v>118</v>
      </c>
      <c r="F8" s="245">
        <v>35</v>
      </c>
      <c r="G8" s="246">
        <f t="shared" si="0"/>
        <v>472472</v>
      </c>
      <c r="H8" s="246"/>
      <c r="I8" s="246">
        <f t="shared" si="1"/>
        <v>472472</v>
      </c>
      <c r="J8" s="246"/>
      <c r="K8" s="245">
        <v>505000</v>
      </c>
      <c r="L8" s="283">
        <v>158815</v>
      </c>
      <c r="M8" s="283">
        <v>84409</v>
      </c>
      <c r="N8" s="283">
        <v>84409</v>
      </c>
      <c r="O8" s="277"/>
      <c r="P8" s="278">
        <v>207553</v>
      </c>
      <c r="Q8" s="279">
        <f>N8+O8+P8</f>
        <v>291962</v>
      </c>
      <c r="R8" s="279">
        <f t="shared" si="4"/>
        <v>291962</v>
      </c>
      <c r="S8" s="279">
        <f t="shared" si="5"/>
        <v>463131.19999999995</v>
      </c>
      <c r="T8" s="279">
        <f t="shared" si="6"/>
        <v>-9340.8000000000466</v>
      </c>
      <c r="U8" s="249">
        <f t="shared" si="2"/>
        <v>-0.25701078582434639</v>
      </c>
      <c r="V8" s="250">
        <v>22584</v>
      </c>
      <c r="W8" s="251">
        <v>3227</v>
      </c>
      <c r="X8" s="250">
        <f t="shared" si="3"/>
        <v>19357</v>
      </c>
      <c r="Y8" s="250">
        <v>14661</v>
      </c>
      <c r="Z8" s="250">
        <v>430815</v>
      </c>
      <c r="AA8" s="250">
        <v>419803</v>
      </c>
      <c r="AC8" s="242">
        <v>0</v>
      </c>
      <c r="AE8" s="252"/>
      <c r="AF8" s="224"/>
      <c r="AG8" s="224"/>
    </row>
    <row r="9" spans="1:33" s="251" customFormat="1" ht="16.95" customHeight="1">
      <c r="A9" s="346"/>
      <c r="B9" s="243" t="s">
        <v>43</v>
      </c>
      <c r="C9" s="266">
        <v>8.8000000000000007</v>
      </c>
      <c r="D9" s="253">
        <v>13</v>
      </c>
      <c r="E9" s="245">
        <v>115</v>
      </c>
      <c r="F9" s="245">
        <v>36</v>
      </c>
      <c r="G9" s="246">
        <f t="shared" si="0"/>
        <v>473616</v>
      </c>
      <c r="H9" s="246"/>
      <c r="I9" s="246">
        <f t="shared" si="1"/>
        <v>473616</v>
      </c>
      <c r="J9" s="246"/>
      <c r="K9" s="245">
        <v>500000</v>
      </c>
      <c r="L9" s="283">
        <v>35342</v>
      </c>
      <c r="M9" s="283">
        <v>60348</v>
      </c>
      <c r="N9" s="283">
        <v>60348</v>
      </c>
      <c r="O9" s="277"/>
      <c r="P9" s="278">
        <v>686897</v>
      </c>
      <c r="Q9" s="279">
        <f>N9+O9+P9</f>
        <v>747245</v>
      </c>
      <c r="R9" s="279">
        <f t="shared" si="4"/>
        <v>747245</v>
      </c>
      <c r="S9" s="279">
        <f t="shared" si="5"/>
        <v>737904.2</v>
      </c>
      <c r="T9" s="279">
        <f t="shared" si="6"/>
        <v>264288.19999999995</v>
      </c>
      <c r="U9" s="249">
        <f t="shared" si="2"/>
        <v>7.2542874396135248</v>
      </c>
      <c r="V9" s="250">
        <v>201926</v>
      </c>
      <c r="W9" s="251">
        <v>113523</v>
      </c>
      <c r="X9" s="250">
        <f t="shared" si="3"/>
        <v>88403</v>
      </c>
      <c r="Y9" s="250">
        <v>34425</v>
      </c>
      <c r="Z9" s="250">
        <v>358959</v>
      </c>
      <c r="AA9" s="250">
        <v>356272</v>
      </c>
      <c r="AC9" s="242">
        <v>6180</v>
      </c>
      <c r="AF9" s="224"/>
      <c r="AG9" s="224"/>
    </row>
    <row r="10" spans="1:33" s="251" customFormat="1">
      <c r="A10" s="346"/>
      <c r="B10" s="243" t="s">
        <v>44</v>
      </c>
      <c r="C10" s="266">
        <v>8.8000000000000007</v>
      </c>
      <c r="D10" s="253">
        <v>13</v>
      </c>
      <c r="E10" s="245">
        <v>115</v>
      </c>
      <c r="F10" s="245">
        <v>36</v>
      </c>
      <c r="G10" s="246">
        <f>C10*D10*E10*F10</f>
        <v>473616</v>
      </c>
      <c r="H10" s="246"/>
      <c r="I10" s="246">
        <f t="shared" si="1"/>
        <v>473616</v>
      </c>
      <c r="J10" s="246"/>
      <c r="K10" s="245">
        <v>505000</v>
      </c>
      <c r="L10" s="283">
        <v>1190</v>
      </c>
      <c r="M10" s="283">
        <v>16146</v>
      </c>
      <c r="N10" s="283">
        <v>16146</v>
      </c>
      <c r="O10" s="277"/>
      <c r="P10" s="278">
        <v>370120</v>
      </c>
      <c r="Q10" s="279">
        <f t="shared" ref="Q10:Q16" si="7">N10+O10+P10</f>
        <v>386266</v>
      </c>
      <c r="R10" s="279">
        <f t="shared" si="4"/>
        <v>386266</v>
      </c>
      <c r="S10" s="279">
        <f t="shared" si="5"/>
        <v>650554.19999999995</v>
      </c>
      <c r="T10" s="279">
        <f t="shared" si="6"/>
        <v>176938.19999999995</v>
      </c>
      <c r="U10" s="249">
        <f t="shared" si="2"/>
        <v>4.8566699604743064</v>
      </c>
      <c r="V10" s="250">
        <v>185159</v>
      </c>
      <c r="W10" s="254">
        <v>13524</v>
      </c>
      <c r="X10" s="255">
        <f t="shared" si="3"/>
        <v>171635</v>
      </c>
      <c r="Y10" s="255">
        <v>171014</v>
      </c>
      <c r="Z10" s="250">
        <v>314025</v>
      </c>
      <c r="AA10" s="250">
        <v>311570</v>
      </c>
      <c r="AC10" s="242">
        <v>58341</v>
      </c>
      <c r="AF10" s="224"/>
      <c r="AG10" s="224"/>
    </row>
    <row r="11" spans="1:33" s="250" customFormat="1" ht="16.2" customHeight="1">
      <c r="A11" s="346"/>
      <c r="B11" s="243" t="s">
        <v>45</v>
      </c>
      <c r="C11" s="266">
        <v>8.8000000000000007</v>
      </c>
      <c r="D11" s="244">
        <v>13</v>
      </c>
      <c r="E11" s="245">
        <v>115</v>
      </c>
      <c r="F11" s="245">
        <v>36</v>
      </c>
      <c r="G11" s="246">
        <f t="shared" si="0"/>
        <v>473616</v>
      </c>
      <c r="H11" s="246"/>
      <c r="I11" s="246">
        <f t="shared" si="1"/>
        <v>473616</v>
      </c>
      <c r="J11" s="246"/>
      <c r="K11" s="245">
        <v>500000</v>
      </c>
      <c r="L11" s="283">
        <v>2716</v>
      </c>
      <c r="M11" s="283">
        <v>32218</v>
      </c>
      <c r="N11" s="283">
        <v>32218</v>
      </c>
      <c r="O11" s="277"/>
      <c r="P11" s="278">
        <v>507003</v>
      </c>
      <c r="Q11" s="279">
        <f>N11+O11+P11</f>
        <v>539221</v>
      </c>
      <c r="R11" s="279">
        <f t="shared" si="4"/>
        <v>539221</v>
      </c>
      <c r="S11" s="279">
        <f t="shared" si="5"/>
        <v>716159.2</v>
      </c>
      <c r="T11" s="279">
        <f t="shared" si="6"/>
        <v>242543.19999999995</v>
      </c>
      <c r="U11" s="249">
        <f t="shared" si="2"/>
        <v>6.6574220465524796</v>
      </c>
      <c r="V11" s="250">
        <v>664133</v>
      </c>
      <c r="W11" s="255">
        <v>65649</v>
      </c>
      <c r="X11" s="255">
        <f t="shared" si="3"/>
        <v>598484</v>
      </c>
      <c r="Y11" s="255">
        <v>515941</v>
      </c>
      <c r="Z11" s="250">
        <v>176607</v>
      </c>
      <c r="AA11" s="250">
        <v>175907</v>
      </c>
      <c r="AC11" s="242">
        <v>162462</v>
      </c>
      <c r="AF11" s="224"/>
      <c r="AG11" s="224"/>
    </row>
    <row r="12" spans="1:33" s="250" customFormat="1" ht="16.5" customHeight="1">
      <c r="A12" s="346"/>
      <c r="B12" s="243" t="s">
        <v>46</v>
      </c>
      <c r="C12" s="266">
        <v>8.8000000000000007</v>
      </c>
      <c r="D12" s="244">
        <v>13</v>
      </c>
      <c r="E12" s="245">
        <v>115</v>
      </c>
      <c r="F12" s="245">
        <v>36</v>
      </c>
      <c r="G12" s="246">
        <f t="shared" si="0"/>
        <v>473616</v>
      </c>
      <c r="H12" s="246"/>
      <c r="I12" s="246">
        <f>SUM(G12)</f>
        <v>473616</v>
      </c>
      <c r="J12" s="246"/>
      <c r="K12" s="245">
        <v>505000</v>
      </c>
      <c r="L12" s="248"/>
      <c r="M12" s="283">
        <v>4092</v>
      </c>
      <c r="N12" s="283">
        <v>4092</v>
      </c>
      <c r="O12" s="277"/>
      <c r="P12" s="278">
        <v>463923</v>
      </c>
      <c r="Q12" s="279">
        <f>N12+O12+P12</f>
        <v>468015</v>
      </c>
      <c r="R12" s="279">
        <f t="shared" si="4"/>
        <v>468015</v>
      </c>
      <c r="S12" s="279">
        <f t="shared" si="5"/>
        <v>710558.2</v>
      </c>
      <c r="T12" s="279">
        <f t="shared" si="6"/>
        <v>236942.19999999995</v>
      </c>
      <c r="U12" s="249">
        <f t="shared" si="2"/>
        <v>6.5036835748792257</v>
      </c>
      <c r="V12" s="250">
        <v>440021</v>
      </c>
      <c r="W12" s="255">
        <v>21261</v>
      </c>
      <c r="X12" s="255">
        <f t="shared" si="3"/>
        <v>418760</v>
      </c>
      <c r="Y12" s="255">
        <v>394434</v>
      </c>
      <c r="Z12" s="250">
        <v>90530</v>
      </c>
      <c r="AA12" s="250">
        <v>90530</v>
      </c>
      <c r="AC12" s="242">
        <v>424185</v>
      </c>
      <c r="AF12" s="224"/>
      <c r="AG12" s="224"/>
    </row>
    <row r="13" spans="1:33" s="250" customFormat="1" ht="16.95" customHeight="1">
      <c r="A13" s="346"/>
      <c r="B13" s="243" t="s">
        <v>47</v>
      </c>
      <c r="C13" s="266">
        <v>8.8000000000000007</v>
      </c>
      <c r="D13" s="244">
        <v>12</v>
      </c>
      <c r="E13" s="245">
        <v>115</v>
      </c>
      <c r="F13" s="245">
        <v>36</v>
      </c>
      <c r="G13" s="246">
        <f t="shared" si="0"/>
        <v>437184.00000000006</v>
      </c>
      <c r="H13" s="246"/>
      <c r="I13" s="246">
        <f>SUM(G13)</f>
        <v>437184.00000000006</v>
      </c>
      <c r="J13" s="246"/>
      <c r="K13" s="245">
        <v>465000</v>
      </c>
      <c r="L13" s="248">
        <v>2332</v>
      </c>
      <c r="M13" s="283">
        <v>7390</v>
      </c>
      <c r="N13" s="283">
        <v>7390</v>
      </c>
      <c r="O13" s="277"/>
      <c r="P13" s="278">
        <v>552843</v>
      </c>
      <c r="Q13" s="279">
        <f t="shared" si="7"/>
        <v>560233</v>
      </c>
      <c r="R13" s="279">
        <f>Q13</f>
        <v>560233</v>
      </c>
      <c r="S13" s="279">
        <f t="shared" si="5"/>
        <v>797175.2</v>
      </c>
      <c r="T13" s="279">
        <f t="shared" si="6"/>
        <v>359991.1999999999</v>
      </c>
      <c r="U13" s="249">
        <f t="shared" si="2"/>
        <v>9.8811813790074634</v>
      </c>
      <c r="V13" s="250">
        <v>376996</v>
      </c>
      <c r="W13" s="255">
        <v>17742</v>
      </c>
      <c r="X13" s="255">
        <f t="shared" si="3"/>
        <v>359254</v>
      </c>
      <c r="Y13" s="255">
        <v>315911</v>
      </c>
      <c r="Z13" s="250">
        <v>37696</v>
      </c>
      <c r="AA13" s="250">
        <v>37259</v>
      </c>
      <c r="AC13" s="242">
        <v>438487</v>
      </c>
      <c r="AF13" s="224"/>
      <c r="AG13" s="224"/>
    </row>
    <row r="14" spans="1:33" s="250" customFormat="1" ht="17.25" customHeight="1">
      <c r="A14" s="346"/>
      <c r="B14" s="243" t="s">
        <v>48</v>
      </c>
      <c r="C14" s="266">
        <v>8.8000000000000007</v>
      </c>
      <c r="D14" s="244">
        <v>11</v>
      </c>
      <c r="E14" s="245">
        <v>118</v>
      </c>
      <c r="F14" s="245">
        <v>36</v>
      </c>
      <c r="G14" s="246">
        <f t="shared" si="0"/>
        <v>411206.40000000002</v>
      </c>
      <c r="H14" s="246"/>
      <c r="I14" s="246">
        <f>SUM(G14)</f>
        <v>411206.40000000002</v>
      </c>
      <c r="J14" s="246"/>
      <c r="K14" s="245">
        <v>425000</v>
      </c>
      <c r="L14" s="248">
        <v>130</v>
      </c>
      <c r="M14" s="283">
        <v>2178</v>
      </c>
      <c r="N14" s="283">
        <v>2178</v>
      </c>
      <c r="O14" s="277"/>
      <c r="P14" s="278">
        <v>273267</v>
      </c>
      <c r="Q14" s="279">
        <f t="shared" si="7"/>
        <v>275445</v>
      </c>
      <c r="R14" s="279">
        <f>Q14</f>
        <v>275445</v>
      </c>
      <c r="S14" s="279">
        <f t="shared" si="5"/>
        <v>635436.19999999995</v>
      </c>
      <c r="T14" s="279">
        <f t="shared" si="6"/>
        <v>224229.79999999993</v>
      </c>
      <c r="U14" s="249">
        <f t="shared" si="2"/>
        <v>5.9982719140558096</v>
      </c>
      <c r="V14" s="250">
        <v>315494</v>
      </c>
      <c r="W14" s="255">
        <v>7939</v>
      </c>
      <c r="X14" s="255">
        <f t="shared" si="3"/>
        <v>307555</v>
      </c>
      <c r="Y14" s="255">
        <v>265277</v>
      </c>
      <c r="Z14" s="250">
        <v>28162</v>
      </c>
      <c r="AA14" s="250">
        <v>27779</v>
      </c>
      <c r="AB14" s="250">
        <v>17552</v>
      </c>
      <c r="AC14" s="242">
        <v>369772</v>
      </c>
      <c r="AF14" s="224"/>
      <c r="AG14" s="224"/>
    </row>
    <row r="15" spans="1:33" s="250" customFormat="1" ht="17.25" customHeight="1">
      <c r="A15" s="346"/>
      <c r="B15" s="243" t="s">
        <v>49</v>
      </c>
      <c r="C15" s="266">
        <v>8.8000000000000007</v>
      </c>
      <c r="D15" s="244">
        <v>7</v>
      </c>
      <c r="E15" s="245">
        <v>118</v>
      </c>
      <c r="F15" s="245">
        <v>36</v>
      </c>
      <c r="G15" s="246">
        <f t="shared" si="0"/>
        <v>261676.80000000005</v>
      </c>
      <c r="H15" s="246"/>
      <c r="I15" s="246">
        <f>SUM(G15)</f>
        <v>261676.80000000005</v>
      </c>
      <c r="J15" s="246"/>
      <c r="K15" s="245">
        <v>270000</v>
      </c>
      <c r="L15" s="248">
        <v>0</v>
      </c>
      <c r="M15" s="283">
        <v>3954</v>
      </c>
      <c r="N15" s="283">
        <v>3954</v>
      </c>
      <c r="O15" s="277"/>
      <c r="P15" s="278">
        <v>379747</v>
      </c>
      <c r="Q15" s="279">
        <f t="shared" si="7"/>
        <v>383701</v>
      </c>
      <c r="R15" s="279">
        <f>Q15</f>
        <v>383701</v>
      </c>
      <c r="S15" s="279">
        <f t="shared" si="5"/>
        <v>607930.79999999993</v>
      </c>
      <c r="T15" s="279">
        <f t="shared" si="6"/>
        <v>346253.99999999988</v>
      </c>
      <c r="U15" s="249">
        <f t="shared" si="2"/>
        <v>9.2624871597329204</v>
      </c>
      <c r="V15" s="250">
        <v>508310</v>
      </c>
      <c r="W15" s="255">
        <v>4308</v>
      </c>
      <c r="X15" s="255">
        <f t="shared" si="3"/>
        <v>504002</v>
      </c>
      <c r="Y15" s="255">
        <v>460126</v>
      </c>
      <c r="Z15" s="250">
        <v>14940</v>
      </c>
      <c r="AA15" s="250">
        <v>14940</v>
      </c>
      <c r="AC15" s="242">
        <v>431713</v>
      </c>
      <c r="AF15" s="224"/>
      <c r="AG15" s="224"/>
    </row>
    <row r="16" spans="1:33" s="250" customFormat="1" ht="17.25" customHeight="1">
      <c r="A16" s="346"/>
      <c r="B16" s="243" t="s">
        <v>50</v>
      </c>
      <c r="C16" s="266">
        <v>8.8000000000000007</v>
      </c>
      <c r="D16" s="244">
        <v>11</v>
      </c>
      <c r="E16" s="245">
        <v>118</v>
      </c>
      <c r="F16" s="245">
        <v>36</v>
      </c>
      <c r="G16" s="246">
        <f t="shared" si="0"/>
        <v>411206.40000000002</v>
      </c>
      <c r="H16" s="246"/>
      <c r="I16" s="246">
        <f>SUM(G16)</f>
        <v>411206.40000000002</v>
      </c>
      <c r="J16" s="246"/>
      <c r="K16" s="245">
        <v>425000</v>
      </c>
      <c r="L16" s="248">
        <v>0</v>
      </c>
      <c r="M16" s="268">
        <v>0</v>
      </c>
      <c r="N16" s="268">
        <v>0</v>
      </c>
      <c r="O16" s="277"/>
      <c r="P16" s="278">
        <v>243722</v>
      </c>
      <c r="Q16" s="279">
        <f t="shared" si="7"/>
        <v>243722</v>
      </c>
      <c r="R16" s="279">
        <f>Q16</f>
        <v>243722</v>
      </c>
      <c r="S16" s="279">
        <f t="shared" si="5"/>
        <v>589975.99999999988</v>
      </c>
      <c r="T16" s="279">
        <f t="shared" si="6"/>
        <v>178769.59999999986</v>
      </c>
      <c r="U16" s="249">
        <f t="shared" si="2"/>
        <v>4.7821862694744004</v>
      </c>
      <c r="V16" s="250">
        <v>223473</v>
      </c>
      <c r="W16" s="255">
        <v>0</v>
      </c>
      <c r="X16" s="255">
        <f t="shared" si="3"/>
        <v>223473</v>
      </c>
      <c r="Y16" s="255">
        <v>200531</v>
      </c>
      <c r="Z16" s="250">
        <v>7094</v>
      </c>
      <c r="AA16" s="250">
        <v>7094</v>
      </c>
      <c r="AB16" s="250">
        <v>176574</v>
      </c>
      <c r="AC16" s="242">
        <v>353593</v>
      </c>
      <c r="AF16" s="224"/>
      <c r="AG16" s="224"/>
    </row>
    <row r="17" spans="1:32" s="250" customFormat="1" ht="19.5" customHeight="1">
      <c r="A17" s="347" t="s">
        <v>51</v>
      </c>
      <c r="B17" s="348"/>
      <c r="C17" s="256"/>
      <c r="D17" s="253"/>
      <c r="E17" s="245"/>
      <c r="F17" s="253"/>
      <c r="G17" s="245">
        <f>SUM(G5:G16)</f>
        <v>5208016.0000000009</v>
      </c>
      <c r="H17" s="245">
        <f>SUM(H5:H16)</f>
        <v>0</v>
      </c>
      <c r="I17" s="245">
        <f>SUM(I5:I16)</f>
        <v>5208016.0000000009</v>
      </c>
      <c r="J17" s="245"/>
      <c r="K17" s="245">
        <f t="shared" ref="K17:R17" si="8">SUM(K5:K16)</f>
        <v>5530000</v>
      </c>
      <c r="L17" s="257">
        <f t="shared" si="8"/>
        <v>1411842</v>
      </c>
      <c r="M17" s="257">
        <f t="shared" si="8"/>
        <v>1165335</v>
      </c>
      <c r="N17" s="257">
        <f t="shared" si="8"/>
        <v>1165335</v>
      </c>
      <c r="O17" s="257">
        <f t="shared" si="8"/>
        <v>331249</v>
      </c>
      <c r="P17" s="257">
        <f t="shared" si="8"/>
        <v>4270593</v>
      </c>
      <c r="Q17" s="257">
        <f t="shared" si="8"/>
        <v>5767177</v>
      </c>
      <c r="R17" s="257">
        <f t="shared" si="8"/>
        <v>5767177</v>
      </c>
      <c r="S17" s="269"/>
      <c r="T17" s="258"/>
      <c r="U17" s="270"/>
      <c r="AF17" s="251"/>
    </row>
    <row r="18" spans="1:32" s="250" customFormat="1" ht="22.5" customHeight="1">
      <c r="A18" s="349" t="s">
        <v>147</v>
      </c>
      <c r="B18" s="350"/>
      <c r="C18" s="350"/>
      <c r="D18" s="350"/>
      <c r="E18" s="350"/>
      <c r="F18" s="350" t="s">
        <v>53</v>
      </c>
      <c r="G18" s="350"/>
      <c r="H18" s="350"/>
      <c r="I18" s="350"/>
      <c r="J18" s="350"/>
      <c r="K18" s="351"/>
      <c r="L18" s="259">
        <f>L17/K17</f>
        <v>0.25530596745027123</v>
      </c>
      <c r="M18" s="260">
        <f>M17/K17</f>
        <v>0.21072965641952984</v>
      </c>
      <c r="N18" s="260"/>
      <c r="O18" s="260"/>
      <c r="P18" s="261">
        <f>P17/K17</f>
        <v>0.77225913200723328</v>
      </c>
      <c r="Q18" s="262"/>
      <c r="R18" s="263"/>
      <c r="S18" s="264"/>
      <c r="T18" s="265"/>
      <c r="U18" s="265"/>
      <c r="AF18" s="251"/>
    </row>
    <row r="20" spans="1:32">
      <c r="P20" s="274" t="s">
        <v>238</v>
      </c>
    </row>
    <row r="21" spans="1:32">
      <c r="Q21" s="235"/>
    </row>
    <row r="33" spans="32:32">
      <c r="AF33" s="233">
        <v>273267</v>
      </c>
    </row>
    <row r="34" spans="32:32">
      <c r="AF34" s="233">
        <v>379747</v>
      </c>
    </row>
    <row r="35" spans="32:32">
      <c r="AF35" s="233">
        <v>243722</v>
      </c>
    </row>
    <row r="51" spans="9:9">
      <c r="I51" s="233">
        <v>2</v>
      </c>
    </row>
  </sheetData>
  <mergeCells count="23">
    <mergeCell ref="U2:U4"/>
    <mergeCell ref="M3:N3"/>
    <mergeCell ref="A5:A16"/>
    <mergeCell ref="A17:B17"/>
    <mergeCell ref="A18:K18"/>
    <mergeCell ref="M2:O2"/>
    <mergeCell ref="P2:P4"/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8"/>
  <sheetViews>
    <sheetView zoomScale="85" zoomScaleNormal="85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F19" sqref="F19"/>
    </sheetView>
  </sheetViews>
  <sheetFormatPr defaultColWidth="10.6640625" defaultRowHeight="15.6"/>
  <cols>
    <col min="1" max="1" width="9.44140625" style="61" hidden="1" customWidth="1"/>
    <col min="2" max="2" width="9.21875" style="61" customWidth="1"/>
    <col min="3" max="3" width="7.21875" style="61" customWidth="1"/>
    <col min="4" max="4" width="9.109375" style="61" customWidth="1"/>
    <col min="5" max="5" width="8.44140625" style="61" customWidth="1"/>
    <col min="6" max="6" width="10.44140625" style="61" customWidth="1"/>
    <col min="7" max="7" width="12" style="61" customWidth="1"/>
    <col min="8" max="8" width="10.109375" style="61" customWidth="1"/>
    <col min="9" max="10" width="11.77734375" style="61" customWidth="1"/>
    <col min="11" max="11" width="11.88671875" style="61" customWidth="1"/>
    <col min="12" max="12" width="10.88671875" style="61" customWidth="1"/>
    <col min="13" max="13" width="13.44140625" style="69" customWidth="1"/>
    <col min="14" max="14" width="13.6640625" style="69" customWidth="1"/>
    <col min="15" max="15" width="12.44140625" style="69" customWidth="1"/>
    <col min="16" max="16" width="13.88671875" style="69" customWidth="1"/>
    <col min="17" max="17" width="15" style="61" customWidth="1"/>
    <col min="18" max="18" width="14.33203125" style="61" customWidth="1"/>
    <col min="19" max="19" width="15.6640625" style="61" customWidth="1"/>
    <col min="20" max="20" width="12.44140625" style="61" customWidth="1"/>
    <col min="21" max="21" width="9.33203125" style="61" customWidth="1"/>
    <col min="22" max="22" width="14.6640625" style="61" hidden="1" customWidth="1"/>
    <col min="23" max="23" width="12.21875" style="61" hidden="1" customWidth="1"/>
    <col min="24" max="24" width="10.6640625" style="61" hidden="1" customWidth="1"/>
    <col min="25" max="25" width="16.6640625" style="61" hidden="1" customWidth="1"/>
    <col min="26" max="26" width="20.77734375" style="61" hidden="1" customWidth="1"/>
    <col min="27" max="27" width="16.88671875" style="61" hidden="1" customWidth="1"/>
    <col min="28" max="28" width="12.6640625" style="61" hidden="1" customWidth="1"/>
    <col min="29" max="29" width="13.33203125" style="61" hidden="1" customWidth="1"/>
    <col min="30" max="16384" width="10.6640625" style="61"/>
  </cols>
  <sheetData>
    <row r="1" spans="1:35" ht="30" customHeight="1">
      <c r="A1" s="198" t="s">
        <v>214</v>
      </c>
      <c r="B1" s="1"/>
      <c r="C1" s="1"/>
      <c r="D1" s="1"/>
      <c r="E1" s="1"/>
      <c r="F1" s="1"/>
      <c r="G1" s="201" t="s">
        <v>217</v>
      </c>
      <c r="H1" s="201" t="s">
        <v>216</v>
      </c>
      <c r="I1" s="1"/>
      <c r="J1" s="1"/>
      <c r="K1" s="1"/>
      <c r="L1" s="188"/>
      <c r="M1" s="202" t="s">
        <v>218</v>
      </c>
      <c r="N1" s="202" t="s">
        <v>220</v>
      </c>
      <c r="O1" s="1"/>
      <c r="P1" s="188"/>
      <c r="Q1" s="201" t="s">
        <v>219</v>
      </c>
      <c r="R1" s="201" t="s">
        <v>219</v>
      </c>
      <c r="S1" s="201" t="s">
        <v>221</v>
      </c>
      <c r="T1" s="203" t="s">
        <v>222</v>
      </c>
      <c r="U1" s="5"/>
    </row>
    <row r="2" spans="1:35" s="181" customFormat="1" ht="28.5" customHeight="1">
      <c r="A2" s="325" t="s">
        <v>1</v>
      </c>
      <c r="B2" s="325" t="s">
        <v>154</v>
      </c>
      <c r="C2" s="325" t="s">
        <v>155</v>
      </c>
      <c r="D2" s="325" t="s">
        <v>156</v>
      </c>
      <c r="E2" s="325" t="s">
        <v>157</v>
      </c>
      <c r="F2" s="336" t="s">
        <v>158</v>
      </c>
      <c r="G2" s="335" t="s">
        <v>159</v>
      </c>
      <c r="H2" s="336" t="s">
        <v>141</v>
      </c>
      <c r="I2" s="336" t="s">
        <v>161</v>
      </c>
      <c r="J2" s="337" t="s">
        <v>191</v>
      </c>
      <c r="K2" s="335" t="s">
        <v>160</v>
      </c>
      <c r="L2" s="335" t="s">
        <v>152</v>
      </c>
      <c r="M2" s="312" t="s">
        <v>12</v>
      </c>
      <c r="N2" s="313"/>
      <c r="O2" s="313"/>
      <c r="P2" s="332" t="s">
        <v>234</v>
      </c>
      <c r="Q2" s="325" t="s">
        <v>231</v>
      </c>
      <c r="R2" s="325" t="s">
        <v>164</v>
      </c>
      <c r="S2" s="328" t="s">
        <v>165</v>
      </c>
      <c r="T2" s="325" t="s">
        <v>17</v>
      </c>
      <c r="U2" s="325" t="s">
        <v>18</v>
      </c>
    </row>
    <row r="3" spans="1:35" s="181" customFormat="1" ht="30.75" customHeight="1">
      <c r="A3" s="326"/>
      <c r="B3" s="326"/>
      <c r="C3" s="326"/>
      <c r="D3" s="326"/>
      <c r="E3" s="326"/>
      <c r="F3" s="336"/>
      <c r="G3" s="335"/>
      <c r="H3" s="336"/>
      <c r="I3" s="336"/>
      <c r="J3" s="337"/>
      <c r="K3" s="335"/>
      <c r="L3" s="335"/>
      <c r="M3" s="314" t="s">
        <v>19</v>
      </c>
      <c r="N3" s="314"/>
      <c r="O3" s="280" t="s">
        <v>20</v>
      </c>
      <c r="P3" s="333"/>
      <c r="Q3" s="326"/>
      <c r="R3" s="326"/>
      <c r="S3" s="329"/>
      <c r="T3" s="326"/>
      <c r="U3" s="326"/>
    </row>
    <row r="4" spans="1:35" s="168" customFormat="1" ht="49.5" customHeight="1">
      <c r="A4" s="327"/>
      <c r="B4" s="327"/>
      <c r="C4" s="327"/>
      <c r="D4" s="327"/>
      <c r="E4" s="327"/>
      <c r="F4" s="336"/>
      <c r="G4" s="322"/>
      <c r="H4" s="325"/>
      <c r="I4" s="325"/>
      <c r="J4" s="308"/>
      <c r="K4" s="322"/>
      <c r="L4" s="322"/>
      <c r="M4" s="218" t="s">
        <v>153</v>
      </c>
      <c r="N4" s="218" t="s">
        <v>232</v>
      </c>
      <c r="O4" s="218" t="s">
        <v>233</v>
      </c>
      <c r="P4" s="333"/>
      <c r="Q4" s="326"/>
      <c r="R4" s="327"/>
      <c r="S4" s="330"/>
      <c r="T4" s="327"/>
      <c r="U4" s="327"/>
      <c r="V4" s="168" t="s">
        <v>227</v>
      </c>
      <c r="W4" s="206" t="s">
        <v>223</v>
      </c>
      <c r="X4" s="206" t="s">
        <v>224</v>
      </c>
      <c r="Y4" s="206" t="s">
        <v>228</v>
      </c>
      <c r="Z4" s="208" t="s">
        <v>225</v>
      </c>
      <c r="AA4" s="208" t="s">
        <v>226</v>
      </c>
      <c r="AB4" s="168" t="s">
        <v>229</v>
      </c>
      <c r="AC4" s="209" t="s">
        <v>230</v>
      </c>
    </row>
    <row r="5" spans="1:35" s="34" customFormat="1" ht="17.25" customHeight="1">
      <c r="A5" s="315" t="s">
        <v>213</v>
      </c>
      <c r="B5" s="210" t="s">
        <v>55</v>
      </c>
      <c r="C5" s="211">
        <v>9</v>
      </c>
      <c r="D5" s="212">
        <v>13</v>
      </c>
      <c r="E5" s="213">
        <v>115</v>
      </c>
      <c r="F5" s="213">
        <v>32</v>
      </c>
      <c r="G5" s="214">
        <f t="shared" ref="G5:G16" si="0">C5*D5*E5*F5</f>
        <v>430560</v>
      </c>
      <c r="H5" s="214">
        <v>42892</v>
      </c>
      <c r="I5" s="214">
        <v>383171</v>
      </c>
      <c r="J5" s="214"/>
      <c r="K5" s="215">
        <v>548889</v>
      </c>
      <c r="L5" s="272">
        <v>350441</v>
      </c>
      <c r="M5" s="287">
        <v>332730</v>
      </c>
      <c r="N5" s="271">
        <v>0</v>
      </c>
      <c r="O5" s="220">
        <v>0</v>
      </c>
      <c r="P5" s="220">
        <v>0</v>
      </c>
      <c r="Q5" s="216">
        <f t="shared" ref="Q5:Q12" si="1">N5+O5+P5</f>
        <v>0</v>
      </c>
      <c r="R5" s="216">
        <f t="shared" ref="R5:R9" si="2">I5</f>
        <v>383171</v>
      </c>
      <c r="S5" s="216">
        <f>R5</f>
        <v>383171</v>
      </c>
      <c r="T5" s="216">
        <v>0</v>
      </c>
      <c r="U5" s="217">
        <f t="shared" ref="U5:U16" si="3">T5/C5/E5/F5</f>
        <v>0</v>
      </c>
      <c r="V5" s="42">
        <v>0</v>
      </c>
      <c r="W5" s="205">
        <v>0</v>
      </c>
      <c r="X5" s="205">
        <f>V5-W5</f>
        <v>0</v>
      </c>
      <c r="Y5" s="205">
        <v>0</v>
      </c>
      <c r="Z5" s="42">
        <v>336083</v>
      </c>
      <c r="AA5" s="42">
        <v>133770</v>
      </c>
      <c r="AC5" s="209">
        <v>0</v>
      </c>
      <c r="AF5" s="224"/>
      <c r="AG5" s="224"/>
      <c r="AH5" s="224"/>
    </row>
    <row r="6" spans="1:35" s="34" customFormat="1" ht="15.6" customHeight="1">
      <c r="A6" s="316"/>
      <c r="B6" s="210" t="s">
        <v>56</v>
      </c>
      <c r="C6" s="211">
        <f>8+40/27</f>
        <v>9.481481481481481</v>
      </c>
      <c r="D6" s="212">
        <v>14</v>
      </c>
      <c r="E6" s="213">
        <v>121.3</v>
      </c>
      <c r="F6" s="213">
        <v>32</v>
      </c>
      <c r="G6" s="214">
        <f t="shared" si="0"/>
        <v>515246.45925925922</v>
      </c>
      <c r="H6" s="214">
        <v>42673</v>
      </c>
      <c r="I6" s="214">
        <v>469545</v>
      </c>
      <c r="J6" s="214"/>
      <c r="K6" s="213">
        <v>591111</v>
      </c>
      <c r="L6" s="272">
        <v>459362</v>
      </c>
      <c r="M6" s="287">
        <v>577974</v>
      </c>
      <c r="N6" s="271">
        <v>0</v>
      </c>
      <c r="O6" s="220">
        <v>0</v>
      </c>
      <c r="P6" s="220">
        <v>0</v>
      </c>
      <c r="Q6" s="216">
        <f t="shared" si="1"/>
        <v>0</v>
      </c>
      <c r="R6" s="216">
        <f t="shared" si="2"/>
        <v>469545</v>
      </c>
      <c r="S6" s="216">
        <f>R6</f>
        <v>469545</v>
      </c>
      <c r="T6" s="216">
        <v>0</v>
      </c>
      <c r="U6" s="217">
        <f t="shared" si="3"/>
        <v>0</v>
      </c>
      <c r="V6" s="42">
        <v>0</v>
      </c>
      <c r="W6" s="205">
        <v>0</v>
      </c>
      <c r="X6" s="205">
        <f t="shared" ref="X6:X16" si="4">V6-W6</f>
        <v>0</v>
      </c>
      <c r="Y6" s="205">
        <v>0</v>
      </c>
      <c r="Z6" s="42">
        <v>577976</v>
      </c>
      <c r="AA6" s="42">
        <v>475223</v>
      </c>
      <c r="AC6" s="209">
        <v>0</v>
      </c>
      <c r="AF6" s="224"/>
      <c r="AG6" s="224"/>
      <c r="AH6" s="224"/>
    </row>
    <row r="7" spans="1:35" s="34" customFormat="1" ht="16.5" customHeight="1">
      <c r="A7" s="316"/>
      <c r="B7" s="210" t="s">
        <v>57</v>
      </c>
      <c r="C7" s="211">
        <v>9.5</v>
      </c>
      <c r="D7" s="212">
        <v>13</v>
      </c>
      <c r="E7" s="213">
        <v>110</v>
      </c>
      <c r="F7" s="213">
        <v>38</v>
      </c>
      <c r="G7" s="214">
        <f t="shared" si="0"/>
        <v>516230</v>
      </c>
      <c r="H7" s="214">
        <v>9372</v>
      </c>
      <c r="I7" s="214">
        <v>476940</v>
      </c>
      <c r="J7" s="214"/>
      <c r="K7" s="213">
        <v>555208</v>
      </c>
      <c r="L7" s="272">
        <v>488996</v>
      </c>
      <c r="M7" s="287">
        <v>636694</v>
      </c>
      <c r="N7" s="271">
        <v>0</v>
      </c>
      <c r="O7" s="220"/>
      <c r="P7" s="220">
        <v>0</v>
      </c>
      <c r="Q7" s="216">
        <f t="shared" si="1"/>
        <v>0</v>
      </c>
      <c r="R7" s="216">
        <f t="shared" si="2"/>
        <v>476940</v>
      </c>
      <c r="S7" s="216">
        <f t="shared" ref="S7:S16" si="5">R7+T6</f>
        <v>476940</v>
      </c>
      <c r="T7" s="216">
        <v>0</v>
      </c>
      <c r="U7" s="217">
        <f t="shared" si="3"/>
        <v>0</v>
      </c>
      <c r="V7" s="42">
        <v>22320</v>
      </c>
      <c r="W7" s="207">
        <v>5193</v>
      </c>
      <c r="X7" s="205">
        <f t="shared" si="4"/>
        <v>17127</v>
      </c>
      <c r="Y7" s="205">
        <v>0</v>
      </c>
      <c r="Z7" s="42">
        <v>638661</v>
      </c>
      <c r="AA7" s="42">
        <v>605035</v>
      </c>
      <c r="AC7" s="209">
        <v>0</v>
      </c>
      <c r="AF7" s="224"/>
      <c r="AG7" s="224"/>
      <c r="AH7" s="224"/>
    </row>
    <row r="8" spans="1:35" s="34" customFormat="1" ht="16.5" customHeight="1">
      <c r="A8" s="316"/>
      <c r="B8" s="210" t="s">
        <v>58</v>
      </c>
      <c r="C8" s="211">
        <v>9.5</v>
      </c>
      <c r="D8" s="212">
        <v>11</v>
      </c>
      <c r="E8" s="213">
        <v>112</v>
      </c>
      <c r="F8" s="213">
        <v>38</v>
      </c>
      <c r="G8" s="214">
        <f t="shared" si="0"/>
        <v>444752</v>
      </c>
      <c r="H8" s="214"/>
      <c r="I8" s="214">
        <v>426583</v>
      </c>
      <c r="J8" s="214"/>
      <c r="K8" s="213">
        <v>469792</v>
      </c>
      <c r="L8" s="272">
        <v>431673</v>
      </c>
      <c r="M8" s="287">
        <v>433782</v>
      </c>
      <c r="N8" s="271">
        <v>0</v>
      </c>
      <c r="O8" s="220"/>
      <c r="P8" s="220">
        <v>0</v>
      </c>
      <c r="Q8" s="216">
        <f t="shared" si="1"/>
        <v>0</v>
      </c>
      <c r="R8" s="216">
        <f t="shared" si="2"/>
        <v>426583</v>
      </c>
      <c r="S8" s="216">
        <f t="shared" si="5"/>
        <v>426583</v>
      </c>
      <c r="T8" s="216">
        <v>0</v>
      </c>
      <c r="U8" s="217">
        <f t="shared" si="3"/>
        <v>0</v>
      </c>
      <c r="V8" s="42">
        <v>22584</v>
      </c>
      <c r="W8" s="207">
        <v>3227</v>
      </c>
      <c r="X8" s="205">
        <f t="shared" si="4"/>
        <v>19357</v>
      </c>
      <c r="Y8" s="205">
        <v>14661</v>
      </c>
      <c r="Z8" s="42">
        <v>430815</v>
      </c>
      <c r="AA8" s="42">
        <v>419803</v>
      </c>
      <c r="AC8" s="209">
        <v>0</v>
      </c>
      <c r="AF8" s="224"/>
      <c r="AG8" s="224"/>
      <c r="AH8" s="224"/>
    </row>
    <row r="9" spans="1:35" s="34" customFormat="1" ht="16.95" customHeight="1">
      <c r="A9" s="316"/>
      <c r="B9" s="210" t="s">
        <v>59</v>
      </c>
      <c r="C9" s="211">
        <v>8.8000000000000007</v>
      </c>
      <c r="D9" s="223">
        <v>12</v>
      </c>
      <c r="E9" s="213">
        <v>116</v>
      </c>
      <c r="F9" s="213">
        <v>35</v>
      </c>
      <c r="G9" s="214">
        <f t="shared" si="0"/>
        <v>428736</v>
      </c>
      <c r="H9" s="214"/>
      <c r="I9" s="214">
        <v>443124</v>
      </c>
      <c r="J9" s="214"/>
      <c r="K9" s="213">
        <v>504000</v>
      </c>
      <c r="L9" s="272">
        <v>439314</v>
      </c>
      <c r="M9" s="287">
        <v>419900</v>
      </c>
      <c r="N9" s="272">
        <v>18107</v>
      </c>
      <c r="O9" s="220"/>
      <c r="P9" s="220">
        <v>0</v>
      </c>
      <c r="Q9" s="216">
        <f t="shared" si="1"/>
        <v>18107</v>
      </c>
      <c r="R9" s="216">
        <f t="shared" si="2"/>
        <v>443124</v>
      </c>
      <c r="S9" s="216">
        <f t="shared" si="5"/>
        <v>443124</v>
      </c>
      <c r="T9" s="216">
        <v>0</v>
      </c>
      <c r="U9" s="217">
        <f>T9/C9/E9/F9</f>
        <v>0</v>
      </c>
      <c r="V9" s="42">
        <v>201926</v>
      </c>
      <c r="W9" s="207">
        <v>113523</v>
      </c>
      <c r="X9" s="205">
        <f t="shared" si="4"/>
        <v>88403</v>
      </c>
      <c r="Y9" s="205">
        <v>34425</v>
      </c>
      <c r="Z9" s="42">
        <v>358959</v>
      </c>
      <c r="AA9" s="42">
        <v>356272</v>
      </c>
      <c r="AC9" s="209">
        <v>6180</v>
      </c>
      <c r="AF9" s="224"/>
      <c r="AG9" s="224"/>
      <c r="AH9" s="224"/>
    </row>
    <row r="10" spans="1:35" s="34" customFormat="1">
      <c r="A10" s="316"/>
      <c r="B10" s="210" t="s">
        <v>60</v>
      </c>
      <c r="C10" s="211">
        <v>8.5</v>
      </c>
      <c r="D10" s="223">
        <v>13</v>
      </c>
      <c r="E10" s="213">
        <v>117.5</v>
      </c>
      <c r="F10" s="213">
        <v>35</v>
      </c>
      <c r="G10" s="214">
        <f t="shared" si="0"/>
        <v>454431.25</v>
      </c>
      <c r="H10" s="214"/>
      <c r="I10" s="214">
        <v>464062</v>
      </c>
      <c r="J10" s="214"/>
      <c r="K10" s="213">
        <v>546000</v>
      </c>
      <c r="L10" s="272">
        <v>424943</v>
      </c>
      <c r="M10" s="287">
        <v>336540</v>
      </c>
      <c r="N10" s="272">
        <v>320</v>
      </c>
      <c r="O10" s="220"/>
      <c r="P10" s="220">
        <v>0</v>
      </c>
      <c r="Q10" s="216">
        <f t="shared" si="1"/>
        <v>320</v>
      </c>
      <c r="R10" s="216">
        <f>I10</f>
        <v>464062</v>
      </c>
      <c r="S10" s="216">
        <f t="shared" si="5"/>
        <v>464062</v>
      </c>
      <c r="T10" s="216">
        <v>0</v>
      </c>
      <c r="U10" s="217">
        <f t="shared" si="3"/>
        <v>0</v>
      </c>
      <c r="V10" s="42">
        <v>185159</v>
      </c>
      <c r="W10" s="207">
        <v>13524</v>
      </c>
      <c r="X10" s="205">
        <f t="shared" si="4"/>
        <v>171635</v>
      </c>
      <c r="Y10" s="205">
        <v>171014</v>
      </c>
      <c r="Z10" s="42">
        <v>314025</v>
      </c>
      <c r="AA10" s="42">
        <v>311570</v>
      </c>
      <c r="AC10" s="209">
        <v>58341</v>
      </c>
      <c r="AF10" s="224"/>
      <c r="AG10" s="224"/>
      <c r="AH10" s="224"/>
    </row>
    <row r="11" spans="1:35" s="42" customFormat="1" ht="16.2" customHeight="1">
      <c r="A11" s="316"/>
      <c r="B11" s="210" t="s">
        <v>61</v>
      </c>
      <c r="C11" s="211">
        <v>8.8000000000000007</v>
      </c>
      <c r="D11" s="212">
        <v>13</v>
      </c>
      <c r="E11" s="213">
        <v>118</v>
      </c>
      <c r="F11" s="213">
        <v>33</v>
      </c>
      <c r="G11" s="214">
        <f t="shared" si="0"/>
        <v>445473.60000000003</v>
      </c>
      <c r="H11" s="214">
        <v>25566</v>
      </c>
      <c r="I11" s="214">
        <v>432329</v>
      </c>
      <c r="J11" s="214"/>
      <c r="K11" s="213">
        <v>552500</v>
      </c>
      <c r="L11" s="272">
        <v>493516</v>
      </c>
      <c r="M11" s="287">
        <v>350765</v>
      </c>
      <c r="N11" s="272">
        <v>1955</v>
      </c>
      <c r="O11" s="221"/>
      <c r="P11" s="220">
        <v>0</v>
      </c>
      <c r="Q11" s="216">
        <f>N11+O11+P11</f>
        <v>1955</v>
      </c>
      <c r="R11" s="216">
        <f>I11</f>
        <v>432329</v>
      </c>
      <c r="S11" s="216">
        <f t="shared" si="5"/>
        <v>432329</v>
      </c>
      <c r="T11" s="216">
        <v>0</v>
      </c>
      <c r="U11" s="217">
        <f>T11/C11/E11/F11</f>
        <v>0</v>
      </c>
      <c r="V11" s="42">
        <v>664133</v>
      </c>
      <c r="W11" s="205">
        <v>65649</v>
      </c>
      <c r="X11" s="205">
        <f t="shared" si="4"/>
        <v>598484</v>
      </c>
      <c r="Y11" s="205">
        <v>515941</v>
      </c>
      <c r="Z11" s="42">
        <v>176607</v>
      </c>
      <c r="AA11" s="42">
        <v>175907</v>
      </c>
      <c r="AC11" s="209">
        <v>162462</v>
      </c>
      <c r="AF11" s="224"/>
      <c r="AG11" s="224"/>
      <c r="AH11" s="224"/>
    </row>
    <row r="12" spans="1:35" s="42" customFormat="1" ht="16.5" customHeight="1">
      <c r="A12" s="316"/>
      <c r="B12" s="210" t="s">
        <v>62</v>
      </c>
      <c r="C12" s="211">
        <v>8.8000000000000007</v>
      </c>
      <c r="D12" s="212">
        <v>13</v>
      </c>
      <c r="E12" s="213">
        <v>120</v>
      </c>
      <c r="F12" s="213">
        <v>33</v>
      </c>
      <c r="G12" s="214">
        <f t="shared" si="0"/>
        <v>453024</v>
      </c>
      <c r="H12" s="214">
        <v>28746</v>
      </c>
      <c r="I12" s="214">
        <v>456387</v>
      </c>
      <c r="J12" s="214"/>
      <c r="K12" s="213">
        <v>552500</v>
      </c>
      <c r="L12" s="272">
        <v>477093</v>
      </c>
      <c r="M12" s="287">
        <v>522574</v>
      </c>
      <c r="N12" s="272">
        <v>4022</v>
      </c>
      <c r="O12" s="221"/>
      <c r="P12" s="220">
        <v>0</v>
      </c>
      <c r="Q12" s="276">
        <f t="shared" si="1"/>
        <v>4022</v>
      </c>
      <c r="R12" s="216">
        <f>I12</f>
        <v>456387</v>
      </c>
      <c r="S12" s="216">
        <f t="shared" si="5"/>
        <v>456387</v>
      </c>
      <c r="T12" s="216">
        <v>0</v>
      </c>
      <c r="U12" s="217">
        <f>T12/C12/E12/F12</f>
        <v>0</v>
      </c>
      <c r="V12" s="42">
        <v>440021</v>
      </c>
      <c r="W12" s="205">
        <v>21261</v>
      </c>
      <c r="X12" s="205">
        <f t="shared" si="4"/>
        <v>418760</v>
      </c>
      <c r="Y12" s="205">
        <v>394434</v>
      </c>
      <c r="Z12" s="42">
        <v>90530</v>
      </c>
      <c r="AA12" s="42">
        <v>90530</v>
      </c>
      <c r="AC12" s="209">
        <v>424185</v>
      </c>
      <c r="AE12" s="61"/>
      <c r="AF12" s="224"/>
      <c r="AG12" s="224"/>
      <c r="AH12" s="224"/>
      <c r="AI12" s="224"/>
    </row>
    <row r="13" spans="1:35" s="42" customFormat="1" ht="16.95" customHeight="1">
      <c r="A13" s="316"/>
      <c r="B13" s="210" t="s">
        <v>63</v>
      </c>
      <c r="C13" s="211">
        <v>8</v>
      </c>
      <c r="D13" s="212">
        <v>11</v>
      </c>
      <c r="E13" s="213">
        <v>118</v>
      </c>
      <c r="F13" s="213">
        <v>32</v>
      </c>
      <c r="G13" s="285">
        <f t="shared" si="0"/>
        <v>332288</v>
      </c>
      <c r="H13" s="285">
        <v>31106</v>
      </c>
      <c r="I13" s="285">
        <v>312647</v>
      </c>
      <c r="J13" s="285">
        <v>312647</v>
      </c>
      <c r="K13" s="286">
        <v>464630</v>
      </c>
      <c r="L13" s="272">
        <v>374053</v>
      </c>
      <c r="M13" s="282">
        <v>443129</v>
      </c>
      <c r="N13" s="272">
        <v>141378</v>
      </c>
      <c r="O13" s="221"/>
      <c r="P13" s="220">
        <v>0</v>
      </c>
      <c r="Q13" s="276">
        <f>N13+O13+P13</f>
        <v>141378</v>
      </c>
      <c r="R13" s="216">
        <f>I13</f>
        <v>312647</v>
      </c>
      <c r="S13" s="216">
        <f t="shared" si="5"/>
        <v>312647</v>
      </c>
      <c r="T13" s="216">
        <v>0</v>
      </c>
      <c r="U13" s="217">
        <f t="shared" si="3"/>
        <v>0</v>
      </c>
      <c r="V13" s="42">
        <v>376996</v>
      </c>
      <c r="W13" s="205">
        <v>17742</v>
      </c>
      <c r="X13" s="205">
        <f t="shared" si="4"/>
        <v>359254</v>
      </c>
      <c r="Y13" s="205">
        <v>315911</v>
      </c>
      <c r="Z13" s="42">
        <v>37696</v>
      </c>
      <c r="AA13" s="42">
        <v>37259</v>
      </c>
      <c r="AC13" s="209">
        <v>438487</v>
      </c>
      <c r="AE13" s="61"/>
      <c r="AF13" s="224"/>
      <c r="AG13" s="224"/>
      <c r="AH13" s="224"/>
      <c r="AI13" s="224"/>
    </row>
    <row r="14" spans="1:35" s="42" customFormat="1" ht="17.25" customHeight="1">
      <c r="A14" s="316"/>
      <c r="B14" s="23" t="s">
        <v>64</v>
      </c>
      <c r="C14" s="24">
        <v>8</v>
      </c>
      <c r="D14" s="25">
        <v>0</v>
      </c>
      <c r="E14" s="26">
        <v>118</v>
      </c>
      <c r="F14" s="26">
        <v>32</v>
      </c>
      <c r="G14" s="28">
        <f t="shared" si="0"/>
        <v>0</v>
      </c>
      <c r="H14" s="28">
        <v>37500</v>
      </c>
      <c r="I14" s="28">
        <f t="shared" ref="I14:I16" si="6">SUM(G14)</f>
        <v>0</v>
      </c>
      <c r="J14" s="28">
        <v>198</v>
      </c>
      <c r="K14" s="26">
        <v>500370</v>
      </c>
      <c r="L14" s="284">
        <v>72146</v>
      </c>
      <c r="M14" s="281">
        <v>303027</v>
      </c>
      <c r="N14" s="284">
        <v>205195</v>
      </c>
      <c r="O14" s="222"/>
      <c r="P14" s="267"/>
      <c r="Q14" s="225">
        <f>N14+O14+P14</f>
        <v>205195</v>
      </c>
      <c r="R14" s="31">
        <f>Q9+Q10+Q11+Q12+Q13+Q14</f>
        <v>370977</v>
      </c>
      <c r="S14" s="31">
        <f t="shared" si="5"/>
        <v>370977</v>
      </c>
      <c r="T14" s="31">
        <f t="shared" ref="T14:T16" si="7">S14-G14+J14</f>
        <v>371175</v>
      </c>
      <c r="U14" s="33">
        <f t="shared" si="3"/>
        <v>12.287307997881356</v>
      </c>
      <c r="V14" s="42">
        <v>315494</v>
      </c>
      <c r="W14" s="205">
        <v>7939</v>
      </c>
      <c r="X14" s="205">
        <f t="shared" si="4"/>
        <v>307555</v>
      </c>
      <c r="Y14" s="205">
        <v>265277</v>
      </c>
      <c r="Z14" s="42">
        <v>28162</v>
      </c>
      <c r="AA14" s="42">
        <v>27779</v>
      </c>
      <c r="AB14" s="42">
        <v>17552</v>
      </c>
      <c r="AC14" s="209">
        <v>369772</v>
      </c>
      <c r="AE14" s="61"/>
      <c r="AF14" s="224"/>
      <c r="AG14" s="224"/>
      <c r="AH14" s="224"/>
      <c r="AI14" s="224"/>
    </row>
    <row r="15" spans="1:35" s="42" customFormat="1" ht="17.25" customHeight="1">
      <c r="A15" s="316"/>
      <c r="B15" s="23" t="s">
        <v>65</v>
      </c>
      <c r="C15" s="24">
        <v>8</v>
      </c>
      <c r="D15" s="43">
        <v>0</v>
      </c>
      <c r="E15" s="26">
        <v>118</v>
      </c>
      <c r="F15" s="26">
        <v>32</v>
      </c>
      <c r="G15" s="28">
        <f t="shared" si="0"/>
        <v>0</v>
      </c>
      <c r="H15" s="28">
        <v>37500</v>
      </c>
      <c r="I15" s="28">
        <f t="shared" si="6"/>
        <v>0</v>
      </c>
      <c r="J15" s="28"/>
      <c r="K15" s="26">
        <v>457407</v>
      </c>
      <c r="L15" s="284">
        <v>233552</v>
      </c>
      <c r="M15" s="281">
        <v>462248</v>
      </c>
      <c r="N15" s="284">
        <v>425497</v>
      </c>
      <c r="O15" s="222"/>
      <c r="P15" s="267"/>
      <c r="Q15" s="225">
        <f>N15+O15+P15</f>
        <v>425497</v>
      </c>
      <c r="R15" s="31">
        <f>Q15</f>
        <v>425497</v>
      </c>
      <c r="S15" s="31">
        <f t="shared" si="5"/>
        <v>796672</v>
      </c>
      <c r="T15" s="31">
        <f t="shared" si="7"/>
        <v>796672</v>
      </c>
      <c r="U15" s="33">
        <f t="shared" si="3"/>
        <v>26.372881355932204</v>
      </c>
      <c r="V15" s="42">
        <v>508310</v>
      </c>
      <c r="W15" s="205">
        <v>4308</v>
      </c>
      <c r="X15" s="205">
        <f t="shared" si="4"/>
        <v>504002</v>
      </c>
      <c r="Y15" s="205">
        <v>460126</v>
      </c>
      <c r="Z15" s="42">
        <v>14940</v>
      </c>
      <c r="AA15" s="42">
        <v>14940</v>
      </c>
      <c r="AC15" s="209">
        <v>431713</v>
      </c>
      <c r="AE15" s="61"/>
      <c r="AF15" s="224"/>
      <c r="AG15" s="224"/>
      <c r="AH15" s="224"/>
      <c r="AI15" s="224"/>
    </row>
    <row r="16" spans="1:35" s="42" customFormat="1" ht="17.25" customHeight="1">
      <c r="A16" s="316"/>
      <c r="B16" s="23" t="s">
        <v>66</v>
      </c>
      <c r="C16" s="24">
        <v>8</v>
      </c>
      <c r="D16" s="43">
        <v>14</v>
      </c>
      <c r="E16" s="26">
        <v>118</v>
      </c>
      <c r="F16" s="26">
        <v>32</v>
      </c>
      <c r="G16" s="28">
        <f t="shared" si="0"/>
        <v>422912</v>
      </c>
      <c r="H16" s="28">
        <v>37500</v>
      </c>
      <c r="I16" s="28">
        <f t="shared" si="6"/>
        <v>422912</v>
      </c>
      <c r="J16" s="28"/>
      <c r="K16" s="26">
        <v>492593</v>
      </c>
      <c r="L16" s="284">
        <v>461655</v>
      </c>
      <c r="M16" s="281">
        <v>212568</v>
      </c>
      <c r="N16" s="284">
        <v>198917</v>
      </c>
      <c r="O16" s="222"/>
      <c r="P16" s="267">
        <v>236</v>
      </c>
      <c r="Q16" s="225">
        <f>N16+O16+P16</f>
        <v>199153</v>
      </c>
      <c r="R16" s="31">
        <f t="shared" ref="R16" si="8">Q16</f>
        <v>199153</v>
      </c>
      <c r="S16" s="31">
        <f t="shared" si="5"/>
        <v>995825</v>
      </c>
      <c r="T16" s="31">
        <f t="shared" si="7"/>
        <v>572913</v>
      </c>
      <c r="U16" s="33">
        <f t="shared" si="3"/>
        <v>18.965605137711865</v>
      </c>
      <c r="V16" s="42">
        <v>223473</v>
      </c>
      <c r="W16" s="205">
        <v>0</v>
      </c>
      <c r="X16" s="205">
        <f t="shared" si="4"/>
        <v>223473</v>
      </c>
      <c r="Y16" s="205">
        <v>200531</v>
      </c>
      <c r="Z16" s="42">
        <v>7094</v>
      </c>
      <c r="AA16" s="42">
        <v>7094</v>
      </c>
      <c r="AB16" s="42">
        <v>176574</v>
      </c>
      <c r="AC16" s="209">
        <v>353593</v>
      </c>
      <c r="AE16" s="61"/>
      <c r="AF16" s="224"/>
      <c r="AG16" s="224"/>
      <c r="AH16" s="224"/>
      <c r="AI16" s="224"/>
    </row>
    <row r="17" spans="1:21" s="42" customFormat="1" ht="19.5" customHeight="1">
      <c r="A17" s="317" t="s">
        <v>51</v>
      </c>
      <c r="B17" s="318"/>
      <c r="C17" s="44"/>
      <c r="D17" s="45"/>
      <c r="E17" s="35"/>
      <c r="F17" s="45"/>
      <c r="G17" s="35">
        <f>SUM(G5:G16)</f>
        <v>4443653.3092592601</v>
      </c>
      <c r="H17" s="35">
        <f>SUM(H5:H16)</f>
        <v>292855</v>
      </c>
      <c r="I17" s="35">
        <f>SUM(I5:I16)</f>
        <v>4287700</v>
      </c>
      <c r="J17" s="35"/>
      <c r="K17" s="26">
        <f>SUM(K5:K16)</f>
        <v>6235000</v>
      </c>
      <c r="L17" s="192">
        <f>SUM(L5:L16)</f>
        <v>4706744</v>
      </c>
      <c r="M17" s="192">
        <f>SUM(M5:M16)</f>
        <v>5031931</v>
      </c>
      <c r="N17" s="192">
        <f>SUM(N5:N16)</f>
        <v>995391</v>
      </c>
      <c r="O17" s="46">
        <v>0</v>
      </c>
      <c r="P17" s="192">
        <f>SUM(P5:P16)</f>
        <v>236</v>
      </c>
      <c r="Q17" s="46">
        <f>SUM(Q5:Q16)</f>
        <v>995627</v>
      </c>
      <c r="R17" s="46">
        <f>SUM(R5:R16)</f>
        <v>4860415</v>
      </c>
      <c r="S17" s="47"/>
      <c r="T17" s="49"/>
      <c r="U17" s="51"/>
    </row>
    <row r="18" spans="1:21" s="42" customFormat="1" ht="22.5" customHeight="1">
      <c r="A18" s="319" t="s">
        <v>147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0"/>
      <c r="K18" s="321"/>
      <c r="L18" s="189">
        <f>L17/K17</f>
        <v>0.75489077786688052</v>
      </c>
      <c r="M18" s="53">
        <f>M17/K17</f>
        <v>0.80704587008821171</v>
      </c>
      <c r="N18" s="53"/>
      <c r="O18" s="53"/>
      <c r="P18" s="193">
        <f>P17/K17</f>
        <v>3.7850842020850043E-5</v>
      </c>
      <c r="Q18" s="55"/>
      <c r="R18" s="56"/>
      <c r="S18" s="57"/>
      <c r="T18" s="59"/>
      <c r="U18" s="59"/>
    </row>
    <row r="20" spans="1:21">
      <c r="O20" s="273"/>
      <c r="P20" s="274" t="s">
        <v>239</v>
      </c>
      <c r="Q20" s="275"/>
    </row>
    <row r="21" spans="1:21">
      <c r="Q21" s="73"/>
    </row>
    <row r="24" spans="1:21">
      <c r="L24" s="69"/>
    </row>
    <row r="25" spans="1:21">
      <c r="L25" s="69"/>
    </row>
    <row r="26" spans="1:21">
      <c r="L26" s="69"/>
    </row>
    <row r="27" spans="1:21">
      <c r="L27" s="69"/>
    </row>
    <row r="28" spans="1:21">
      <c r="J28" s="69"/>
    </row>
    <row r="29" spans="1:21">
      <c r="J29" s="69"/>
    </row>
    <row r="30" spans="1:21">
      <c r="J30" s="69"/>
      <c r="M30" s="61"/>
    </row>
    <row r="31" spans="1:21">
      <c r="J31" s="69"/>
      <c r="K31" s="69"/>
      <c r="M31" s="61"/>
    </row>
    <row r="32" spans="1:21">
      <c r="J32" s="69"/>
      <c r="K32" s="69"/>
      <c r="M32" s="61"/>
    </row>
    <row r="33" spans="5:13">
      <c r="K33" s="69"/>
      <c r="M33" s="61"/>
    </row>
    <row r="34" spans="5:13">
      <c r="F34" s="69"/>
      <c r="K34" s="69"/>
      <c r="M34" s="61"/>
    </row>
    <row r="35" spans="5:13">
      <c r="E35" s="69"/>
      <c r="F35" s="69"/>
      <c r="M35" s="61"/>
    </row>
    <row r="36" spans="5:13">
      <c r="E36" s="69"/>
      <c r="F36" s="69"/>
      <c r="M36" s="61"/>
    </row>
    <row r="37" spans="5:13">
      <c r="E37" s="69"/>
      <c r="F37" s="69"/>
    </row>
    <row r="38" spans="5:13">
      <c r="E38" s="69"/>
    </row>
  </sheetData>
  <mergeCells count="23">
    <mergeCell ref="U2:U4"/>
    <mergeCell ref="M3:N3"/>
    <mergeCell ref="A5:A16"/>
    <mergeCell ref="A17:B17"/>
    <mergeCell ref="A18:K18"/>
    <mergeCell ref="M2:O2"/>
    <mergeCell ref="P2:P4"/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1"/>
  <sheetViews>
    <sheetView topLeftCell="B1" zoomScale="85" zoomScaleNormal="85" workbookViewId="0">
      <selection activeCell="C16" sqref="C16"/>
    </sheetView>
  </sheetViews>
  <sheetFormatPr defaultColWidth="10.6640625" defaultRowHeight="16.2"/>
  <cols>
    <col min="1" max="1" width="9.44140625" style="233" hidden="1" customWidth="1"/>
    <col min="2" max="2" width="9.21875" style="233" customWidth="1"/>
    <col min="3" max="3" width="7.21875" style="233" customWidth="1"/>
    <col min="4" max="4" width="9.109375" style="233" customWidth="1"/>
    <col min="5" max="5" width="8.44140625" style="233" customWidth="1"/>
    <col min="6" max="6" width="10.44140625" style="233" customWidth="1"/>
    <col min="7" max="7" width="12" style="233" customWidth="1"/>
    <col min="8" max="8" width="10.109375" style="233" customWidth="1"/>
    <col min="9" max="10" width="11.77734375" style="233" customWidth="1"/>
    <col min="11" max="11" width="11.88671875" style="233" customWidth="1"/>
    <col min="12" max="12" width="12.109375" style="233" customWidth="1"/>
    <col min="13" max="13" width="13.44140625" style="234" customWidth="1"/>
    <col min="14" max="14" width="13.6640625" style="234" customWidth="1"/>
    <col min="15" max="15" width="12.44140625" style="234" customWidth="1"/>
    <col min="16" max="16" width="13.88671875" style="234" customWidth="1"/>
    <col min="17" max="17" width="15" style="233" customWidth="1"/>
    <col min="18" max="18" width="14.33203125" style="233" customWidth="1"/>
    <col min="19" max="19" width="15.6640625" style="233" customWidth="1"/>
    <col min="20" max="20" width="12.44140625" style="233" customWidth="1"/>
    <col min="21" max="21" width="9.33203125" style="233" customWidth="1"/>
    <col min="22" max="22" width="14.6640625" style="233" hidden="1" customWidth="1"/>
    <col min="23" max="23" width="12.21875" style="233" hidden="1" customWidth="1"/>
    <col min="24" max="24" width="10.6640625" style="233" hidden="1" customWidth="1"/>
    <col min="25" max="25" width="16.6640625" style="233" hidden="1" customWidth="1"/>
    <col min="26" max="26" width="20.77734375" style="233" hidden="1" customWidth="1"/>
    <col min="27" max="27" width="16.88671875" style="233" hidden="1" customWidth="1"/>
    <col min="28" max="28" width="12.6640625" style="233" hidden="1" customWidth="1"/>
    <col min="29" max="29" width="13.33203125" style="233" hidden="1" customWidth="1"/>
    <col min="30" max="16384" width="10.6640625" style="233"/>
  </cols>
  <sheetData>
    <row r="1" spans="1:33" ht="30" customHeight="1">
      <c r="A1" s="226" t="s">
        <v>214</v>
      </c>
      <c r="B1" s="227"/>
      <c r="C1" s="227"/>
      <c r="D1" s="227"/>
      <c r="E1" s="227"/>
      <c r="F1" s="227"/>
      <c r="G1" s="228" t="s">
        <v>217</v>
      </c>
      <c r="H1" s="228" t="s">
        <v>216</v>
      </c>
      <c r="I1" s="227"/>
      <c r="J1" s="227"/>
      <c r="K1" s="227"/>
      <c r="L1" s="229"/>
      <c r="M1" s="230" t="s">
        <v>218</v>
      </c>
      <c r="N1" s="230" t="s">
        <v>220</v>
      </c>
      <c r="O1" s="227"/>
      <c r="P1" s="229"/>
      <c r="Q1" s="228" t="s">
        <v>219</v>
      </c>
      <c r="R1" s="228" t="s">
        <v>219</v>
      </c>
      <c r="S1" s="228" t="s">
        <v>221</v>
      </c>
      <c r="T1" s="231" t="s">
        <v>222</v>
      </c>
      <c r="U1" s="232"/>
    </row>
    <row r="2" spans="1:33" s="236" customFormat="1" ht="28.5" customHeight="1">
      <c r="A2" s="340" t="s">
        <v>1</v>
      </c>
      <c r="B2" s="340" t="s">
        <v>154</v>
      </c>
      <c r="C2" s="340" t="s">
        <v>155</v>
      </c>
      <c r="D2" s="340" t="s">
        <v>156</v>
      </c>
      <c r="E2" s="340" t="s">
        <v>157</v>
      </c>
      <c r="F2" s="343" t="s">
        <v>158</v>
      </c>
      <c r="G2" s="338" t="s">
        <v>159</v>
      </c>
      <c r="H2" s="343" t="s">
        <v>141</v>
      </c>
      <c r="I2" s="343" t="s">
        <v>161</v>
      </c>
      <c r="J2" s="358" t="s">
        <v>191</v>
      </c>
      <c r="K2" s="338" t="s">
        <v>160</v>
      </c>
      <c r="L2" s="338" t="s">
        <v>152</v>
      </c>
      <c r="M2" s="352" t="s">
        <v>12</v>
      </c>
      <c r="N2" s="353"/>
      <c r="O2" s="353"/>
      <c r="P2" s="354" t="s">
        <v>234</v>
      </c>
      <c r="Q2" s="340" t="s">
        <v>235</v>
      </c>
      <c r="R2" s="340" t="s">
        <v>164</v>
      </c>
      <c r="S2" s="356" t="s">
        <v>165</v>
      </c>
      <c r="T2" s="340" t="s">
        <v>17</v>
      </c>
      <c r="U2" s="340" t="s">
        <v>18</v>
      </c>
    </row>
    <row r="3" spans="1:33" s="236" customFormat="1" ht="30.75" customHeight="1">
      <c r="A3" s="341"/>
      <c r="B3" s="341"/>
      <c r="C3" s="341"/>
      <c r="D3" s="341"/>
      <c r="E3" s="341"/>
      <c r="F3" s="343"/>
      <c r="G3" s="338"/>
      <c r="H3" s="343"/>
      <c r="I3" s="343"/>
      <c r="J3" s="358"/>
      <c r="K3" s="338"/>
      <c r="L3" s="338"/>
      <c r="M3" s="344" t="s">
        <v>19</v>
      </c>
      <c r="N3" s="344"/>
      <c r="O3" s="237" t="s">
        <v>20</v>
      </c>
      <c r="P3" s="355"/>
      <c r="Q3" s="341"/>
      <c r="R3" s="341"/>
      <c r="S3" s="357"/>
      <c r="T3" s="341"/>
      <c r="U3" s="341"/>
    </row>
    <row r="4" spans="1:33" s="239" customFormat="1" ht="49.5" customHeight="1">
      <c r="A4" s="342"/>
      <c r="B4" s="342"/>
      <c r="C4" s="342"/>
      <c r="D4" s="342"/>
      <c r="E4" s="342"/>
      <c r="F4" s="343"/>
      <c r="G4" s="338"/>
      <c r="H4" s="343"/>
      <c r="I4" s="343"/>
      <c r="J4" s="358"/>
      <c r="K4" s="338"/>
      <c r="L4" s="339"/>
      <c r="M4" s="238" t="s">
        <v>153</v>
      </c>
      <c r="N4" s="238" t="s">
        <v>236</v>
      </c>
      <c r="O4" s="238" t="s">
        <v>237</v>
      </c>
      <c r="P4" s="355"/>
      <c r="Q4" s="341"/>
      <c r="R4" s="341"/>
      <c r="S4" s="357"/>
      <c r="T4" s="341"/>
      <c r="U4" s="342"/>
      <c r="V4" s="239" t="s">
        <v>227</v>
      </c>
      <c r="W4" s="240" t="s">
        <v>223</v>
      </c>
      <c r="X4" s="240" t="s">
        <v>224</v>
      </c>
      <c r="Y4" s="240" t="s">
        <v>228</v>
      </c>
      <c r="Z4" s="241" t="s">
        <v>225</v>
      </c>
      <c r="AA4" s="241" t="s">
        <v>226</v>
      </c>
      <c r="AB4" s="239" t="s">
        <v>229</v>
      </c>
      <c r="AC4" s="242" t="s">
        <v>230</v>
      </c>
    </row>
    <row r="5" spans="1:33" s="251" customFormat="1" ht="17.25" customHeight="1">
      <c r="A5" s="345" t="s">
        <v>213</v>
      </c>
      <c r="B5" s="243" t="s">
        <v>39</v>
      </c>
      <c r="C5" s="266">
        <v>8.8000000000000007</v>
      </c>
      <c r="D5" s="244">
        <v>11</v>
      </c>
      <c r="E5" s="245">
        <v>118</v>
      </c>
      <c r="F5" s="245">
        <v>34</v>
      </c>
      <c r="G5" s="246">
        <f t="shared" ref="G5:G16" si="0">C5*D5*E5*F5</f>
        <v>388361.60000000003</v>
      </c>
      <c r="H5" s="246"/>
      <c r="I5" s="246">
        <f t="shared" ref="I5:I11" si="1">SUM(G5)</f>
        <v>388361.60000000003</v>
      </c>
      <c r="J5" s="246"/>
      <c r="K5" s="247">
        <v>425000</v>
      </c>
      <c r="L5" s="283">
        <v>465648</v>
      </c>
      <c r="M5" s="283">
        <v>393337</v>
      </c>
      <c r="N5" s="283">
        <v>393337</v>
      </c>
      <c r="O5" s="277">
        <f>'FW21 季 Cold cement(0815)'!T16</f>
        <v>572913</v>
      </c>
      <c r="P5" s="278">
        <v>44167</v>
      </c>
      <c r="Q5" s="279">
        <f>N5+O5+P5</f>
        <v>1010417</v>
      </c>
      <c r="R5" s="279">
        <f>Q5</f>
        <v>1010417</v>
      </c>
      <c r="S5" s="279">
        <f>R5</f>
        <v>1010417</v>
      </c>
      <c r="T5" s="279">
        <f>S5-G5+J5</f>
        <v>622055.39999999991</v>
      </c>
      <c r="U5" s="249">
        <f t="shared" ref="U5:U16" si="2">T5/C5/E5/F5</f>
        <v>17.619170896401698</v>
      </c>
      <c r="V5" s="250">
        <v>508459</v>
      </c>
      <c r="W5" s="250">
        <v>470951</v>
      </c>
      <c r="X5" s="250">
        <v>567706</v>
      </c>
      <c r="Y5" s="250">
        <v>276110</v>
      </c>
      <c r="Z5" s="250">
        <v>388960</v>
      </c>
      <c r="AA5" s="250">
        <v>245349</v>
      </c>
      <c r="AC5" s="242">
        <v>0</v>
      </c>
      <c r="AE5" s="252"/>
      <c r="AF5" s="224"/>
      <c r="AG5" s="224"/>
    </row>
    <row r="6" spans="1:33" s="251" customFormat="1" ht="15.6" customHeight="1">
      <c r="A6" s="346"/>
      <c r="B6" s="243" t="s">
        <v>151</v>
      </c>
      <c r="C6" s="266">
        <v>8.8000000000000007</v>
      </c>
      <c r="D6" s="244">
        <v>13</v>
      </c>
      <c r="E6" s="245">
        <v>118</v>
      </c>
      <c r="F6" s="245">
        <v>34</v>
      </c>
      <c r="G6" s="246">
        <f t="shared" si="0"/>
        <v>458972.80000000005</v>
      </c>
      <c r="H6" s="246"/>
      <c r="I6" s="246">
        <f t="shared" si="1"/>
        <v>458972.80000000005</v>
      </c>
      <c r="J6" s="246"/>
      <c r="K6" s="245">
        <v>505000</v>
      </c>
      <c r="L6" s="283">
        <v>426411</v>
      </c>
      <c r="M6" s="283">
        <v>278717</v>
      </c>
      <c r="N6" s="283">
        <v>278717</v>
      </c>
      <c r="O6" s="277"/>
      <c r="P6" s="278">
        <v>128018</v>
      </c>
      <c r="Q6" s="279">
        <f>N6+O6+P6</f>
        <v>406735</v>
      </c>
      <c r="R6" s="279">
        <f>Q6</f>
        <v>406735</v>
      </c>
      <c r="S6" s="279">
        <f>R6</f>
        <v>406735</v>
      </c>
      <c r="T6" s="279">
        <f>S6-G6+J6</f>
        <v>-52237.800000000047</v>
      </c>
      <c r="U6" s="249">
        <f t="shared" si="2"/>
        <v>-1.4795896401703992</v>
      </c>
      <c r="V6" s="250">
        <v>0</v>
      </c>
      <c r="W6" s="250">
        <v>0</v>
      </c>
      <c r="X6" s="250">
        <f t="shared" ref="X6:X16" si="3">V6-W6</f>
        <v>0</v>
      </c>
      <c r="Y6" s="250">
        <v>0</v>
      </c>
      <c r="Z6" s="250">
        <v>577976</v>
      </c>
      <c r="AA6" s="250">
        <v>475223</v>
      </c>
      <c r="AC6" s="242">
        <v>0</v>
      </c>
      <c r="AE6" s="252"/>
      <c r="AF6" s="224"/>
      <c r="AG6" s="224"/>
    </row>
    <row r="7" spans="1:33" s="251" customFormat="1" ht="16.5" customHeight="1">
      <c r="A7" s="346"/>
      <c r="B7" s="243" t="s">
        <v>41</v>
      </c>
      <c r="C7" s="266">
        <v>8.8000000000000007</v>
      </c>
      <c r="D7" s="244">
        <v>13</v>
      </c>
      <c r="E7" s="245">
        <v>118</v>
      </c>
      <c r="F7" s="245">
        <v>35</v>
      </c>
      <c r="G7" s="246">
        <f t="shared" si="0"/>
        <v>472472</v>
      </c>
      <c r="H7" s="246"/>
      <c r="I7" s="246">
        <f t="shared" si="1"/>
        <v>472472</v>
      </c>
      <c r="J7" s="246"/>
      <c r="K7" s="245">
        <v>500000</v>
      </c>
      <c r="L7" s="283">
        <v>319258</v>
      </c>
      <c r="M7" s="283">
        <v>282546</v>
      </c>
      <c r="N7" s="283">
        <v>282546</v>
      </c>
      <c r="O7" s="277"/>
      <c r="P7" s="278">
        <v>413333</v>
      </c>
      <c r="Q7" s="279">
        <f>N7+O7+P7</f>
        <v>695879</v>
      </c>
      <c r="R7" s="279">
        <f t="shared" ref="R7:R12" si="4">Q7</f>
        <v>695879</v>
      </c>
      <c r="S7" s="279">
        <f t="shared" ref="S7:S16" si="5">R7+T6</f>
        <v>643641.19999999995</v>
      </c>
      <c r="T7" s="279">
        <f t="shared" ref="T7:T16" si="6">S7-G7+J7</f>
        <v>171169.19999999995</v>
      </c>
      <c r="U7" s="249">
        <f>T7/C7/E7/F7</f>
        <v>4.7096962359674208</v>
      </c>
      <c r="V7" s="250">
        <v>22320</v>
      </c>
      <c r="W7" s="251">
        <v>5193</v>
      </c>
      <c r="X7" s="250">
        <f t="shared" si="3"/>
        <v>17127</v>
      </c>
      <c r="Y7" s="250">
        <v>0</v>
      </c>
      <c r="Z7" s="250">
        <v>638661</v>
      </c>
      <c r="AA7" s="250">
        <v>605035</v>
      </c>
      <c r="AC7" s="242">
        <v>0</v>
      </c>
      <c r="AE7" s="252"/>
      <c r="AF7" s="224"/>
      <c r="AG7" s="224"/>
    </row>
    <row r="8" spans="1:33" s="251" customFormat="1" ht="16.5" customHeight="1">
      <c r="A8" s="346"/>
      <c r="B8" s="243" t="s">
        <v>42</v>
      </c>
      <c r="C8" s="266">
        <v>8.8000000000000007</v>
      </c>
      <c r="D8" s="244">
        <v>13</v>
      </c>
      <c r="E8" s="245">
        <v>118</v>
      </c>
      <c r="F8" s="245">
        <v>35</v>
      </c>
      <c r="G8" s="246">
        <f t="shared" si="0"/>
        <v>472472</v>
      </c>
      <c r="H8" s="246"/>
      <c r="I8" s="246">
        <f t="shared" si="1"/>
        <v>472472</v>
      </c>
      <c r="J8" s="246"/>
      <c r="K8" s="245">
        <v>505000</v>
      </c>
      <c r="L8" s="283">
        <v>158815</v>
      </c>
      <c r="M8" s="283">
        <v>84409</v>
      </c>
      <c r="N8" s="283">
        <v>84409</v>
      </c>
      <c r="O8" s="277"/>
      <c r="P8" s="278">
        <v>207553</v>
      </c>
      <c r="Q8" s="279">
        <f>N8+O8+P8</f>
        <v>291962</v>
      </c>
      <c r="R8" s="279">
        <f t="shared" si="4"/>
        <v>291962</v>
      </c>
      <c r="S8" s="279">
        <f t="shared" si="5"/>
        <v>463131.19999999995</v>
      </c>
      <c r="T8" s="279">
        <f t="shared" si="6"/>
        <v>-9340.8000000000466</v>
      </c>
      <c r="U8" s="249">
        <f t="shared" si="2"/>
        <v>-0.25701078582434639</v>
      </c>
      <c r="V8" s="250">
        <v>22584</v>
      </c>
      <c r="W8" s="251">
        <v>3227</v>
      </c>
      <c r="X8" s="250">
        <f t="shared" si="3"/>
        <v>19357</v>
      </c>
      <c r="Y8" s="250">
        <v>14661</v>
      </c>
      <c r="Z8" s="250">
        <v>430815</v>
      </c>
      <c r="AA8" s="250">
        <v>419803</v>
      </c>
      <c r="AC8" s="242">
        <v>0</v>
      </c>
      <c r="AE8" s="252"/>
      <c r="AF8" s="224"/>
      <c r="AG8" s="224"/>
    </row>
    <row r="9" spans="1:33" s="251" customFormat="1" ht="16.95" customHeight="1">
      <c r="A9" s="346"/>
      <c r="B9" s="243" t="s">
        <v>43</v>
      </c>
      <c r="C9" s="266">
        <v>8.8000000000000007</v>
      </c>
      <c r="D9" s="253">
        <v>13</v>
      </c>
      <c r="E9" s="245">
        <v>115</v>
      </c>
      <c r="F9" s="245">
        <v>36</v>
      </c>
      <c r="G9" s="246">
        <f t="shared" si="0"/>
        <v>473616</v>
      </c>
      <c r="H9" s="246"/>
      <c r="I9" s="246">
        <f t="shared" si="1"/>
        <v>473616</v>
      </c>
      <c r="J9" s="246"/>
      <c r="K9" s="245">
        <v>500000</v>
      </c>
      <c r="L9" s="283">
        <v>35342</v>
      </c>
      <c r="M9" s="283">
        <v>60348</v>
      </c>
      <c r="N9" s="283">
        <v>60348</v>
      </c>
      <c r="O9" s="277"/>
      <c r="P9" s="278">
        <v>686897</v>
      </c>
      <c r="Q9" s="279">
        <f>N9+O9+P9</f>
        <v>747245</v>
      </c>
      <c r="R9" s="279">
        <f t="shared" si="4"/>
        <v>747245</v>
      </c>
      <c r="S9" s="279">
        <f t="shared" si="5"/>
        <v>737904.2</v>
      </c>
      <c r="T9" s="279">
        <f t="shared" si="6"/>
        <v>264288.19999999995</v>
      </c>
      <c r="U9" s="249">
        <f t="shared" si="2"/>
        <v>7.2542874396135248</v>
      </c>
      <c r="V9" s="250">
        <v>201926</v>
      </c>
      <c r="W9" s="251">
        <v>113523</v>
      </c>
      <c r="X9" s="250">
        <f t="shared" si="3"/>
        <v>88403</v>
      </c>
      <c r="Y9" s="250">
        <v>34425</v>
      </c>
      <c r="Z9" s="250">
        <v>358959</v>
      </c>
      <c r="AA9" s="250">
        <v>356272</v>
      </c>
      <c r="AC9" s="242">
        <v>6180</v>
      </c>
      <c r="AF9" s="224"/>
      <c r="AG9" s="224"/>
    </row>
    <row r="10" spans="1:33" s="251" customFormat="1">
      <c r="A10" s="346"/>
      <c r="B10" s="243" t="s">
        <v>44</v>
      </c>
      <c r="C10" s="266">
        <v>8.8000000000000007</v>
      </c>
      <c r="D10" s="253">
        <v>13</v>
      </c>
      <c r="E10" s="245">
        <v>115</v>
      </c>
      <c r="F10" s="245">
        <v>36</v>
      </c>
      <c r="G10" s="246">
        <f>C10*D10*E10*F10</f>
        <v>473616</v>
      </c>
      <c r="H10" s="246"/>
      <c r="I10" s="246">
        <f t="shared" si="1"/>
        <v>473616</v>
      </c>
      <c r="J10" s="246"/>
      <c r="K10" s="245">
        <v>505000</v>
      </c>
      <c r="L10" s="283">
        <v>1190</v>
      </c>
      <c r="M10" s="283">
        <v>16146</v>
      </c>
      <c r="N10" s="283">
        <v>16146</v>
      </c>
      <c r="O10" s="277"/>
      <c r="P10" s="278">
        <v>370120</v>
      </c>
      <c r="Q10" s="279">
        <f t="shared" ref="Q10:Q16" si="7">N10+O10+P10</f>
        <v>386266</v>
      </c>
      <c r="R10" s="279">
        <f t="shared" si="4"/>
        <v>386266</v>
      </c>
      <c r="S10" s="279">
        <f t="shared" si="5"/>
        <v>650554.19999999995</v>
      </c>
      <c r="T10" s="279">
        <f t="shared" si="6"/>
        <v>176938.19999999995</v>
      </c>
      <c r="U10" s="249">
        <f t="shared" si="2"/>
        <v>4.8566699604743064</v>
      </c>
      <c r="V10" s="250">
        <v>185159</v>
      </c>
      <c r="W10" s="254">
        <v>13524</v>
      </c>
      <c r="X10" s="255">
        <f t="shared" si="3"/>
        <v>171635</v>
      </c>
      <c r="Y10" s="255">
        <v>171014</v>
      </c>
      <c r="Z10" s="250">
        <v>314025</v>
      </c>
      <c r="AA10" s="250">
        <v>311570</v>
      </c>
      <c r="AC10" s="242">
        <v>58341</v>
      </c>
      <c r="AF10" s="224"/>
      <c r="AG10" s="224"/>
    </row>
    <row r="11" spans="1:33" s="250" customFormat="1" ht="16.2" customHeight="1">
      <c r="A11" s="346"/>
      <c r="B11" s="243" t="s">
        <v>45</v>
      </c>
      <c r="C11" s="266">
        <v>8.8000000000000007</v>
      </c>
      <c r="D11" s="244">
        <v>13</v>
      </c>
      <c r="E11" s="245">
        <v>115</v>
      </c>
      <c r="F11" s="245">
        <v>36</v>
      </c>
      <c r="G11" s="246">
        <f t="shared" si="0"/>
        <v>473616</v>
      </c>
      <c r="H11" s="246"/>
      <c r="I11" s="246">
        <f t="shared" si="1"/>
        <v>473616</v>
      </c>
      <c r="J11" s="246"/>
      <c r="K11" s="245">
        <v>500000</v>
      </c>
      <c r="L11" s="283">
        <v>2716</v>
      </c>
      <c r="M11" s="283">
        <v>32218</v>
      </c>
      <c r="N11" s="283">
        <v>32218</v>
      </c>
      <c r="O11" s="277"/>
      <c r="P11" s="278">
        <v>507003</v>
      </c>
      <c r="Q11" s="279">
        <f>N11+O11+P11</f>
        <v>539221</v>
      </c>
      <c r="R11" s="279">
        <f t="shared" si="4"/>
        <v>539221</v>
      </c>
      <c r="S11" s="279">
        <f t="shared" si="5"/>
        <v>716159.2</v>
      </c>
      <c r="T11" s="279">
        <f t="shared" si="6"/>
        <v>242543.19999999995</v>
      </c>
      <c r="U11" s="249">
        <f t="shared" si="2"/>
        <v>6.6574220465524796</v>
      </c>
      <c r="V11" s="250">
        <v>664133</v>
      </c>
      <c r="W11" s="255">
        <v>65649</v>
      </c>
      <c r="X11" s="255">
        <f t="shared" si="3"/>
        <v>598484</v>
      </c>
      <c r="Y11" s="255">
        <v>515941</v>
      </c>
      <c r="Z11" s="250">
        <v>176607</v>
      </c>
      <c r="AA11" s="250">
        <v>175907</v>
      </c>
      <c r="AC11" s="242">
        <v>162462</v>
      </c>
      <c r="AF11" s="224"/>
      <c r="AG11" s="224"/>
    </row>
    <row r="12" spans="1:33" s="250" customFormat="1" ht="16.5" customHeight="1">
      <c r="A12" s="346"/>
      <c r="B12" s="243" t="s">
        <v>46</v>
      </c>
      <c r="C12" s="266">
        <v>8.8000000000000007</v>
      </c>
      <c r="D12" s="244">
        <v>13</v>
      </c>
      <c r="E12" s="245">
        <v>115</v>
      </c>
      <c r="F12" s="245">
        <v>36</v>
      </c>
      <c r="G12" s="246">
        <f t="shared" si="0"/>
        <v>473616</v>
      </c>
      <c r="H12" s="246"/>
      <c r="I12" s="246">
        <f>SUM(G12)</f>
        <v>473616</v>
      </c>
      <c r="J12" s="246"/>
      <c r="K12" s="245">
        <v>505000</v>
      </c>
      <c r="L12" s="248"/>
      <c r="M12" s="283">
        <v>4092</v>
      </c>
      <c r="N12" s="283">
        <v>4092</v>
      </c>
      <c r="O12" s="277"/>
      <c r="P12" s="278">
        <v>463923</v>
      </c>
      <c r="Q12" s="279">
        <f>N12+O12+P12</f>
        <v>468015</v>
      </c>
      <c r="R12" s="279">
        <f t="shared" si="4"/>
        <v>468015</v>
      </c>
      <c r="S12" s="279">
        <f t="shared" si="5"/>
        <v>710558.2</v>
      </c>
      <c r="T12" s="279">
        <f t="shared" si="6"/>
        <v>236942.19999999995</v>
      </c>
      <c r="U12" s="249">
        <f t="shared" si="2"/>
        <v>6.5036835748792257</v>
      </c>
      <c r="V12" s="250">
        <v>440021</v>
      </c>
      <c r="W12" s="255">
        <v>21261</v>
      </c>
      <c r="X12" s="255">
        <f t="shared" si="3"/>
        <v>418760</v>
      </c>
      <c r="Y12" s="255">
        <v>394434</v>
      </c>
      <c r="Z12" s="250">
        <v>90530</v>
      </c>
      <c r="AA12" s="250">
        <v>90530</v>
      </c>
      <c r="AC12" s="242">
        <v>424185</v>
      </c>
      <c r="AF12" s="224"/>
      <c r="AG12" s="224"/>
    </row>
    <row r="13" spans="1:33" s="250" customFormat="1" ht="16.95" customHeight="1">
      <c r="A13" s="346"/>
      <c r="B13" s="243" t="s">
        <v>47</v>
      </c>
      <c r="C13" s="266">
        <v>8.8000000000000007</v>
      </c>
      <c r="D13" s="244">
        <v>12</v>
      </c>
      <c r="E13" s="245">
        <v>115</v>
      </c>
      <c r="F13" s="245">
        <v>36</v>
      </c>
      <c r="G13" s="246">
        <f t="shared" si="0"/>
        <v>437184.00000000006</v>
      </c>
      <c r="H13" s="246"/>
      <c r="I13" s="246">
        <f>SUM(G13)</f>
        <v>437184.00000000006</v>
      </c>
      <c r="J13" s="246"/>
      <c r="K13" s="245">
        <v>465000</v>
      </c>
      <c r="L13" s="248">
        <v>2332</v>
      </c>
      <c r="M13" s="283">
        <v>7390</v>
      </c>
      <c r="N13" s="283">
        <v>7390</v>
      </c>
      <c r="O13" s="277"/>
      <c r="P13" s="278">
        <v>552843</v>
      </c>
      <c r="Q13" s="279">
        <f t="shared" si="7"/>
        <v>560233</v>
      </c>
      <c r="R13" s="279">
        <f>Q13</f>
        <v>560233</v>
      </c>
      <c r="S13" s="279">
        <f t="shared" si="5"/>
        <v>797175.2</v>
      </c>
      <c r="T13" s="279">
        <f t="shared" si="6"/>
        <v>359991.1999999999</v>
      </c>
      <c r="U13" s="249">
        <f t="shared" si="2"/>
        <v>9.8811813790074634</v>
      </c>
      <c r="V13" s="250">
        <v>376996</v>
      </c>
      <c r="W13" s="255">
        <v>17742</v>
      </c>
      <c r="X13" s="255">
        <f t="shared" si="3"/>
        <v>359254</v>
      </c>
      <c r="Y13" s="255">
        <v>315911</v>
      </c>
      <c r="Z13" s="250">
        <v>37696</v>
      </c>
      <c r="AA13" s="250">
        <v>37259</v>
      </c>
      <c r="AC13" s="242">
        <v>438487</v>
      </c>
      <c r="AF13" s="224"/>
      <c r="AG13" s="224"/>
    </row>
    <row r="14" spans="1:33" s="250" customFormat="1" ht="17.25" customHeight="1">
      <c r="A14" s="346"/>
      <c r="B14" s="243" t="s">
        <v>48</v>
      </c>
      <c r="C14" s="266">
        <v>8.8000000000000007</v>
      </c>
      <c r="D14" s="244">
        <v>11</v>
      </c>
      <c r="E14" s="245">
        <v>118</v>
      </c>
      <c r="F14" s="245">
        <v>36</v>
      </c>
      <c r="G14" s="246">
        <f t="shared" si="0"/>
        <v>411206.40000000002</v>
      </c>
      <c r="H14" s="246"/>
      <c r="I14" s="246">
        <f>SUM(G14)</f>
        <v>411206.40000000002</v>
      </c>
      <c r="J14" s="246"/>
      <c r="K14" s="245">
        <v>425000</v>
      </c>
      <c r="L14" s="248">
        <v>130</v>
      </c>
      <c r="M14" s="283">
        <v>2178</v>
      </c>
      <c r="N14" s="283">
        <v>2178</v>
      </c>
      <c r="O14" s="277"/>
      <c r="P14" s="278">
        <v>273267</v>
      </c>
      <c r="Q14" s="279">
        <f t="shared" si="7"/>
        <v>275445</v>
      </c>
      <c r="R14" s="279">
        <f>Q14</f>
        <v>275445</v>
      </c>
      <c r="S14" s="279">
        <f t="shared" si="5"/>
        <v>635436.19999999995</v>
      </c>
      <c r="T14" s="279">
        <f t="shared" si="6"/>
        <v>224229.79999999993</v>
      </c>
      <c r="U14" s="249">
        <f t="shared" si="2"/>
        <v>5.9982719140558096</v>
      </c>
      <c r="V14" s="250">
        <v>315494</v>
      </c>
      <c r="W14" s="255">
        <v>7939</v>
      </c>
      <c r="X14" s="255">
        <f t="shared" si="3"/>
        <v>307555</v>
      </c>
      <c r="Y14" s="255">
        <v>265277</v>
      </c>
      <c r="Z14" s="250">
        <v>28162</v>
      </c>
      <c r="AA14" s="250">
        <v>27779</v>
      </c>
      <c r="AB14" s="250">
        <v>17552</v>
      </c>
      <c r="AC14" s="242">
        <v>369772</v>
      </c>
      <c r="AF14" s="224"/>
      <c r="AG14" s="224"/>
    </row>
    <row r="15" spans="1:33" s="250" customFormat="1" ht="17.25" customHeight="1">
      <c r="A15" s="346"/>
      <c r="B15" s="243" t="s">
        <v>49</v>
      </c>
      <c r="C15" s="266">
        <v>8.8000000000000007</v>
      </c>
      <c r="D15" s="244">
        <v>7</v>
      </c>
      <c r="E15" s="245">
        <v>118</v>
      </c>
      <c r="F15" s="245">
        <v>36</v>
      </c>
      <c r="G15" s="246">
        <f t="shared" si="0"/>
        <v>261676.80000000005</v>
      </c>
      <c r="H15" s="246"/>
      <c r="I15" s="246">
        <f>SUM(G15)</f>
        <v>261676.80000000005</v>
      </c>
      <c r="J15" s="246"/>
      <c r="K15" s="245">
        <v>270000</v>
      </c>
      <c r="L15" s="248">
        <v>0</v>
      </c>
      <c r="M15" s="283">
        <v>3954</v>
      </c>
      <c r="N15" s="283">
        <v>3954</v>
      </c>
      <c r="O15" s="277"/>
      <c r="P15" s="278">
        <v>379747</v>
      </c>
      <c r="Q15" s="279">
        <f t="shared" si="7"/>
        <v>383701</v>
      </c>
      <c r="R15" s="279">
        <f>Q15</f>
        <v>383701</v>
      </c>
      <c r="S15" s="279">
        <f t="shared" si="5"/>
        <v>607930.79999999993</v>
      </c>
      <c r="T15" s="279">
        <f t="shared" si="6"/>
        <v>346253.99999999988</v>
      </c>
      <c r="U15" s="249">
        <f t="shared" si="2"/>
        <v>9.2624871597329204</v>
      </c>
      <c r="V15" s="250">
        <v>508310</v>
      </c>
      <c r="W15" s="255">
        <v>4308</v>
      </c>
      <c r="X15" s="255">
        <f t="shared" si="3"/>
        <v>504002</v>
      </c>
      <c r="Y15" s="255">
        <v>460126</v>
      </c>
      <c r="Z15" s="250">
        <v>14940</v>
      </c>
      <c r="AA15" s="250">
        <v>14940</v>
      </c>
      <c r="AC15" s="242">
        <v>431713</v>
      </c>
      <c r="AF15" s="224"/>
      <c r="AG15" s="224"/>
    </row>
    <row r="16" spans="1:33" s="250" customFormat="1" ht="17.25" customHeight="1">
      <c r="A16" s="346"/>
      <c r="B16" s="243" t="s">
        <v>50</v>
      </c>
      <c r="C16" s="266">
        <v>8.8000000000000007</v>
      </c>
      <c r="D16" s="244">
        <v>11</v>
      </c>
      <c r="E16" s="245">
        <v>118</v>
      </c>
      <c r="F16" s="245">
        <v>36</v>
      </c>
      <c r="G16" s="246">
        <f t="shared" si="0"/>
        <v>411206.40000000002</v>
      </c>
      <c r="H16" s="246"/>
      <c r="I16" s="246">
        <f>SUM(G16)</f>
        <v>411206.40000000002</v>
      </c>
      <c r="J16" s="246"/>
      <c r="K16" s="245">
        <v>425000</v>
      </c>
      <c r="L16" s="248">
        <v>0</v>
      </c>
      <c r="M16" s="268">
        <v>0</v>
      </c>
      <c r="N16" s="268">
        <v>0</v>
      </c>
      <c r="O16" s="277"/>
      <c r="P16" s="278">
        <v>243722</v>
      </c>
      <c r="Q16" s="279">
        <f t="shared" si="7"/>
        <v>243722</v>
      </c>
      <c r="R16" s="279">
        <f>Q16</f>
        <v>243722</v>
      </c>
      <c r="S16" s="279">
        <f t="shared" si="5"/>
        <v>589975.99999999988</v>
      </c>
      <c r="T16" s="279">
        <f t="shared" si="6"/>
        <v>178769.59999999986</v>
      </c>
      <c r="U16" s="249">
        <f t="shared" si="2"/>
        <v>4.7821862694744004</v>
      </c>
      <c r="V16" s="250">
        <v>223473</v>
      </c>
      <c r="W16" s="255">
        <v>0</v>
      </c>
      <c r="X16" s="255">
        <f t="shared" si="3"/>
        <v>223473</v>
      </c>
      <c r="Y16" s="255">
        <v>200531</v>
      </c>
      <c r="Z16" s="250">
        <v>7094</v>
      </c>
      <c r="AA16" s="250">
        <v>7094</v>
      </c>
      <c r="AB16" s="250">
        <v>176574</v>
      </c>
      <c r="AC16" s="242">
        <v>353593</v>
      </c>
      <c r="AF16" s="224"/>
      <c r="AG16" s="224"/>
    </row>
    <row r="17" spans="1:32" s="250" customFormat="1" ht="19.5" customHeight="1">
      <c r="A17" s="347" t="s">
        <v>51</v>
      </c>
      <c r="B17" s="348"/>
      <c r="C17" s="256"/>
      <c r="D17" s="253"/>
      <c r="E17" s="245"/>
      <c r="F17" s="253"/>
      <c r="G17" s="245">
        <f>SUM(G5:G16)</f>
        <v>5208016.0000000009</v>
      </c>
      <c r="H17" s="245">
        <f>SUM(H5:H16)</f>
        <v>0</v>
      </c>
      <c r="I17" s="245">
        <f>SUM(I5:I16)</f>
        <v>5208016.0000000009</v>
      </c>
      <c r="J17" s="245"/>
      <c r="K17" s="245">
        <f t="shared" ref="K17:R17" si="8">SUM(K5:K16)</f>
        <v>5530000</v>
      </c>
      <c r="L17" s="257">
        <f t="shared" si="8"/>
        <v>1411842</v>
      </c>
      <c r="M17" s="257">
        <f t="shared" si="8"/>
        <v>1165335</v>
      </c>
      <c r="N17" s="257">
        <f t="shared" si="8"/>
        <v>1165335</v>
      </c>
      <c r="O17" s="257">
        <f t="shared" si="8"/>
        <v>572913</v>
      </c>
      <c r="P17" s="257">
        <f t="shared" si="8"/>
        <v>4270593</v>
      </c>
      <c r="Q17" s="257">
        <f t="shared" si="8"/>
        <v>6008841</v>
      </c>
      <c r="R17" s="257">
        <f t="shared" si="8"/>
        <v>6008841</v>
      </c>
      <c r="S17" s="269"/>
      <c r="T17" s="258"/>
      <c r="U17" s="270"/>
      <c r="AF17" s="251"/>
    </row>
    <row r="18" spans="1:32" s="250" customFormat="1" ht="22.5" customHeight="1">
      <c r="A18" s="349" t="s">
        <v>147</v>
      </c>
      <c r="B18" s="350"/>
      <c r="C18" s="350"/>
      <c r="D18" s="350"/>
      <c r="E18" s="350"/>
      <c r="F18" s="350" t="s">
        <v>53</v>
      </c>
      <c r="G18" s="350"/>
      <c r="H18" s="350"/>
      <c r="I18" s="350"/>
      <c r="J18" s="350"/>
      <c r="K18" s="351"/>
      <c r="L18" s="259">
        <f>L17/K17</f>
        <v>0.25530596745027123</v>
      </c>
      <c r="M18" s="260">
        <f>M17/K17</f>
        <v>0.21072965641952984</v>
      </c>
      <c r="N18" s="260"/>
      <c r="O18" s="260"/>
      <c r="P18" s="261">
        <f>P17/K17</f>
        <v>0.77225913200723328</v>
      </c>
      <c r="Q18" s="262"/>
      <c r="R18" s="263"/>
      <c r="S18" s="264"/>
      <c r="T18" s="265"/>
      <c r="U18" s="265"/>
      <c r="AF18" s="251"/>
    </row>
    <row r="20" spans="1:32">
      <c r="P20" s="274" t="s">
        <v>238</v>
      </c>
    </row>
    <row r="21" spans="1:32">
      <c r="Q21" s="235"/>
    </row>
    <row r="33" spans="32:32">
      <c r="AF33" s="233">
        <v>273267</v>
      </c>
    </row>
    <row r="34" spans="32:32">
      <c r="AF34" s="233">
        <v>379747</v>
      </c>
    </row>
    <row r="35" spans="32:32">
      <c r="AF35" s="233">
        <v>243722</v>
      </c>
    </row>
    <row r="51" spans="9:9">
      <c r="I51" s="233">
        <v>2</v>
      </c>
    </row>
  </sheetData>
  <mergeCells count="23">
    <mergeCell ref="U2:U4"/>
    <mergeCell ref="M3:N3"/>
    <mergeCell ref="A5:A16"/>
    <mergeCell ref="A17:B17"/>
    <mergeCell ref="A18:K18"/>
    <mergeCell ref="M2:O2"/>
    <mergeCell ref="P2:P4"/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8"/>
  <sheetViews>
    <sheetView zoomScale="85" zoomScaleNormal="85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J21" sqref="J21"/>
    </sheetView>
  </sheetViews>
  <sheetFormatPr defaultColWidth="10.6640625" defaultRowHeight="15.6"/>
  <cols>
    <col min="1" max="1" width="9.44140625" style="61" hidden="1" customWidth="1"/>
    <col min="2" max="2" width="9.21875" style="61" customWidth="1"/>
    <col min="3" max="3" width="7.21875" style="61" customWidth="1"/>
    <col min="4" max="4" width="9.109375" style="61" customWidth="1"/>
    <col min="5" max="5" width="8.44140625" style="61" customWidth="1"/>
    <col min="6" max="6" width="10.44140625" style="61" customWidth="1"/>
    <col min="7" max="7" width="12" style="61" customWidth="1"/>
    <col min="8" max="8" width="10.109375" style="61" customWidth="1"/>
    <col min="9" max="10" width="11.77734375" style="61" customWidth="1"/>
    <col min="11" max="11" width="11.88671875" style="61" customWidth="1"/>
    <col min="12" max="12" width="10.88671875" style="61" customWidth="1"/>
    <col min="13" max="13" width="13.44140625" style="69" customWidth="1"/>
    <col min="14" max="14" width="13.6640625" style="69" customWidth="1"/>
    <col min="15" max="15" width="12.44140625" style="69" customWidth="1"/>
    <col min="16" max="16" width="13.88671875" style="69" customWidth="1"/>
    <col min="17" max="17" width="15" style="61" customWidth="1"/>
    <col min="18" max="18" width="14.33203125" style="61" customWidth="1"/>
    <col min="19" max="19" width="15.6640625" style="61" customWidth="1"/>
    <col min="20" max="20" width="12.44140625" style="61" customWidth="1"/>
    <col min="21" max="21" width="9.33203125" style="61" customWidth="1"/>
    <col min="22" max="22" width="14.6640625" style="61" hidden="1" customWidth="1"/>
    <col min="23" max="23" width="12.21875" style="61" hidden="1" customWidth="1"/>
    <col min="24" max="24" width="10.6640625" style="61" hidden="1" customWidth="1"/>
    <col min="25" max="25" width="16.6640625" style="61" hidden="1" customWidth="1"/>
    <col min="26" max="26" width="20.77734375" style="61" hidden="1" customWidth="1"/>
    <col min="27" max="27" width="16.88671875" style="61" hidden="1" customWidth="1"/>
    <col min="28" max="28" width="12.6640625" style="61" hidden="1" customWidth="1"/>
    <col min="29" max="29" width="13.33203125" style="61" hidden="1" customWidth="1"/>
    <col min="30" max="16384" width="10.6640625" style="61"/>
  </cols>
  <sheetData>
    <row r="1" spans="1:35" ht="30" customHeight="1">
      <c r="A1" s="198" t="s">
        <v>214</v>
      </c>
      <c r="B1" s="1"/>
      <c r="C1" s="1"/>
      <c r="D1" s="1"/>
      <c r="E1" s="1"/>
      <c r="F1" s="1"/>
      <c r="G1" s="201" t="s">
        <v>217</v>
      </c>
      <c r="H1" s="201" t="s">
        <v>216</v>
      </c>
      <c r="I1" s="1"/>
      <c r="J1" s="1"/>
      <c r="K1" s="1"/>
      <c r="L1" s="188"/>
      <c r="M1" s="202" t="s">
        <v>218</v>
      </c>
      <c r="N1" s="202" t="s">
        <v>220</v>
      </c>
      <c r="O1" s="1"/>
      <c r="P1" s="188"/>
      <c r="Q1" s="201" t="s">
        <v>219</v>
      </c>
      <c r="R1" s="201" t="s">
        <v>219</v>
      </c>
      <c r="S1" s="201" t="s">
        <v>221</v>
      </c>
      <c r="T1" s="203" t="s">
        <v>222</v>
      </c>
      <c r="U1" s="5"/>
    </row>
    <row r="2" spans="1:35" s="181" customFormat="1" ht="28.5" customHeight="1">
      <c r="A2" s="325" t="s">
        <v>1</v>
      </c>
      <c r="B2" s="325" t="s">
        <v>154</v>
      </c>
      <c r="C2" s="325" t="s">
        <v>155</v>
      </c>
      <c r="D2" s="325" t="s">
        <v>156</v>
      </c>
      <c r="E2" s="325" t="s">
        <v>157</v>
      </c>
      <c r="F2" s="336" t="s">
        <v>158</v>
      </c>
      <c r="G2" s="335" t="s">
        <v>159</v>
      </c>
      <c r="H2" s="336" t="s">
        <v>141</v>
      </c>
      <c r="I2" s="336" t="s">
        <v>161</v>
      </c>
      <c r="J2" s="337" t="s">
        <v>191</v>
      </c>
      <c r="K2" s="335" t="s">
        <v>160</v>
      </c>
      <c r="L2" s="335" t="s">
        <v>152</v>
      </c>
      <c r="M2" s="312" t="s">
        <v>12</v>
      </c>
      <c r="N2" s="313"/>
      <c r="O2" s="313"/>
      <c r="P2" s="332" t="s">
        <v>234</v>
      </c>
      <c r="Q2" s="325" t="s">
        <v>231</v>
      </c>
      <c r="R2" s="325" t="s">
        <v>164</v>
      </c>
      <c r="S2" s="328" t="s">
        <v>165</v>
      </c>
      <c r="T2" s="325" t="s">
        <v>17</v>
      </c>
      <c r="U2" s="325" t="s">
        <v>18</v>
      </c>
    </row>
    <row r="3" spans="1:35" s="181" customFormat="1" ht="30.75" customHeight="1">
      <c r="A3" s="326"/>
      <c r="B3" s="326"/>
      <c r="C3" s="326"/>
      <c r="D3" s="326"/>
      <c r="E3" s="326"/>
      <c r="F3" s="336"/>
      <c r="G3" s="335"/>
      <c r="H3" s="336"/>
      <c r="I3" s="336"/>
      <c r="J3" s="337"/>
      <c r="K3" s="335"/>
      <c r="L3" s="335"/>
      <c r="M3" s="314" t="s">
        <v>19</v>
      </c>
      <c r="N3" s="314"/>
      <c r="O3" s="280" t="s">
        <v>20</v>
      </c>
      <c r="P3" s="333"/>
      <c r="Q3" s="326"/>
      <c r="R3" s="326"/>
      <c r="S3" s="329"/>
      <c r="T3" s="326"/>
      <c r="U3" s="326"/>
    </row>
    <row r="4" spans="1:35" s="168" customFormat="1" ht="49.5" customHeight="1">
      <c r="A4" s="327"/>
      <c r="B4" s="327"/>
      <c r="C4" s="327"/>
      <c r="D4" s="327"/>
      <c r="E4" s="327"/>
      <c r="F4" s="336"/>
      <c r="G4" s="322"/>
      <c r="H4" s="325"/>
      <c r="I4" s="325"/>
      <c r="J4" s="308"/>
      <c r="K4" s="322"/>
      <c r="L4" s="322"/>
      <c r="M4" s="218" t="s">
        <v>153</v>
      </c>
      <c r="N4" s="218" t="s">
        <v>232</v>
      </c>
      <c r="O4" s="218" t="s">
        <v>233</v>
      </c>
      <c r="P4" s="333"/>
      <c r="Q4" s="326"/>
      <c r="R4" s="327"/>
      <c r="S4" s="330"/>
      <c r="T4" s="327"/>
      <c r="U4" s="327"/>
      <c r="V4" s="168" t="s">
        <v>227</v>
      </c>
      <c r="W4" s="206" t="s">
        <v>223</v>
      </c>
      <c r="X4" s="206" t="s">
        <v>224</v>
      </c>
      <c r="Y4" s="206" t="s">
        <v>228</v>
      </c>
      <c r="Z4" s="208" t="s">
        <v>225</v>
      </c>
      <c r="AA4" s="208" t="s">
        <v>226</v>
      </c>
      <c r="AB4" s="168" t="s">
        <v>229</v>
      </c>
      <c r="AC4" s="209" t="s">
        <v>230</v>
      </c>
    </row>
    <row r="5" spans="1:35" s="34" customFormat="1" ht="17.25" customHeight="1">
      <c r="A5" s="315" t="s">
        <v>213</v>
      </c>
      <c r="B5" s="210" t="s">
        <v>55</v>
      </c>
      <c r="C5" s="211">
        <v>9</v>
      </c>
      <c r="D5" s="212">
        <v>13</v>
      </c>
      <c r="E5" s="213">
        <v>115</v>
      </c>
      <c r="F5" s="213">
        <v>32</v>
      </c>
      <c r="G5" s="214">
        <f t="shared" ref="G5:G16" si="0">C5*D5*E5*F5</f>
        <v>430560</v>
      </c>
      <c r="H5" s="214">
        <v>42892</v>
      </c>
      <c r="I5" s="214">
        <v>383171</v>
      </c>
      <c r="J5" s="214"/>
      <c r="K5" s="215">
        <v>548889</v>
      </c>
      <c r="L5" s="272">
        <v>350441</v>
      </c>
      <c r="M5" s="287">
        <v>332730</v>
      </c>
      <c r="N5" s="271">
        <v>0</v>
      </c>
      <c r="O5" s="220">
        <v>0</v>
      </c>
      <c r="P5" s="220">
        <v>0</v>
      </c>
      <c r="Q5" s="216">
        <f t="shared" ref="Q5:Q12" si="1">N5+O5+P5</f>
        <v>0</v>
      </c>
      <c r="R5" s="216">
        <f t="shared" ref="R5:R9" si="2">I5</f>
        <v>383171</v>
      </c>
      <c r="S5" s="216">
        <f>R5</f>
        <v>383171</v>
      </c>
      <c r="T5" s="216">
        <v>0</v>
      </c>
      <c r="U5" s="217">
        <f t="shared" ref="U5:U16" si="3">T5/C5/E5/F5</f>
        <v>0</v>
      </c>
      <c r="V5" s="42">
        <v>0</v>
      </c>
      <c r="W5" s="205">
        <v>0</v>
      </c>
      <c r="X5" s="205">
        <f>V5-W5</f>
        <v>0</v>
      </c>
      <c r="Y5" s="205">
        <v>0</v>
      </c>
      <c r="Z5" s="42">
        <v>336083</v>
      </c>
      <c r="AA5" s="42">
        <v>133770</v>
      </c>
      <c r="AC5" s="209">
        <v>0</v>
      </c>
      <c r="AF5" s="224"/>
      <c r="AG5" s="224"/>
      <c r="AH5" s="224"/>
    </row>
    <row r="6" spans="1:35" s="34" customFormat="1" ht="15.6" customHeight="1">
      <c r="A6" s="316"/>
      <c r="B6" s="210" t="s">
        <v>56</v>
      </c>
      <c r="C6" s="211">
        <f>8+40/27</f>
        <v>9.481481481481481</v>
      </c>
      <c r="D6" s="212">
        <v>14</v>
      </c>
      <c r="E6" s="213">
        <v>121.3</v>
      </c>
      <c r="F6" s="213">
        <v>32</v>
      </c>
      <c r="G6" s="214">
        <f t="shared" si="0"/>
        <v>515246.45925925922</v>
      </c>
      <c r="H6" s="214">
        <v>42673</v>
      </c>
      <c r="I6" s="214">
        <v>469545</v>
      </c>
      <c r="J6" s="214"/>
      <c r="K6" s="213">
        <v>591111</v>
      </c>
      <c r="L6" s="272">
        <v>459362</v>
      </c>
      <c r="M6" s="287">
        <v>577974</v>
      </c>
      <c r="N6" s="271">
        <v>0</v>
      </c>
      <c r="O6" s="220">
        <v>0</v>
      </c>
      <c r="P6" s="220">
        <v>0</v>
      </c>
      <c r="Q6" s="216">
        <f t="shared" si="1"/>
        <v>0</v>
      </c>
      <c r="R6" s="216">
        <f t="shared" si="2"/>
        <v>469545</v>
      </c>
      <c r="S6" s="216">
        <f>R6</f>
        <v>469545</v>
      </c>
      <c r="T6" s="216">
        <v>0</v>
      </c>
      <c r="U6" s="217">
        <f t="shared" si="3"/>
        <v>0</v>
      </c>
      <c r="V6" s="42">
        <v>0</v>
      </c>
      <c r="W6" s="205">
        <v>0</v>
      </c>
      <c r="X6" s="205">
        <f t="shared" ref="X6:X16" si="4">V6-W6</f>
        <v>0</v>
      </c>
      <c r="Y6" s="205">
        <v>0</v>
      </c>
      <c r="Z6" s="42">
        <v>577976</v>
      </c>
      <c r="AA6" s="42">
        <v>475223</v>
      </c>
      <c r="AC6" s="209">
        <v>0</v>
      </c>
      <c r="AF6" s="224"/>
      <c r="AG6" s="224"/>
      <c r="AH6" s="224"/>
    </row>
    <row r="7" spans="1:35" s="34" customFormat="1" ht="16.5" customHeight="1">
      <c r="A7" s="316"/>
      <c r="B7" s="210" t="s">
        <v>57</v>
      </c>
      <c r="C7" s="211">
        <v>9.5</v>
      </c>
      <c r="D7" s="212">
        <v>13</v>
      </c>
      <c r="E7" s="213">
        <v>110</v>
      </c>
      <c r="F7" s="213">
        <v>38</v>
      </c>
      <c r="G7" s="214">
        <f t="shared" si="0"/>
        <v>516230</v>
      </c>
      <c r="H7" s="214">
        <v>9372</v>
      </c>
      <c r="I7" s="214">
        <v>476940</v>
      </c>
      <c r="J7" s="214"/>
      <c r="K7" s="213">
        <v>555208</v>
      </c>
      <c r="L7" s="272">
        <v>488996</v>
      </c>
      <c r="M7" s="287">
        <v>636694</v>
      </c>
      <c r="N7" s="271">
        <v>0</v>
      </c>
      <c r="O7" s="220"/>
      <c r="P7" s="220">
        <v>0</v>
      </c>
      <c r="Q7" s="216">
        <f t="shared" si="1"/>
        <v>0</v>
      </c>
      <c r="R7" s="216">
        <f t="shared" si="2"/>
        <v>476940</v>
      </c>
      <c r="S7" s="216">
        <f t="shared" ref="S7:S16" si="5">R7+T6</f>
        <v>476940</v>
      </c>
      <c r="T7" s="216">
        <v>0</v>
      </c>
      <c r="U7" s="217">
        <f t="shared" si="3"/>
        <v>0</v>
      </c>
      <c r="V7" s="42">
        <v>22320</v>
      </c>
      <c r="W7" s="207">
        <v>5193</v>
      </c>
      <c r="X7" s="205">
        <f t="shared" si="4"/>
        <v>17127</v>
      </c>
      <c r="Y7" s="205">
        <v>0</v>
      </c>
      <c r="Z7" s="42">
        <v>638661</v>
      </c>
      <c r="AA7" s="42">
        <v>605035</v>
      </c>
      <c r="AC7" s="209">
        <v>0</v>
      </c>
      <c r="AF7" s="224"/>
      <c r="AG7" s="224"/>
      <c r="AH7" s="224"/>
    </row>
    <row r="8" spans="1:35" s="34" customFormat="1" ht="16.5" customHeight="1">
      <c r="A8" s="316"/>
      <c r="B8" s="210" t="s">
        <v>58</v>
      </c>
      <c r="C8" s="211">
        <v>9.5</v>
      </c>
      <c r="D8" s="212">
        <v>11</v>
      </c>
      <c r="E8" s="213">
        <v>112</v>
      </c>
      <c r="F8" s="213">
        <v>38</v>
      </c>
      <c r="G8" s="214">
        <f t="shared" si="0"/>
        <v>444752</v>
      </c>
      <c r="H8" s="214"/>
      <c r="I8" s="214">
        <v>426583</v>
      </c>
      <c r="J8" s="214"/>
      <c r="K8" s="213">
        <v>469792</v>
      </c>
      <c r="L8" s="272">
        <v>431673</v>
      </c>
      <c r="M8" s="287">
        <v>433782</v>
      </c>
      <c r="N8" s="271">
        <v>0</v>
      </c>
      <c r="O8" s="220"/>
      <c r="P8" s="220">
        <v>0</v>
      </c>
      <c r="Q8" s="216">
        <f t="shared" si="1"/>
        <v>0</v>
      </c>
      <c r="R8" s="216">
        <f t="shared" si="2"/>
        <v>426583</v>
      </c>
      <c r="S8" s="216">
        <f t="shared" si="5"/>
        <v>426583</v>
      </c>
      <c r="T8" s="216">
        <v>0</v>
      </c>
      <c r="U8" s="217">
        <f t="shared" si="3"/>
        <v>0</v>
      </c>
      <c r="V8" s="42">
        <v>22584</v>
      </c>
      <c r="W8" s="207">
        <v>3227</v>
      </c>
      <c r="X8" s="205">
        <f t="shared" si="4"/>
        <v>19357</v>
      </c>
      <c r="Y8" s="205">
        <v>14661</v>
      </c>
      <c r="Z8" s="42">
        <v>430815</v>
      </c>
      <c r="AA8" s="42">
        <v>419803</v>
      </c>
      <c r="AC8" s="209">
        <v>0</v>
      </c>
      <c r="AF8" s="224"/>
      <c r="AG8" s="224"/>
      <c r="AH8" s="224"/>
    </row>
    <row r="9" spans="1:35" s="34" customFormat="1" ht="16.95" customHeight="1">
      <c r="A9" s="316"/>
      <c r="B9" s="210" t="s">
        <v>59</v>
      </c>
      <c r="C9" s="211">
        <v>8.8000000000000007</v>
      </c>
      <c r="D9" s="223">
        <v>12</v>
      </c>
      <c r="E9" s="213">
        <v>116</v>
      </c>
      <c r="F9" s="213">
        <v>35</v>
      </c>
      <c r="G9" s="214">
        <f t="shared" si="0"/>
        <v>428736</v>
      </c>
      <c r="H9" s="214"/>
      <c r="I9" s="214">
        <v>443124</v>
      </c>
      <c r="J9" s="214"/>
      <c r="K9" s="213">
        <v>504000</v>
      </c>
      <c r="L9" s="272">
        <v>439314</v>
      </c>
      <c r="M9" s="287">
        <v>419900</v>
      </c>
      <c r="N9" s="272">
        <v>18107</v>
      </c>
      <c r="O9" s="220"/>
      <c r="P9" s="220">
        <v>0</v>
      </c>
      <c r="Q9" s="216">
        <f t="shared" si="1"/>
        <v>18107</v>
      </c>
      <c r="R9" s="216">
        <f t="shared" si="2"/>
        <v>443124</v>
      </c>
      <c r="S9" s="216">
        <f t="shared" si="5"/>
        <v>443124</v>
      </c>
      <c r="T9" s="216">
        <v>0</v>
      </c>
      <c r="U9" s="217">
        <f>T9/C9/E9/F9</f>
        <v>0</v>
      </c>
      <c r="V9" s="42">
        <v>201926</v>
      </c>
      <c r="W9" s="207">
        <v>113523</v>
      </c>
      <c r="X9" s="205">
        <f t="shared" si="4"/>
        <v>88403</v>
      </c>
      <c r="Y9" s="205">
        <v>34425</v>
      </c>
      <c r="Z9" s="42">
        <v>358959</v>
      </c>
      <c r="AA9" s="42">
        <v>356272</v>
      </c>
      <c r="AC9" s="209">
        <v>6180</v>
      </c>
      <c r="AF9" s="224"/>
      <c r="AG9" s="224"/>
      <c r="AH9" s="224"/>
    </row>
    <row r="10" spans="1:35" s="34" customFormat="1">
      <c r="A10" s="316"/>
      <c r="B10" s="210" t="s">
        <v>60</v>
      </c>
      <c r="C10" s="211">
        <v>8.5</v>
      </c>
      <c r="D10" s="223">
        <v>13</v>
      </c>
      <c r="E10" s="213">
        <v>117.5</v>
      </c>
      <c r="F10" s="213">
        <v>35</v>
      </c>
      <c r="G10" s="214">
        <f t="shared" si="0"/>
        <v>454431.25</v>
      </c>
      <c r="H10" s="214"/>
      <c r="I10" s="214">
        <v>464062</v>
      </c>
      <c r="J10" s="214"/>
      <c r="K10" s="213">
        <v>546000</v>
      </c>
      <c r="L10" s="272">
        <v>424943</v>
      </c>
      <c r="M10" s="287">
        <v>336540</v>
      </c>
      <c r="N10" s="272">
        <v>320</v>
      </c>
      <c r="O10" s="220"/>
      <c r="P10" s="220">
        <v>0</v>
      </c>
      <c r="Q10" s="216">
        <f t="shared" si="1"/>
        <v>320</v>
      </c>
      <c r="R10" s="216">
        <f>I10</f>
        <v>464062</v>
      </c>
      <c r="S10" s="216">
        <f t="shared" si="5"/>
        <v>464062</v>
      </c>
      <c r="T10" s="216">
        <v>0</v>
      </c>
      <c r="U10" s="217">
        <f t="shared" si="3"/>
        <v>0</v>
      </c>
      <c r="V10" s="42">
        <v>185159</v>
      </c>
      <c r="W10" s="207">
        <v>13524</v>
      </c>
      <c r="X10" s="205">
        <f t="shared" si="4"/>
        <v>171635</v>
      </c>
      <c r="Y10" s="205">
        <v>171014</v>
      </c>
      <c r="Z10" s="42">
        <v>314025</v>
      </c>
      <c r="AA10" s="42">
        <v>311570</v>
      </c>
      <c r="AC10" s="209">
        <v>58341</v>
      </c>
      <c r="AF10" s="224"/>
      <c r="AG10" s="224"/>
      <c r="AH10" s="224"/>
    </row>
    <row r="11" spans="1:35" s="42" customFormat="1" ht="16.2" customHeight="1">
      <c r="A11" s="316"/>
      <c r="B11" s="210" t="s">
        <v>61</v>
      </c>
      <c r="C11" s="211">
        <v>8.8000000000000007</v>
      </c>
      <c r="D11" s="212">
        <v>13</v>
      </c>
      <c r="E11" s="213">
        <v>118</v>
      </c>
      <c r="F11" s="213">
        <v>33</v>
      </c>
      <c r="G11" s="214">
        <f t="shared" si="0"/>
        <v>445473.60000000003</v>
      </c>
      <c r="H11" s="214">
        <v>25566</v>
      </c>
      <c r="I11" s="214">
        <v>432329</v>
      </c>
      <c r="J11" s="214"/>
      <c r="K11" s="213">
        <v>552500</v>
      </c>
      <c r="L11" s="272">
        <v>493516</v>
      </c>
      <c r="M11" s="287">
        <v>350765</v>
      </c>
      <c r="N11" s="272">
        <v>1955</v>
      </c>
      <c r="O11" s="221"/>
      <c r="P11" s="220">
        <v>0</v>
      </c>
      <c r="Q11" s="216">
        <f>N11+O11+P11</f>
        <v>1955</v>
      </c>
      <c r="R11" s="216">
        <f>I11</f>
        <v>432329</v>
      </c>
      <c r="S11" s="216">
        <f t="shared" si="5"/>
        <v>432329</v>
      </c>
      <c r="T11" s="216">
        <v>0</v>
      </c>
      <c r="U11" s="217">
        <f>T11/C11/E11/F11</f>
        <v>0</v>
      </c>
      <c r="V11" s="42">
        <v>664133</v>
      </c>
      <c r="W11" s="205">
        <v>65649</v>
      </c>
      <c r="X11" s="205">
        <f t="shared" si="4"/>
        <v>598484</v>
      </c>
      <c r="Y11" s="205">
        <v>515941</v>
      </c>
      <c r="Z11" s="42">
        <v>176607</v>
      </c>
      <c r="AA11" s="42">
        <v>175907</v>
      </c>
      <c r="AC11" s="209">
        <v>162462</v>
      </c>
      <c r="AF11" s="224"/>
      <c r="AG11" s="224"/>
      <c r="AH11" s="224"/>
    </row>
    <row r="12" spans="1:35" s="42" customFormat="1" ht="16.5" customHeight="1">
      <c r="A12" s="316"/>
      <c r="B12" s="210" t="s">
        <v>62</v>
      </c>
      <c r="C12" s="211">
        <v>8.8000000000000007</v>
      </c>
      <c r="D12" s="212">
        <v>13</v>
      </c>
      <c r="E12" s="213">
        <v>120</v>
      </c>
      <c r="F12" s="213">
        <v>33</v>
      </c>
      <c r="G12" s="214">
        <f t="shared" si="0"/>
        <v>453024</v>
      </c>
      <c r="H12" s="214">
        <v>28746</v>
      </c>
      <c r="I12" s="214">
        <v>456387</v>
      </c>
      <c r="J12" s="214"/>
      <c r="K12" s="213">
        <v>552500</v>
      </c>
      <c r="L12" s="272">
        <v>477093</v>
      </c>
      <c r="M12" s="287">
        <v>522574</v>
      </c>
      <c r="N12" s="272">
        <v>4022</v>
      </c>
      <c r="O12" s="221"/>
      <c r="P12" s="220">
        <v>0</v>
      </c>
      <c r="Q12" s="276">
        <f t="shared" si="1"/>
        <v>4022</v>
      </c>
      <c r="R12" s="216">
        <f>I12</f>
        <v>456387</v>
      </c>
      <c r="S12" s="216">
        <f t="shared" si="5"/>
        <v>456387</v>
      </c>
      <c r="T12" s="216">
        <v>0</v>
      </c>
      <c r="U12" s="217">
        <f>T12/C12/E12/F12</f>
        <v>0</v>
      </c>
      <c r="V12" s="42">
        <v>440021</v>
      </c>
      <c r="W12" s="205">
        <v>21261</v>
      </c>
      <c r="X12" s="205">
        <f t="shared" si="4"/>
        <v>418760</v>
      </c>
      <c r="Y12" s="205">
        <v>394434</v>
      </c>
      <c r="Z12" s="42">
        <v>90530</v>
      </c>
      <c r="AA12" s="42">
        <v>90530</v>
      </c>
      <c r="AC12" s="209">
        <v>424185</v>
      </c>
      <c r="AE12" s="61"/>
      <c r="AF12" s="224"/>
      <c r="AG12" s="224"/>
      <c r="AH12" s="224"/>
      <c r="AI12" s="224"/>
    </row>
    <row r="13" spans="1:35" s="42" customFormat="1" ht="16.95" customHeight="1">
      <c r="A13" s="316"/>
      <c r="B13" s="210" t="s">
        <v>63</v>
      </c>
      <c r="C13" s="211">
        <v>8</v>
      </c>
      <c r="D13" s="212">
        <v>11</v>
      </c>
      <c r="E13" s="213">
        <v>118</v>
      </c>
      <c r="F13" s="213">
        <v>32</v>
      </c>
      <c r="G13" s="285">
        <f t="shared" si="0"/>
        <v>332288</v>
      </c>
      <c r="H13" s="285">
        <v>31106</v>
      </c>
      <c r="I13" s="285">
        <v>312647</v>
      </c>
      <c r="J13" s="285">
        <v>312647</v>
      </c>
      <c r="K13" s="286">
        <v>464630</v>
      </c>
      <c r="L13" s="272">
        <v>374053</v>
      </c>
      <c r="M13" s="282">
        <v>443129</v>
      </c>
      <c r="N13" s="272">
        <v>141378</v>
      </c>
      <c r="O13" s="221"/>
      <c r="P13" s="220">
        <v>0</v>
      </c>
      <c r="Q13" s="276">
        <f>N13+O13+P13</f>
        <v>141378</v>
      </c>
      <c r="R13" s="216">
        <f>I13</f>
        <v>312647</v>
      </c>
      <c r="S13" s="216">
        <f t="shared" si="5"/>
        <v>312647</v>
      </c>
      <c r="T13" s="216">
        <v>0</v>
      </c>
      <c r="U13" s="217">
        <f t="shared" si="3"/>
        <v>0</v>
      </c>
      <c r="V13" s="42">
        <v>376996</v>
      </c>
      <c r="W13" s="205">
        <v>17742</v>
      </c>
      <c r="X13" s="205">
        <f t="shared" si="4"/>
        <v>359254</v>
      </c>
      <c r="Y13" s="205">
        <v>315911</v>
      </c>
      <c r="Z13" s="42">
        <v>37696</v>
      </c>
      <c r="AA13" s="42">
        <v>37259</v>
      </c>
      <c r="AC13" s="209">
        <v>438487</v>
      </c>
      <c r="AE13" s="61"/>
      <c r="AF13" s="224"/>
      <c r="AG13" s="224"/>
      <c r="AH13" s="224"/>
      <c r="AI13" s="224"/>
    </row>
    <row r="14" spans="1:35" s="42" customFormat="1" ht="17.25" customHeight="1">
      <c r="A14" s="316"/>
      <c r="B14" s="23" t="s">
        <v>64</v>
      </c>
      <c r="C14" s="24">
        <v>8</v>
      </c>
      <c r="D14" s="25">
        <v>0</v>
      </c>
      <c r="E14" s="26">
        <v>118</v>
      </c>
      <c r="F14" s="26">
        <v>32</v>
      </c>
      <c r="G14" s="28">
        <f t="shared" si="0"/>
        <v>0</v>
      </c>
      <c r="H14" s="28">
        <v>37500</v>
      </c>
      <c r="I14" s="28">
        <f t="shared" ref="I14:I16" si="6">SUM(G14)</f>
        <v>0</v>
      </c>
      <c r="J14" s="28">
        <v>198</v>
      </c>
      <c r="K14" s="26">
        <v>500370</v>
      </c>
      <c r="L14" s="284">
        <v>72146</v>
      </c>
      <c r="M14" s="281">
        <v>303027</v>
      </c>
      <c r="N14" s="284">
        <v>205195</v>
      </c>
      <c r="O14" s="222"/>
      <c r="P14" s="267"/>
      <c r="Q14" s="225">
        <f>N14+O14+P14</f>
        <v>205195</v>
      </c>
      <c r="R14" s="31">
        <f>Q9+Q10+Q11+Q12+Q13+Q14</f>
        <v>370977</v>
      </c>
      <c r="S14" s="31">
        <f t="shared" si="5"/>
        <v>370977</v>
      </c>
      <c r="T14" s="31">
        <f t="shared" ref="T14:T16" si="7">S14-G14+J14</f>
        <v>371175</v>
      </c>
      <c r="U14" s="33">
        <f t="shared" si="3"/>
        <v>12.287307997881356</v>
      </c>
      <c r="V14" s="42">
        <v>315494</v>
      </c>
      <c r="W14" s="205">
        <v>7939</v>
      </c>
      <c r="X14" s="205">
        <f t="shared" si="4"/>
        <v>307555</v>
      </c>
      <c r="Y14" s="205">
        <v>265277</v>
      </c>
      <c r="Z14" s="42">
        <v>28162</v>
      </c>
      <c r="AA14" s="42">
        <v>27779</v>
      </c>
      <c r="AB14" s="42">
        <v>17552</v>
      </c>
      <c r="AC14" s="209">
        <v>369772</v>
      </c>
      <c r="AE14" s="61"/>
      <c r="AF14" s="224"/>
      <c r="AG14" s="224"/>
      <c r="AH14" s="224"/>
      <c r="AI14" s="224"/>
    </row>
    <row r="15" spans="1:35" s="42" customFormat="1" ht="17.25" customHeight="1">
      <c r="A15" s="316"/>
      <c r="B15" s="23" t="s">
        <v>65</v>
      </c>
      <c r="C15" s="24">
        <v>8</v>
      </c>
      <c r="D15" s="43">
        <v>0</v>
      </c>
      <c r="E15" s="26">
        <v>118</v>
      </c>
      <c r="F15" s="26">
        <v>32</v>
      </c>
      <c r="G15" s="28">
        <f t="shared" si="0"/>
        <v>0</v>
      </c>
      <c r="H15" s="28">
        <v>37500</v>
      </c>
      <c r="I15" s="28">
        <f t="shared" si="6"/>
        <v>0</v>
      </c>
      <c r="J15" s="28"/>
      <c r="K15" s="26">
        <v>457407</v>
      </c>
      <c r="L15" s="284">
        <v>233552</v>
      </c>
      <c r="M15" s="281">
        <v>462248</v>
      </c>
      <c r="N15" s="284">
        <v>425497</v>
      </c>
      <c r="O15" s="222"/>
      <c r="P15" s="267"/>
      <c r="Q15" s="225">
        <f>N15+O15+P15</f>
        <v>425497</v>
      </c>
      <c r="R15" s="31">
        <f>Q15</f>
        <v>425497</v>
      </c>
      <c r="S15" s="31">
        <f t="shared" si="5"/>
        <v>796672</v>
      </c>
      <c r="T15" s="31">
        <f t="shared" si="7"/>
        <v>796672</v>
      </c>
      <c r="U15" s="33">
        <f t="shared" si="3"/>
        <v>26.372881355932204</v>
      </c>
      <c r="V15" s="42">
        <v>508310</v>
      </c>
      <c r="W15" s="205">
        <v>4308</v>
      </c>
      <c r="X15" s="205">
        <f t="shared" si="4"/>
        <v>504002</v>
      </c>
      <c r="Y15" s="205">
        <v>460126</v>
      </c>
      <c r="Z15" s="42">
        <v>14940</v>
      </c>
      <c r="AA15" s="42">
        <v>14940</v>
      </c>
      <c r="AC15" s="209">
        <v>431713</v>
      </c>
      <c r="AE15" s="61"/>
      <c r="AF15" s="224"/>
      <c r="AG15" s="224"/>
      <c r="AH15" s="224"/>
      <c r="AI15" s="224"/>
    </row>
    <row r="16" spans="1:35" s="42" customFormat="1" ht="17.25" customHeight="1">
      <c r="A16" s="316"/>
      <c r="B16" s="23" t="s">
        <v>66</v>
      </c>
      <c r="C16" s="24">
        <v>8</v>
      </c>
      <c r="D16" s="43">
        <v>0</v>
      </c>
      <c r="E16" s="26">
        <v>118</v>
      </c>
      <c r="F16" s="26">
        <v>32</v>
      </c>
      <c r="G16" s="28">
        <f t="shared" si="0"/>
        <v>0</v>
      </c>
      <c r="H16" s="28">
        <v>37500</v>
      </c>
      <c r="I16" s="28">
        <f t="shared" si="6"/>
        <v>0</v>
      </c>
      <c r="J16" s="28"/>
      <c r="K16" s="26">
        <v>492593</v>
      </c>
      <c r="L16" s="284">
        <v>461655</v>
      </c>
      <c r="M16" s="281">
        <v>212568</v>
      </c>
      <c r="N16" s="284">
        <v>198917</v>
      </c>
      <c r="O16" s="222"/>
      <c r="P16" s="267">
        <v>236</v>
      </c>
      <c r="Q16" s="225">
        <f>N16+O16+P16</f>
        <v>199153</v>
      </c>
      <c r="R16" s="31">
        <f t="shared" ref="R16" si="8">Q16</f>
        <v>199153</v>
      </c>
      <c r="S16" s="31">
        <f t="shared" si="5"/>
        <v>995825</v>
      </c>
      <c r="T16" s="31">
        <f t="shared" si="7"/>
        <v>995825</v>
      </c>
      <c r="U16" s="33">
        <f t="shared" si="3"/>
        <v>32.965605137711862</v>
      </c>
      <c r="V16" s="42">
        <v>223473</v>
      </c>
      <c r="W16" s="205">
        <v>0</v>
      </c>
      <c r="X16" s="205">
        <f t="shared" si="4"/>
        <v>223473</v>
      </c>
      <c r="Y16" s="205">
        <v>200531</v>
      </c>
      <c r="Z16" s="42">
        <v>7094</v>
      </c>
      <c r="AA16" s="42">
        <v>7094</v>
      </c>
      <c r="AB16" s="42">
        <v>176574</v>
      </c>
      <c r="AC16" s="209">
        <v>353593</v>
      </c>
      <c r="AE16" s="61"/>
      <c r="AF16" s="224"/>
      <c r="AG16" s="224"/>
      <c r="AH16" s="224"/>
      <c r="AI16" s="224"/>
    </row>
    <row r="17" spans="1:21" s="42" customFormat="1" ht="19.5" customHeight="1">
      <c r="A17" s="317" t="s">
        <v>51</v>
      </c>
      <c r="B17" s="318"/>
      <c r="C17" s="44"/>
      <c r="D17" s="45"/>
      <c r="E17" s="35"/>
      <c r="F17" s="45"/>
      <c r="G17" s="35">
        <f>SUM(G5:G16)</f>
        <v>4020741.3092592596</v>
      </c>
      <c r="H17" s="35">
        <f>SUM(H5:H16)</f>
        <v>292855</v>
      </c>
      <c r="I17" s="35">
        <f>SUM(I5:I16)</f>
        <v>3864788</v>
      </c>
      <c r="J17" s="35"/>
      <c r="K17" s="26">
        <f>SUM(K5:K16)</f>
        <v>6235000</v>
      </c>
      <c r="L17" s="192">
        <f>SUM(L5:L16)</f>
        <v>4706744</v>
      </c>
      <c r="M17" s="192">
        <f>SUM(M5:M16)</f>
        <v>5031931</v>
      </c>
      <c r="N17" s="192">
        <f>SUM(N5:N16)</f>
        <v>995391</v>
      </c>
      <c r="O17" s="46">
        <v>0</v>
      </c>
      <c r="P17" s="192">
        <f>SUM(P5:P16)</f>
        <v>236</v>
      </c>
      <c r="Q17" s="46">
        <f>SUM(Q5:Q16)</f>
        <v>995627</v>
      </c>
      <c r="R17" s="46">
        <f>SUM(R5:R16)</f>
        <v>4860415</v>
      </c>
      <c r="S17" s="47"/>
      <c r="T17" s="49"/>
      <c r="U17" s="51"/>
    </row>
    <row r="18" spans="1:21" s="42" customFormat="1" ht="22.5" customHeight="1">
      <c r="A18" s="319" t="s">
        <v>147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0"/>
      <c r="K18" s="321"/>
      <c r="L18" s="189">
        <f>L17/K17</f>
        <v>0.75489077786688052</v>
      </c>
      <c r="M18" s="53">
        <f>M17/K17</f>
        <v>0.80704587008821171</v>
      </c>
      <c r="N18" s="53"/>
      <c r="O18" s="53"/>
      <c r="P18" s="193">
        <f>P17/K17</f>
        <v>3.7850842020850043E-5</v>
      </c>
      <c r="Q18" s="55"/>
      <c r="R18" s="56"/>
      <c r="S18" s="57"/>
      <c r="T18" s="59"/>
      <c r="U18" s="59"/>
    </row>
    <row r="20" spans="1:21">
      <c r="O20" s="273"/>
      <c r="P20" s="274" t="s">
        <v>239</v>
      </c>
      <c r="Q20" s="275"/>
    </row>
    <row r="21" spans="1:21">
      <c r="Q21" s="73"/>
    </row>
    <row r="24" spans="1:21">
      <c r="L24" s="69"/>
    </row>
    <row r="25" spans="1:21">
      <c r="L25" s="69"/>
    </row>
    <row r="26" spans="1:21">
      <c r="L26" s="69"/>
    </row>
    <row r="27" spans="1:21">
      <c r="L27" s="69"/>
    </row>
    <row r="28" spans="1:21">
      <c r="J28" s="69"/>
    </row>
    <row r="29" spans="1:21">
      <c r="J29" s="69"/>
    </row>
    <row r="30" spans="1:21">
      <c r="J30" s="69"/>
      <c r="M30" s="61"/>
    </row>
    <row r="31" spans="1:21">
      <c r="J31" s="69"/>
      <c r="K31" s="69"/>
      <c r="M31" s="61"/>
    </row>
    <row r="32" spans="1:21">
      <c r="J32" s="69"/>
      <c r="K32" s="69"/>
      <c r="M32" s="61"/>
    </row>
    <row r="33" spans="5:13">
      <c r="K33" s="69"/>
      <c r="M33" s="61"/>
    </row>
    <row r="34" spans="5:13">
      <c r="F34" s="69"/>
      <c r="K34" s="69"/>
      <c r="M34" s="61"/>
    </row>
    <row r="35" spans="5:13">
      <c r="E35" s="69"/>
      <c r="F35" s="69"/>
      <c r="M35" s="61"/>
    </row>
    <row r="36" spans="5:13">
      <c r="E36" s="69"/>
      <c r="F36" s="69"/>
      <c r="M36" s="61"/>
    </row>
    <row r="37" spans="5:13">
      <c r="E37" s="69"/>
      <c r="F37" s="69"/>
    </row>
    <row r="38" spans="5:13">
      <c r="E38" s="69"/>
    </row>
  </sheetData>
  <mergeCells count="23">
    <mergeCell ref="U2:U4"/>
    <mergeCell ref="M3:N3"/>
    <mergeCell ref="A5:A16"/>
    <mergeCell ref="A17:B17"/>
    <mergeCell ref="A18:K18"/>
    <mergeCell ref="M2:O2"/>
    <mergeCell ref="P2:P4"/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1"/>
  <sheetViews>
    <sheetView topLeftCell="B1" zoomScale="85" zoomScaleNormal="85" workbookViewId="0">
      <selection activeCell="C16" sqref="C16"/>
    </sheetView>
  </sheetViews>
  <sheetFormatPr defaultColWidth="10.6640625" defaultRowHeight="16.2"/>
  <cols>
    <col min="1" max="1" width="9.44140625" style="233" hidden="1" customWidth="1"/>
    <col min="2" max="2" width="9.21875" style="233" customWidth="1"/>
    <col min="3" max="3" width="7.21875" style="233" customWidth="1"/>
    <col min="4" max="4" width="9.109375" style="233" customWidth="1"/>
    <col min="5" max="5" width="8.44140625" style="233" customWidth="1"/>
    <col min="6" max="6" width="10.44140625" style="233" customWidth="1"/>
    <col min="7" max="7" width="12" style="233" customWidth="1"/>
    <col min="8" max="8" width="10.109375" style="233" customWidth="1"/>
    <col min="9" max="10" width="11.77734375" style="233" customWidth="1"/>
    <col min="11" max="11" width="11.88671875" style="233" customWidth="1"/>
    <col min="12" max="12" width="12.109375" style="233" customWidth="1"/>
    <col min="13" max="13" width="13.44140625" style="234" customWidth="1"/>
    <col min="14" max="14" width="13.6640625" style="234" customWidth="1"/>
    <col min="15" max="15" width="12.44140625" style="234" customWidth="1"/>
    <col min="16" max="16" width="13.88671875" style="234" customWidth="1"/>
    <col min="17" max="17" width="15" style="233" customWidth="1"/>
    <col min="18" max="18" width="14.33203125" style="233" customWidth="1"/>
    <col min="19" max="19" width="15.6640625" style="233" customWidth="1"/>
    <col min="20" max="20" width="12.44140625" style="233" customWidth="1"/>
    <col min="21" max="21" width="9.33203125" style="233" customWidth="1"/>
    <col min="22" max="22" width="14.6640625" style="233" hidden="1" customWidth="1"/>
    <col min="23" max="23" width="12.21875" style="233" hidden="1" customWidth="1"/>
    <col min="24" max="24" width="10.6640625" style="233" hidden="1" customWidth="1"/>
    <col min="25" max="25" width="16.6640625" style="233" hidden="1" customWidth="1"/>
    <col min="26" max="26" width="20.77734375" style="233" hidden="1" customWidth="1"/>
    <col min="27" max="27" width="16.88671875" style="233" hidden="1" customWidth="1"/>
    <col min="28" max="28" width="12.6640625" style="233" hidden="1" customWidth="1"/>
    <col min="29" max="29" width="13.33203125" style="233" hidden="1" customWidth="1"/>
    <col min="30" max="16384" width="10.6640625" style="233"/>
  </cols>
  <sheetData>
    <row r="1" spans="1:33" ht="30" customHeight="1">
      <c r="A1" s="226" t="s">
        <v>214</v>
      </c>
      <c r="B1" s="227"/>
      <c r="C1" s="227"/>
      <c r="D1" s="227"/>
      <c r="E1" s="227"/>
      <c r="F1" s="227"/>
      <c r="G1" s="228" t="s">
        <v>217</v>
      </c>
      <c r="H1" s="228" t="s">
        <v>216</v>
      </c>
      <c r="I1" s="227"/>
      <c r="J1" s="227"/>
      <c r="K1" s="227"/>
      <c r="L1" s="229"/>
      <c r="M1" s="230" t="s">
        <v>218</v>
      </c>
      <c r="N1" s="230" t="s">
        <v>220</v>
      </c>
      <c r="O1" s="227"/>
      <c r="P1" s="229"/>
      <c r="Q1" s="228" t="s">
        <v>219</v>
      </c>
      <c r="R1" s="228" t="s">
        <v>219</v>
      </c>
      <c r="S1" s="228" t="s">
        <v>221</v>
      </c>
      <c r="T1" s="231" t="s">
        <v>222</v>
      </c>
      <c r="U1" s="232"/>
    </row>
    <row r="2" spans="1:33" s="236" customFormat="1" ht="28.5" customHeight="1">
      <c r="A2" s="340" t="s">
        <v>1</v>
      </c>
      <c r="B2" s="340" t="s">
        <v>154</v>
      </c>
      <c r="C2" s="340" t="s">
        <v>155</v>
      </c>
      <c r="D2" s="340" t="s">
        <v>156</v>
      </c>
      <c r="E2" s="340" t="s">
        <v>157</v>
      </c>
      <c r="F2" s="343" t="s">
        <v>158</v>
      </c>
      <c r="G2" s="338" t="s">
        <v>159</v>
      </c>
      <c r="H2" s="343" t="s">
        <v>141</v>
      </c>
      <c r="I2" s="343" t="s">
        <v>161</v>
      </c>
      <c r="J2" s="358" t="s">
        <v>191</v>
      </c>
      <c r="K2" s="338" t="s">
        <v>160</v>
      </c>
      <c r="L2" s="338" t="s">
        <v>152</v>
      </c>
      <c r="M2" s="352" t="s">
        <v>12</v>
      </c>
      <c r="N2" s="353"/>
      <c r="O2" s="353"/>
      <c r="P2" s="354" t="s">
        <v>234</v>
      </c>
      <c r="Q2" s="340" t="s">
        <v>235</v>
      </c>
      <c r="R2" s="340" t="s">
        <v>164</v>
      </c>
      <c r="S2" s="356" t="s">
        <v>165</v>
      </c>
      <c r="T2" s="340" t="s">
        <v>17</v>
      </c>
      <c r="U2" s="340" t="s">
        <v>18</v>
      </c>
    </row>
    <row r="3" spans="1:33" s="236" customFormat="1" ht="30.75" customHeight="1">
      <c r="A3" s="341"/>
      <c r="B3" s="341"/>
      <c r="C3" s="341"/>
      <c r="D3" s="341"/>
      <c r="E3" s="341"/>
      <c r="F3" s="343"/>
      <c r="G3" s="338"/>
      <c r="H3" s="343"/>
      <c r="I3" s="343"/>
      <c r="J3" s="358"/>
      <c r="K3" s="338"/>
      <c r="L3" s="338"/>
      <c r="M3" s="344" t="s">
        <v>19</v>
      </c>
      <c r="N3" s="344"/>
      <c r="O3" s="237" t="s">
        <v>20</v>
      </c>
      <c r="P3" s="355"/>
      <c r="Q3" s="341"/>
      <c r="R3" s="341"/>
      <c r="S3" s="357"/>
      <c r="T3" s="341"/>
      <c r="U3" s="341"/>
    </row>
    <row r="4" spans="1:33" s="239" customFormat="1" ht="49.5" customHeight="1">
      <c r="A4" s="342"/>
      <c r="B4" s="342"/>
      <c r="C4" s="342"/>
      <c r="D4" s="342"/>
      <c r="E4" s="342"/>
      <c r="F4" s="343"/>
      <c r="G4" s="338"/>
      <c r="H4" s="343"/>
      <c r="I4" s="343"/>
      <c r="J4" s="358"/>
      <c r="K4" s="338"/>
      <c r="L4" s="339"/>
      <c r="M4" s="238" t="s">
        <v>153</v>
      </c>
      <c r="N4" s="238" t="s">
        <v>236</v>
      </c>
      <c r="O4" s="238" t="s">
        <v>237</v>
      </c>
      <c r="P4" s="355"/>
      <c r="Q4" s="341"/>
      <c r="R4" s="341"/>
      <c r="S4" s="357"/>
      <c r="T4" s="341"/>
      <c r="U4" s="342"/>
      <c r="V4" s="239" t="s">
        <v>227</v>
      </c>
      <c r="W4" s="240" t="s">
        <v>223</v>
      </c>
      <c r="X4" s="240" t="s">
        <v>224</v>
      </c>
      <c r="Y4" s="240" t="s">
        <v>228</v>
      </c>
      <c r="Z4" s="241" t="s">
        <v>225</v>
      </c>
      <c r="AA4" s="241" t="s">
        <v>226</v>
      </c>
      <c r="AB4" s="239" t="s">
        <v>229</v>
      </c>
      <c r="AC4" s="242" t="s">
        <v>230</v>
      </c>
    </row>
    <row r="5" spans="1:33" s="251" customFormat="1" ht="17.25" customHeight="1">
      <c r="A5" s="345" t="s">
        <v>213</v>
      </c>
      <c r="B5" s="243" t="s">
        <v>39</v>
      </c>
      <c r="C5" s="266">
        <v>8.8000000000000007</v>
      </c>
      <c r="D5" s="244">
        <v>11</v>
      </c>
      <c r="E5" s="245">
        <v>118</v>
      </c>
      <c r="F5" s="245">
        <v>34</v>
      </c>
      <c r="G5" s="246">
        <f t="shared" ref="G5:G16" si="0">C5*D5*E5*F5</f>
        <v>388361.60000000003</v>
      </c>
      <c r="H5" s="246"/>
      <c r="I5" s="246">
        <f t="shared" ref="I5:I11" si="1">SUM(G5)</f>
        <v>388361.60000000003</v>
      </c>
      <c r="J5" s="246"/>
      <c r="K5" s="247">
        <v>425000</v>
      </c>
      <c r="L5" s="283">
        <v>465648</v>
      </c>
      <c r="M5" s="283">
        <v>393337</v>
      </c>
      <c r="N5" s="283">
        <v>393337</v>
      </c>
      <c r="O5" s="277">
        <f>'FW21 季 Cold cement(0831)'!T16</f>
        <v>995825</v>
      </c>
      <c r="P5" s="278">
        <v>44167</v>
      </c>
      <c r="Q5" s="279">
        <f>N5+O5+P5</f>
        <v>1433329</v>
      </c>
      <c r="R5" s="279">
        <f>Q5</f>
        <v>1433329</v>
      </c>
      <c r="S5" s="279">
        <f>R5</f>
        <v>1433329</v>
      </c>
      <c r="T5" s="279">
        <f>S5-G5+J5</f>
        <v>1044967.3999999999</v>
      </c>
      <c r="U5" s="249">
        <f t="shared" ref="U5:U16" si="2">T5/C5/E5/F5</f>
        <v>29.597780522070149</v>
      </c>
      <c r="V5" s="250">
        <v>508459</v>
      </c>
      <c r="W5" s="250">
        <v>470951</v>
      </c>
      <c r="X5" s="250">
        <v>567706</v>
      </c>
      <c r="Y5" s="250">
        <v>276110</v>
      </c>
      <c r="Z5" s="250">
        <v>388960</v>
      </c>
      <c r="AA5" s="250">
        <v>245349</v>
      </c>
      <c r="AC5" s="242">
        <v>0</v>
      </c>
      <c r="AE5" s="252"/>
      <c r="AF5" s="224"/>
      <c r="AG5" s="224"/>
    </row>
    <row r="6" spans="1:33" s="251" customFormat="1" ht="15.6" customHeight="1">
      <c r="A6" s="346"/>
      <c r="B6" s="243" t="s">
        <v>151</v>
      </c>
      <c r="C6" s="266">
        <v>8.8000000000000007</v>
      </c>
      <c r="D6" s="244">
        <v>13</v>
      </c>
      <c r="E6" s="245">
        <v>118</v>
      </c>
      <c r="F6" s="245">
        <v>34</v>
      </c>
      <c r="G6" s="246">
        <f t="shared" si="0"/>
        <v>458972.80000000005</v>
      </c>
      <c r="H6" s="246"/>
      <c r="I6" s="246">
        <f t="shared" si="1"/>
        <v>458972.80000000005</v>
      </c>
      <c r="J6" s="246"/>
      <c r="K6" s="245">
        <v>505000</v>
      </c>
      <c r="L6" s="283">
        <v>426411</v>
      </c>
      <c r="M6" s="283">
        <v>278717</v>
      </c>
      <c r="N6" s="283">
        <v>278717</v>
      </c>
      <c r="O6" s="277"/>
      <c r="P6" s="278">
        <v>128018</v>
      </c>
      <c r="Q6" s="279">
        <f>N6+O6+P6</f>
        <v>406735</v>
      </c>
      <c r="R6" s="279">
        <f>Q6</f>
        <v>406735</v>
      </c>
      <c r="S6" s="279">
        <f>R6</f>
        <v>406735</v>
      </c>
      <c r="T6" s="279">
        <f>S6-G6+J6</f>
        <v>-52237.800000000047</v>
      </c>
      <c r="U6" s="249">
        <f t="shared" si="2"/>
        <v>-1.4795896401703992</v>
      </c>
      <c r="V6" s="250">
        <v>0</v>
      </c>
      <c r="W6" s="250">
        <v>0</v>
      </c>
      <c r="X6" s="250">
        <f t="shared" ref="X6:X16" si="3">V6-W6</f>
        <v>0</v>
      </c>
      <c r="Y6" s="250">
        <v>0</v>
      </c>
      <c r="Z6" s="250">
        <v>577976</v>
      </c>
      <c r="AA6" s="250">
        <v>475223</v>
      </c>
      <c r="AC6" s="242">
        <v>0</v>
      </c>
      <c r="AE6" s="252"/>
      <c r="AF6" s="224"/>
      <c r="AG6" s="224"/>
    </row>
    <row r="7" spans="1:33" s="251" customFormat="1" ht="16.5" customHeight="1">
      <c r="A7" s="346"/>
      <c r="B7" s="243" t="s">
        <v>41</v>
      </c>
      <c r="C7" s="266">
        <v>8.8000000000000007</v>
      </c>
      <c r="D7" s="244">
        <v>13</v>
      </c>
      <c r="E7" s="245">
        <v>118</v>
      </c>
      <c r="F7" s="245">
        <v>35</v>
      </c>
      <c r="G7" s="246">
        <f t="shared" si="0"/>
        <v>472472</v>
      </c>
      <c r="H7" s="246"/>
      <c r="I7" s="246">
        <f t="shared" si="1"/>
        <v>472472</v>
      </c>
      <c r="J7" s="246"/>
      <c r="K7" s="245">
        <v>500000</v>
      </c>
      <c r="L7" s="283">
        <v>319258</v>
      </c>
      <c r="M7" s="283">
        <v>282546</v>
      </c>
      <c r="N7" s="283">
        <v>282546</v>
      </c>
      <c r="O7" s="277"/>
      <c r="P7" s="278">
        <v>413333</v>
      </c>
      <c r="Q7" s="279">
        <f>N7+O7+P7</f>
        <v>695879</v>
      </c>
      <c r="R7" s="279">
        <f t="shared" ref="R7:R12" si="4">Q7</f>
        <v>695879</v>
      </c>
      <c r="S7" s="279">
        <f t="shared" ref="S7:S16" si="5">R7+T6</f>
        <v>643641.19999999995</v>
      </c>
      <c r="T7" s="279">
        <f t="shared" ref="T7:T16" si="6">S7-G7+J7</f>
        <v>171169.19999999995</v>
      </c>
      <c r="U7" s="249">
        <f>T7/C7/E7/F7</f>
        <v>4.7096962359674208</v>
      </c>
      <c r="V7" s="250">
        <v>22320</v>
      </c>
      <c r="W7" s="251">
        <v>5193</v>
      </c>
      <c r="X7" s="250">
        <f t="shared" si="3"/>
        <v>17127</v>
      </c>
      <c r="Y7" s="250">
        <v>0</v>
      </c>
      <c r="Z7" s="250">
        <v>638661</v>
      </c>
      <c r="AA7" s="250">
        <v>605035</v>
      </c>
      <c r="AC7" s="242">
        <v>0</v>
      </c>
      <c r="AE7" s="252"/>
      <c r="AF7" s="224"/>
      <c r="AG7" s="224"/>
    </row>
    <row r="8" spans="1:33" s="251" customFormat="1" ht="16.5" customHeight="1">
      <c r="A8" s="346"/>
      <c r="B8" s="243" t="s">
        <v>42</v>
      </c>
      <c r="C8" s="266">
        <v>8.8000000000000007</v>
      </c>
      <c r="D8" s="244">
        <v>13</v>
      </c>
      <c r="E8" s="245">
        <v>118</v>
      </c>
      <c r="F8" s="245">
        <v>35</v>
      </c>
      <c r="G8" s="246">
        <f t="shared" si="0"/>
        <v>472472</v>
      </c>
      <c r="H8" s="246"/>
      <c r="I8" s="246">
        <f t="shared" si="1"/>
        <v>472472</v>
      </c>
      <c r="J8" s="246"/>
      <c r="K8" s="245">
        <v>505000</v>
      </c>
      <c r="L8" s="283">
        <v>158815</v>
      </c>
      <c r="M8" s="283">
        <v>84409</v>
      </c>
      <c r="N8" s="283">
        <v>84409</v>
      </c>
      <c r="O8" s="277"/>
      <c r="P8" s="278">
        <v>207553</v>
      </c>
      <c r="Q8" s="279">
        <f>N8+O8+P8</f>
        <v>291962</v>
      </c>
      <c r="R8" s="279">
        <f t="shared" si="4"/>
        <v>291962</v>
      </c>
      <c r="S8" s="279">
        <f t="shared" si="5"/>
        <v>463131.19999999995</v>
      </c>
      <c r="T8" s="279">
        <f t="shared" si="6"/>
        <v>-9340.8000000000466</v>
      </c>
      <c r="U8" s="249">
        <f t="shared" si="2"/>
        <v>-0.25701078582434639</v>
      </c>
      <c r="V8" s="250">
        <v>22584</v>
      </c>
      <c r="W8" s="251">
        <v>3227</v>
      </c>
      <c r="X8" s="250">
        <f t="shared" si="3"/>
        <v>19357</v>
      </c>
      <c r="Y8" s="250">
        <v>14661</v>
      </c>
      <c r="Z8" s="250">
        <v>430815</v>
      </c>
      <c r="AA8" s="250">
        <v>419803</v>
      </c>
      <c r="AC8" s="242">
        <v>0</v>
      </c>
      <c r="AE8" s="252"/>
      <c r="AF8" s="224"/>
      <c r="AG8" s="224"/>
    </row>
    <row r="9" spans="1:33" s="251" customFormat="1" ht="16.95" customHeight="1">
      <c r="A9" s="346"/>
      <c r="B9" s="243" t="s">
        <v>43</v>
      </c>
      <c r="C9" s="266">
        <v>8.8000000000000007</v>
      </c>
      <c r="D9" s="253">
        <v>13</v>
      </c>
      <c r="E9" s="245">
        <v>115</v>
      </c>
      <c r="F9" s="245">
        <v>36</v>
      </c>
      <c r="G9" s="246">
        <f t="shared" si="0"/>
        <v>473616</v>
      </c>
      <c r="H9" s="246"/>
      <c r="I9" s="246">
        <f t="shared" si="1"/>
        <v>473616</v>
      </c>
      <c r="J9" s="246"/>
      <c r="K9" s="245">
        <v>500000</v>
      </c>
      <c r="L9" s="283">
        <v>35342</v>
      </c>
      <c r="M9" s="283">
        <v>60348</v>
      </c>
      <c r="N9" s="283">
        <v>60348</v>
      </c>
      <c r="O9" s="277"/>
      <c r="P9" s="278">
        <v>686897</v>
      </c>
      <c r="Q9" s="279">
        <f>N9+O9+P9</f>
        <v>747245</v>
      </c>
      <c r="R9" s="279">
        <f t="shared" si="4"/>
        <v>747245</v>
      </c>
      <c r="S9" s="279">
        <f t="shared" si="5"/>
        <v>737904.2</v>
      </c>
      <c r="T9" s="279">
        <f t="shared" si="6"/>
        <v>264288.19999999995</v>
      </c>
      <c r="U9" s="249">
        <f t="shared" si="2"/>
        <v>7.2542874396135248</v>
      </c>
      <c r="V9" s="250">
        <v>201926</v>
      </c>
      <c r="W9" s="251">
        <v>113523</v>
      </c>
      <c r="X9" s="250">
        <f t="shared" si="3"/>
        <v>88403</v>
      </c>
      <c r="Y9" s="250">
        <v>34425</v>
      </c>
      <c r="Z9" s="250">
        <v>358959</v>
      </c>
      <c r="AA9" s="250">
        <v>356272</v>
      </c>
      <c r="AC9" s="242">
        <v>6180</v>
      </c>
      <c r="AF9" s="224"/>
      <c r="AG9" s="224"/>
    </row>
    <row r="10" spans="1:33" s="251" customFormat="1">
      <c r="A10" s="346"/>
      <c r="B10" s="243" t="s">
        <v>44</v>
      </c>
      <c r="C10" s="266">
        <v>8.8000000000000007</v>
      </c>
      <c r="D10" s="253">
        <v>13</v>
      </c>
      <c r="E10" s="245">
        <v>115</v>
      </c>
      <c r="F10" s="245">
        <v>36</v>
      </c>
      <c r="G10" s="246">
        <f>C10*D10*E10*F10</f>
        <v>473616</v>
      </c>
      <c r="H10" s="246"/>
      <c r="I10" s="246">
        <f t="shared" si="1"/>
        <v>473616</v>
      </c>
      <c r="J10" s="246"/>
      <c r="K10" s="245">
        <v>505000</v>
      </c>
      <c r="L10" s="283">
        <v>1190</v>
      </c>
      <c r="M10" s="283">
        <v>16146</v>
      </c>
      <c r="N10" s="283">
        <v>16146</v>
      </c>
      <c r="O10" s="277"/>
      <c r="P10" s="278">
        <v>370120</v>
      </c>
      <c r="Q10" s="279">
        <f t="shared" ref="Q10:Q16" si="7">N10+O10+P10</f>
        <v>386266</v>
      </c>
      <c r="R10" s="279">
        <f t="shared" si="4"/>
        <v>386266</v>
      </c>
      <c r="S10" s="279">
        <f t="shared" si="5"/>
        <v>650554.19999999995</v>
      </c>
      <c r="T10" s="279">
        <f t="shared" si="6"/>
        <v>176938.19999999995</v>
      </c>
      <c r="U10" s="249">
        <f t="shared" si="2"/>
        <v>4.8566699604743064</v>
      </c>
      <c r="V10" s="250">
        <v>185159</v>
      </c>
      <c r="W10" s="254">
        <v>13524</v>
      </c>
      <c r="X10" s="255">
        <f t="shared" si="3"/>
        <v>171635</v>
      </c>
      <c r="Y10" s="255">
        <v>171014</v>
      </c>
      <c r="Z10" s="250">
        <v>314025</v>
      </c>
      <c r="AA10" s="250">
        <v>311570</v>
      </c>
      <c r="AC10" s="242">
        <v>58341</v>
      </c>
      <c r="AF10" s="224"/>
      <c r="AG10" s="224"/>
    </row>
    <row r="11" spans="1:33" s="250" customFormat="1" ht="16.2" customHeight="1">
      <c r="A11" s="346"/>
      <c r="B11" s="243" t="s">
        <v>45</v>
      </c>
      <c r="C11" s="266">
        <v>8.8000000000000007</v>
      </c>
      <c r="D11" s="244">
        <v>13</v>
      </c>
      <c r="E11" s="245">
        <v>115</v>
      </c>
      <c r="F11" s="245">
        <v>36</v>
      </c>
      <c r="G11" s="246">
        <f t="shared" si="0"/>
        <v>473616</v>
      </c>
      <c r="H11" s="246"/>
      <c r="I11" s="246">
        <f t="shared" si="1"/>
        <v>473616</v>
      </c>
      <c r="J11" s="246"/>
      <c r="K11" s="245">
        <v>500000</v>
      </c>
      <c r="L11" s="283">
        <v>2716</v>
      </c>
      <c r="M11" s="283">
        <v>32218</v>
      </c>
      <c r="N11" s="283">
        <v>32218</v>
      </c>
      <c r="O11" s="277"/>
      <c r="P11" s="278">
        <v>507003</v>
      </c>
      <c r="Q11" s="279">
        <f>N11+O11+P11</f>
        <v>539221</v>
      </c>
      <c r="R11" s="279">
        <f t="shared" si="4"/>
        <v>539221</v>
      </c>
      <c r="S11" s="279">
        <f t="shared" si="5"/>
        <v>716159.2</v>
      </c>
      <c r="T11" s="279">
        <f t="shared" si="6"/>
        <v>242543.19999999995</v>
      </c>
      <c r="U11" s="249">
        <f t="shared" si="2"/>
        <v>6.6574220465524796</v>
      </c>
      <c r="V11" s="250">
        <v>664133</v>
      </c>
      <c r="W11" s="255">
        <v>65649</v>
      </c>
      <c r="X11" s="255">
        <f t="shared" si="3"/>
        <v>598484</v>
      </c>
      <c r="Y11" s="255">
        <v>515941</v>
      </c>
      <c r="Z11" s="250">
        <v>176607</v>
      </c>
      <c r="AA11" s="250">
        <v>175907</v>
      </c>
      <c r="AC11" s="242">
        <v>162462</v>
      </c>
      <c r="AF11" s="224"/>
      <c r="AG11" s="224"/>
    </row>
    <row r="12" spans="1:33" s="250" customFormat="1" ht="16.5" customHeight="1">
      <c r="A12" s="346"/>
      <c r="B12" s="243" t="s">
        <v>46</v>
      </c>
      <c r="C12" s="266">
        <v>8.8000000000000007</v>
      </c>
      <c r="D12" s="244">
        <v>13</v>
      </c>
      <c r="E12" s="245">
        <v>115</v>
      </c>
      <c r="F12" s="245">
        <v>36</v>
      </c>
      <c r="G12" s="246">
        <f t="shared" si="0"/>
        <v>473616</v>
      </c>
      <c r="H12" s="246"/>
      <c r="I12" s="246">
        <f>SUM(G12)</f>
        <v>473616</v>
      </c>
      <c r="J12" s="246"/>
      <c r="K12" s="245">
        <v>505000</v>
      </c>
      <c r="L12" s="248"/>
      <c r="M12" s="283">
        <v>4092</v>
      </c>
      <c r="N12" s="283">
        <v>4092</v>
      </c>
      <c r="O12" s="277"/>
      <c r="P12" s="278">
        <v>463923</v>
      </c>
      <c r="Q12" s="279">
        <f>N12+O12+P12</f>
        <v>468015</v>
      </c>
      <c r="R12" s="279">
        <f t="shared" si="4"/>
        <v>468015</v>
      </c>
      <c r="S12" s="279">
        <f t="shared" si="5"/>
        <v>710558.2</v>
      </c>
      <c r="T12" s="279">
        <f t="shared" si="6"/>
        <v>236942.19999999995</v>
      </c>
      <c r="U12" s="249">
        <f t="shared" si="2"/>
        <v>6.5036835748792257</v>
      </c>
      <c r="V12" s="250">
        <v>440021</v>
      </c>
      <c r="W12" s="255">
        <v>21261</v>
      </c>
      <c r="X12" s="255">
        <f t="shared" si="3"/>
        <v>418760</v>
      </c>
      <c r="Y12" s="255">
        <v>394434</v>
      </c>
      <c r="Z12" s="250">
        <v>90530</v>
      </c>
      <c r="AA12" s="250">
        <v>90530</v>
      </c>
      <c r="AC12" s="242">
        <v>424185</v>
      </c>
      <c r="AF12" s="224"/>
      <c r="AG12" s="224"/>
    </row>
    <row r="13" spans="1:33" s="250" customFormat="1" ht="16.95" customHeight="1">
      <c r="A13" s="346"/>
      <c r="B13" s="243" t="s">
        <v>47</v>
      </c>
      <c r="C13" s="266">
        <v>8.8000000000000007</v>
      </c>
      <c r="D13" s="244">
        <v>12</v>
      </c>
      <c r="E13" s="245">
        <v>115</v>
      </c>
      <c r="F13" s="245">
        <v>36</v>
      </c>
      <c r="G13" s="246">
        <f t="shared" si="0"/>
        <v>437184.00000000006</v>
      </c>
      <c r="H13" s="246"/>
      <c r="I13" s="246">
        <f>SUM(G13)</f>
        <v>437184.00000000006</v>
      </c>
      <c r="J13" s="246"/>
      <c r="K13" s="245">
        <v>465000</v>
      </c>
      <c r="L13" s="248">
        <v>2332</v>
      </c>
      <c r="M13" s="283">
        <v>7390</v>
      </c>
      <c r="N13" s="283">
        <v>7390</v>
      </c>
      <c r="O13" s="277"/>
      <c r="P13" s="278">
        <v>552843</v>
      </c>
      <c r="Q13" s="279">
        <f t="shared" si="7"/>
        <v>560233</v>
      </c>
      <c r="R13" s="279">
        <f>Q13</f>
        <v>560233</v>
      </c>
      <c r="S13" s="279">
        <f t="shared" si="5"/>
        <v>797175.2</v>
      </c>
      <c r="T13" s="279">
        <f t="shared" si="6"/>
        <v>359991.1999999999</v>
      </c>
      <c r="U13" s="249">
        <f t="shared" si="2"/>
        <v>9.8811813790074634</v>
      </c>
      <c r="V13" s="250">
        <v>376996</v>
      </c>
      <c r="W13" s="255">
        <v>17742</v>
      </c>
      <c r="X13" s="255">
        <f t="shared" si="3"/>
        <v>359254</v>
      </c>
      <c r="Y13" s="255">
        <v>315911</v>
      </c>
      <c r="Z13" s="250">
        <v>37696</v>
      </c>
      <c r="AA13" s="250">
        <v>37259</v>
      </c>
      <c r="AC13" s="242">
        <v>438487</v>
      </c>
      <c r="AF13" s="224"/>
      <c r="AG13" s="224"/>
    </row>
    <row r="14" spans="1:33" s="250" customFormat="1" ht="17.25" customHeight="1">
      <c r="A14" s="346"/>
      <c r="B14" s="243" t="s">
        <v>48</v>
      </c>
      <c r="C14" s="266">
        <v>8.8000000000000007</v>
      </c>
      <c r="D14" s="244">
        <v>11</v>
      </c>
      <c r="E14" s="245">
        <v>118</v>
      </c>
      <c r="F14" s="245">
        <v>36</v>
      </c>
      <c r="G14" s="246">
        <f t="shared" si="0"/>
        <v>411206.40000000002</v>
      </c>
      <c r="H14" s="246"/>
      <c r="I14" s="246">
        <f>SUM(G14)</f>
        <v>411206.40000000002</v>
      </c>
      <c r="J14" s="246"/>
      <c r="K14" s="245">
        <v>425000</v>
      </c>
      <c r="L14" s="248">
        <v>130</v>
      </c>
      <c r="M14" s="283">
        <v>2178</v>
      </c>
      <c r="N14" s="283">
        <v>2178</v>
      </c>
      <c r="O14" s="277"/>
      <c r="P14" s="278">
        <v>273267</v>
      </c>
      <c r="Q14" s="279">
        <f t="shared" si="7"/>
        <v>275445</v>
      </c>
      <c r="R14" s="279">
        <f>Q14</f>
        <v>275445</v>
      </c>
      <c r="S14" s="279">
        <f t="shared" si="5"/>
        <v>635436.19999999995</v>
      </c>
      <c r="T14" s="279">
        <f t="shared" si="6"/>
        <v>224229.79999999993</v>
      </c>
      <c r="U14" s="249">
        <f t="shared" si="2"/>
        <v>5.9982719140558096</v>
      </c>
      <c r="V14" s="250">
        <v>315494</v>
      </c>
      <c r="W14" s="255">
        <v>7939</v>
      </c>
      <c r="X14" s="255">
        <f t="shared" si="3"/>
        <v>307555</v>
      </c>
      <c r="Y14" s="255">
        <v>265277</v>
      </c>
      <c r="Z14" s="250">
        <v>28162</v>
      </c>
      <c r="AA14" s="250">
        <v>27779</v>
      </c>
      <c r="AB14" s="250">
        <v>17552</v>
      </c>
      <c r="AC14" s="242">
        <v>369772</v>
      </c>
      <c r="AF14" s="224"/>
      <c r="AG14" s="224"/>
    </row>
    <row r="15" spans="1:33" s="250" customFormat="1" ht="17.25" customHeight="1">
      <c r="A15" s="346"/>
      <c r="B15" s="243" t="s">
        <v>49</v>
      </c>
      <c r="C15" s="266">
        <v>8.8000000000000007</v>
      </c>
      <c r="D15" s="244">
        <v>7</v>
      </c>
      <c r="E15" s="245">
        <v>118</v>
      </c>
      <c r="F15" s="245">
        <v>36</v>
      </c>
      <c r="G15" s="246">
        <f t="shared" si="0"/>
        <v>261676.80000000005</v>
      </c>
      <c r="H15" s="246"/>
      <c r="I15" s="246">
        <f>SUM(G15)</f>
        <v>261676.80000000005</v>
      </c>
      <c r="J15" s="246"/>
      <c r="K15" s="245">
        <v>270000</v>
      </c>
      <c r="L15" s="248">
        <v>0</v>
      </c>
      <c r="M15" s="283">
        <v>3954</v>
      </c>
      <c r="N15" s="283">
        <v>3954</v>
      </c>
      <c r="O15" s="277"/>
      <c r="P15" s="278">
        <v>379747</v>
      </c>
      <c r="Q15" s="279">
        <f t="shared" si="7"/>
        <v>383701</v>
      </c>
      <c r="R15" s="279">
        <f>Q15</f>
        <v>383701</v>
      </c>
      <c r="S15" s="279">
        <f t="shared" si="5"/>
        <v>607930.79999999993</v>
      </c>
      <c r="T15" s="279">
        <f t="shared" si="6"/>
        <v>346253.99999999988</v>
      </c>
      <c r="U15" s="249">
        <f t="shared" si="2"/>
        <v>9.2624871597329204</v>
      </c>
      <c r="V15" s="250">
        <v>508310</v>
      </c>
      <c r="W15" s="255">
        <v>4308</v>
      </c>
      <c r="X15" s="255">
        <f t="shared" si="3"/>
        <v>504002</v>
      </c>
      <c r="Y15" s="255">
        <v>460126</v>
      </c>
      <c r="Z15" s="250">
        <v>14940</v>
      </c>
      <c r="AA15" s="250">
        <v>14940</v>
      </c>
      <c r="AC15" s="242">
        <v>431713</v>
      </c>
      <c r="AF15" s="224"/>
      <c r="AG15" s="224"/>
    </row>
    <row r="16" spans="1:33" s="250" customFormat="1" ht="17.25" customHeight="1">
      <c r="A16" s="346"/>
      <c r="B16" s="243" t="s">
        <v>50</v>
      </c>
      <c r="C16" s="266">
        <v>8.8000000000000007</v>
      </c>
      <c r="D16" s="244">
        <v>11</v>
      </c>
      <c r="E16" s="245">
        <v>118</v>
      </c>
      <c r="F16" s="245">
        <v>36</v>
      </c>
      <c r="G16" s="246">
        <f t="shared" si="0"/>
        <v>411206.40000000002</v>
      </c>
      <c r="H16" s="246"/>
      <c r="I16" s="246">
        <f>SUM(G16)</f>
        <v>411206.40000000002</v>
      </c>
      <c r="J16" s="246"/>
      <c r="K16" s="245">
        <v>425000</v>
      </c>
      <c r="L16" s="248">
        <v>0</v>
      </c>
      <c r="M16" s="268">
        <v>0</v>
      </c>
      <c r="N16" s="268">
        <v>0</v>
      </c>
      <c r="O16" s="277"/>
      <c r="P16" s="278">
        <v>243722</v>
      </c>
      <c r="Q16" s="279">
        <f t="shared" si="7"/>
        <v>243722</v>
      </c>
      <c r="R16" s="279">
        <f>Q16</f>
        <v>243722</v>
      </c>
      <c r="S16" s="279">
        <f t="shared" si="5"/>
        <v>589975.99999999988</v>
      </c>
      <c r="T16" s="279">
        <f t="shared" si="6"/>
        <v>178769.59999999986</v>
      </c>
      <c r="U16" s="249">
        <f t="shared" si="2"/>
        <v>4.7821862694744004</v>
      </c>
      <c r="V16" s="250">
        <v>223473</v>
      </c>
      <c r="W16" s="255">
        <v>0</v>
      </c>
      <c r="X16" s="255">
        <f t="shared" si="3"/>
        <v>223473</v>
      </c>
      <c r="Y16" s="255">
        <v>200531</v>
      </c>
      <c r="Z16" s="250">
        <v>7094</v>
      </c>
      <c r="AA16" s="250">
        <v>7094</v>
      </c>
      <c r="AB16" s="250">
        <v>176574</v>
      </c>
      <c r="AC16" s="242">
        <v>353593</v>
      </c>
      <c r="AF16" s="224"/>
      <c r="AG16" s="224"/>
    </row>
    <row r="17" spans="1:32" s="250" customFormat="1" ht="19.5" customHeight="1">
      <c r="A17" s="347" t="s">
        <v>51</v>
      </c>
      <c r="B17" s="348"/>
      <c r="C17" s="256"/>
      <c r="D17" s="253"/>
      <c r="E17" s="245"/>
      <c r="F17" s="253"/>
      <c r="G17" s="245">
        <f>SUM(G5:G16)</f>
        <v>5208016.0000000009</v>
      </c>
      <c r="H17" s="245">
        <f>SUM(H5:H16)</f>
        <v>0</v>
      </c>
      <c r="I17" s="245">
        <f>SUM(I5:I16)</f>
        <v>5208016.0000000009</v>
      </c>
      <c r="J17" s="245"/>
      <c r="K17" s="245">
        <f t="shared" ref="K17:R17" si="8">SUM(K5:K16)</f>
        <v>5530000</v>
      </c>
      <c r="L17" s="257">
        <f t="shared" si="8"/>
        <v>1411842</v>
      </c>
      <c r="M17" s="257">
        <f t="shared" si="8"/>
        <v>1165335</v>
      </c>
      <c r="N17" s="257">
        <f t="shared" si="8"/>
        <v>1165335</v>
      </c>
      <c r="O17" s="257">
        <f t="shared" si="8"/>
        <v>995825</v>
      </c>
      <c r="P17" s="257">
        <f t="shared" si="8"/>
        <v>4270593</v>
      </c>
      <c r="Q17" s="257">
        <f t="shared" si="8"/>
        <v>6431753</v>
      </c>
      <c r="R17" s="257">
        <f t="shared" si="8"/>
        <v>6431753</v>
      </c>
      <c r="S17" s="269"/>
      <c r="T17" s="258"/>
      <c r="U17" s="270"/>
      <c r="AF17" s="251"/>
    </row>
    <row r="18" spans="1:32" s="250" customFormat="1" ht="22.5" customHeight="1">
      <c r="A18" s="349" t="s">
        <v>147</v>
      </c>
      <c r="B18" s="350"/>
      <c r="C18" s="350"/>
      <c r="D18" s="350"/>
      <c r="E18" s="350"/>
      <c r="F18" s="350" t="s">
        <v>53</v>
      </c>
      <c r="G18" s="350"/>
      <c r="H18" s="350"/>
      <c r="I18" s="350"/>
      <c r="J18" s="350"/>
      <c r="K18" s="351"/>
      <c r="L18" s="259">
        <f>L17/K17</f>
        <v>0.25530596745027123</v>
      </c>
      <c r="M18" s="260">
        <f>M17/K17</f>
        <v>0.21072965641952984</v>
      </c>
      <c r="N18" s="260"/>
      <c r="O18" s="260"/>
      <c r="P18" s="261">
        <f>P17/K17</f>
        <v>0.77225913200723328</v>
      </c>
      <c r="Q18" s="262"/>
      <c r="R18" s="263"/>
      <c r="S18" s="264"/>
      <c r="T18" s="265"/>
      <c r="U18" s="265"/>
      <c r="AF18" s="251"/>
    </row>
    <row r="20" spans="1:32">
      <c r="P20" s="274" t="s">
        <v>238</v>
      </c>
    </row>
    <row r="21" spans="1:32">
      <c r="Q21" s="235"/>
    </row>
    <row r="33" spans="32:32">
      <c r="AF33" s="233">
        <v>273267</v>
      </c>
    </row>
    <row r="34" spans="32:32">
      <c r="AF34" s="233">
        <v>379747</v>
      </c>
    </row>
    <row r="35" spans="32:32">
      <c r="AF35" s="233">
        <v>243722</v>
      </c>
    </row>
    <row r="51" spans="9:9">
      <c r="I51" s="233">
        <v>2</v>
      </c>
    </row>
  </sheetData>
  <mergeCells count="23">
    <mergeCell ref="U2:U4"/>
    <mergeCell ref="M3:N3"/>
    <mergeCell ref="A5:A16"/>
    <mergeCell ref="A17:B17"/>
    <mergeCell ref="A18:K18"/>
    <mergeCell ref="M2:O2"/>
    <mergeCell ref="P2:P4"/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5"/>
  <dimension ref="A1:U219"/>
  <sheetViews>
    <sheetView zoomScale="70" zoomScaleNormal="70" workbookViewId="0">
      <selection activeCell="I25" sqref="I25"/>
    </sheetView>
  </sheetViews>
  <sheetFormatPr defaultColWidth="10.6640625" defaultRowHeight="15.6"/>
  <cols>
    <col min="1" max="1" width="12.44140625" style="61" customWidth="1"/>
    <col min="2" max="2" width="9.21875" style="61" customWidth="1"/>
    <col min="3" max="3" width="9.77734375" style="61" customWidth="1"/>
    <col min="4" max="4" width="11.21875" style="61" customWidth="1"/>
    <col min="5" max="5" width="9.77734375" style="61" customWidth="1"/>
    <col min="6" max="7" width="12.44140625" style="61" customWidth="1"/>
    <col min="8" max="8" width="10.88671875" style="61" customWidth="1"/>
    <col min="9" max="9" width="11.77734375" style="61" customWidth="1"/>
    <col min="10" max="10" width="13.44140625" style="61" customWidth="1"/>
    <col min="11" max="11" width="16" style="61" customWidth="1"/>
    <col min="12" max="12" width="15.77734375" style="69" bestFit="1" customWidth="1"/>
    <col min="13" max="14" width="15.77734375" style="69" customWidth="1"/>
    <col min="15" max="15" width="19" style="69" customWidth="1"/>
    <col min="16" max="16" width="17.6640625" style="61" customWidth="1"/>
    <col min="17" max="17" width="18.109375" style="61" customWidth="1"/>
    <col min="18" max="18" width="21.88671875" style="61" hidden="1" customWidth="1"/>
    <col min="19" max="19" width="15.6640625" style="61" customWidth="1"/>
    <col min="20" max="20" width="11.109375" style="61" bestFit="1" customWidth="1"/>
    <col min="21" max="21" width="14.109375" style="61" customWidth="1"/>
    <col min="22" max="16384" width="10.6640625" style="61"/>
  </cols>
  <sheetData>
    <row r="1" spans="1:21" s="5" customFormat="1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>
        <v>43938</v>
      </c>
    </row>
    <row r="2" spans="1:21" s="166" customFormat="1" ht="36.75" customHeight="1">
      <c r="A2" s="325" t="s">
        <v>1</v>
      </c>
      <c r="B2" s="325" t="s">
        <v>2</v>
      </c>
      <c r="C2" s="325" t="s">
        <v>3</v>
      </c>
      <c r="D2" s="325" t="s">
        <v>137</v>
      </c>
      <c r="E2" s="325" t="s">
        <v>138</v>
      </c>
      <c r="F2" s="325" t="s">
        <v>139</v>
      </c>
      <c r="G2" s="325" t="s">
        <v>140</v>
      </c>
      <c r="H2" s="325" t="s">
        <v>141</v>
      </c>
      <c r="I2" s="325" t="s">
        <v>142</v>
      </c>
      <c r="J2" s="325" t="s">
        <v>10</v>
      </c>
      <c r="K2" s="325" t="s">
        <v>11</v>
      </c>
      <c r="L2" s="359" t="s">
        <v>12</v>
      </c>
      <c r="M2" s="360"/>
      <c r="N2" s="360"/>
      <c r="O2" s="325" t="s">
        <v>145</v>
      </c>
      <c r="P2" s="325" t="s">
        <v>146</v>
      </c>
      <c r="Q2" s="325" t="s">
        <v>15</v>
      </c>
      <c r="R2" s="328" t="s">
        <v>16</v>
      </c>
      <c r="S2" s="325" t="s">
        <v>17</v>
      </c>
      <c r="T2" s="325" t="s">
        <v>148</v>
      </c>
    </row>
    <row r="3" spans="1:21" s="166" customFormat="1" ht="45" customHeight="1">
      <c r="A3" s="326"/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61" t="s">
        <v>19</v>
      </c>
      <c r="M3" s="361"/>
      <c r="N3" s="170" t="s">
        <v>20</v>
      </c>
      <c r="O3" s="326"/>
      <c r="P3" s="326"/>
      <c r="Q3" s="326"/>
      <c r="R3" s="329"/>
      <c r="S3" s="326"/>
      <c r="T3" s="326"/>
    </row>
    <row r="4" spans="1:21" s="168" customFormat="1" ht="64.5" customHeight="1">
      <c r="A4" s="327"/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170" t="s">
        <v>31</v>
      </c>
      <c r="M4" s="170" t="s">
        <v>143</v>
      </c>
      <c r="N4" s="170" t="s">
        <v>144</v>
      </c>
      <c r="O4" s="327"/>
      <c r="P4" s="327"/>
      <c r="Q4" s="327"/>
      <c r="R4" s="330"/>
      <c r="S4" s="327"/>
      <c r="T4" s="327"/>
    </row>
    <row r="5" spans="1:21" s="22" customFormat="1" ht="64.5" hidden="1" customHeight="1">
      <c r="A5" s="17" t="s">
        <v>21</v>
      </c>
      <c r="B5" s="18" t="s">
        <v>22</v>
      </c>
      <c r="C5" s="19" t="s">
        <v>149</v>
      </c>
      <c r="D5" s="17" t="s">
        <v>24</v>
      </c>
      <c r="E5" s="17" t="s">
        <v>89</v>
      </c>
      <c r="F5" s="17" t="s">
        <v>90</v>
      </c>
      <c r="G5" s="17" t="s">
        <v>27</v>
      </c>
      <c r="H5" s="17" t="s">
        <v>28</v>
      </c>
      <c r="I5" s="17" t="s">
        <v>29</v>
      </c>
      <c r="J5" s="17" t="s">
        <v>30</v>
      </c>
      <c r="K5" s="17"/>
      <c r="L5" s="17" t="s">
        <v>31</v>
      </c>
      <c r="M5" s="17" t="s">
        <v>32</v>
      </c>
      <c r="N5" s="17" t="s">
        <v>33</v>
      </c>
      <c r="O5" s="17"/>
      <c r="P5" s="17"/>
      <c r="Q5" s="17" t="s">
        <v>35</v>
      </c>
      <c r="R5" s="17" t="s">
        <v>36</v>
      </c>
      <c r="S5" s="17"/>
      <c r="T5" s="21" t="s">
        <v>37</v>
      </c>
    </row>
    <row r="6" spans="1:21" s="34" customFormat="1" ht="17.25" customHeight="1">
      <c r="A6" s="315" t="s">
        <v>38</v>
      </c>
      <c r="B6" s="23" t="s">
        <v>39</v>
      </c>
      <c r="C6" s="24">
        <v>8</v>
      </c>
      <c r="D6" s="25">
        <v>12</v>
      </c>
      <c r="E6" s="26">
        <v>120</v>
      </c>
      <c r="F6" s="27">
        <v>39</v>
      </c>
      <c r="G6" s="28">
        <f>C6*D6*E6*F6</f>
        <v>449280</v>
      </c>
      <c r="H6" s="28"/>
      <c r="I6" s="28">
        <f>SUM(G6:H6)</f>
        <v>449280</v>
      </c>
      <c r="J6" s="29">
        <v>357404.15691418183</v>
      </c>
      <c r="K6" s="29">
        <v>3970</v>
      </c>
      <c r="L6" s="28">
        <v>5985</v>
      </c>
      <c r="M6" s="28"/>
      <c r="N6" s="30"/>
      <c r="O6" s="28">
        <v>291609</v>
      </c>
      <c r="P6" s="31">
        <f t="shared" ref="P6:P17" si="0">M6+N6+O6</f>
        <v>291609</v>
      </c>
      <c r="Q6" s="31">
        <v>300432</v>
      </c>
      <c r="R6" s="31">
        <f>Q6</f>
        <v>300432</v>
      </c>
      <c r="S6" s="31">
        <f t="shared" ref="S6:S17" si="1">R6-G6</f>
        <v>-148848</v>
      </c>
      <c r="T6" s="33">
        <f t="shared" ref="T6:T17" si="2">S6/C6/E6/F6</f>
        <v>-3.9756410256410257</v>
      </c>
    </row>
    <row r="7" spans="1:21" s="34" customFormat="1" ht="17.25" customHeight="1">
      <c r="A7" s="316"/>
      <c r="B7" s="23" t="s">
        <v>151</v>
      </c>
      <c r="C7" s="24">
        <v>8</v>
      </c>
      <c r="D7" s="25">
        <v>13</v>
      </c>
      <c r="E7" s="26">
        <v>120</v>
      </c>
      <c r="F7" s="27">
        <v>39</v>
      </c>
      <c r="G7" s="28">
        <f>C7*D7*E7*F7</f>
        <v>486720</v>
      </c>
      <c r="H7" s="28"/>
      <c r="I7" s="28">
        <f t="shared" ref="I7:I17" si="3">SUM(G7:H7)</f>
        <v>486720</v>
      </c>
      <c r="J7" s="35">
        <v>387040.84308581817</v>
      </c>
      <c r="K7" s="35">
        <v>142</v>
      </c>
      <c r="L7" s="28">
        <v>4308</v>
      </c>
      <c r="M7" s="28"/>
      <c r="N7" s="28"/>
      <c r="O7" s="28">
        <v>368975</v>
      </c>
      <c r="P7" s="31">
        <f t="shared" si="0"/>
        <v>368975</v>
      </c>
      <c r="Q7" s="31">
        <v>333682</v>
      </c>
      <c r="R7" s="31">
        <f t="shared" ref="R7:R17" si="4">Q7+S6</f>
        <v>184834</v>
      </c>
      <c r="S7" s="31">
        <f t="shared" si="1"/>
        <v>-301886</v>
      </c>
      <c r="T7" s="33">
        <f t="shared" si="2"/>
        <v>-8.063194444444445</v>
      </c>
    </row>
    <row r="8" spans="1:21" s="34" customFormat="1" ht="17.25" customHeight="1">
      <c r="A8" s="316"/>
      <c r="B8" s="23" t="s">
        <v>41</v>
      </c>
      <c r="C8" s="24">
        <v>8</v>
      </c>
      <c r="D8" s="25">
        <v>13</v>
      </c>
      <c r="E8" s="26">
        <v>120</v>
      </c>
      <c r="F8" s="27">
        <v>39</v>
      </c>
      <c r="G8" s="28">
        <f>C8*D8*E8*F8</f>
        <v>486720</v>
      </c>
      <c r="H8" s="28"/>
      <c r="I8" s="28">
        <f t="shared" si="3"/>
        <v>486720</v>
      </c>
      <c r="J8" s="35">
        <v>386794.62524812133</v>
      </c>
      <c r="K8" s="35">
        <v>8100</v>
      </c>
      <c r="L8" s="28">
        <v>10738</v>
      </c>
      <c r="M8" s="28"/>
      <c r="N8" s="28"/>
      <c r="O8" s="28">
        <v>650157</v>
      </c>
      <c r="P8" s="31">
        <f t="shared" si="0"/>
        <v>650157</v>
      </c>
      <c r="Q8" s="28">
        <v>223656</v>
      </c>
      <c r="R8" s="31">
        <f t="shared" si="4"/>
        <v>-78230</v>
      </c>
      <c r="S8" s="31">
        <f t="shared" si="1"/>
        <v>-564950</v>
      </c>
      <c r="T8" s="33">
        <f t="shared" si="2"/>
        <v>-15.089476495726498</v>
      </c>
      <c r="U8" s="36"/>
    </row>
    <row r="9" spans="1:21" s="34" customFormat="1" ht="16.5" customHeight="1">
      <c r="A9" s="316"/>
      <c r="B9" s="23" t="s">
        <v>42</v>
      </c>
      <c r="C9" s="24">
        <v>8</v>
      </c>
      <c r="D9" s="25">
        <v>14</v>
      </c>
      <c r="E9" s="26">
        <v>120</v>
      </c>
      <c r="F9" s="27">
        <v>39</v>
      </c>
      <c r="G9" s="28">
        <f t="shared" ref="G9:G17" si="5">C9*D9*E9*F9</f>
        <v>524160</v>
      </c>
      <c r="H9" s="28"/>
      <c r="I9" s="28">
        <f t="shared" si="3"/>
        <v>524160</v>
      </c>
      <c r="J9" s="35">
        <v>416909.37475187867</v>
      </c>
      <c r="K9" s="35"/>
      <c r="L9" s="28">
        <v>0</v>
      </c>
      <c r="M9" s="28"/>
      <c r="N9" s="28"/>
      <c r="O9" s="28">
        <v>193338</v>
      </c>
      <c r="P9" s="31">
        <f t="shared" si="0"/>
        <v>193338</v>
      </c>
      <c r="Q9" s="28">
        <f>SUM(P6:P9)</f>
        <v>1504079</v>
      </c>
      <c r="R9" s="31">
        <f t="shared" si="4"/>
        <v>939129</v>
      </c>
      <c r="S9" s="31">
        <f t="shared" si="1"/>
        <v>414969</v>
      </c>
      <c r="T9" s="33">
        <f t="shared" si="2"/>
        <v>11.083573717948717</v>
      </c>
      <c r="U9" s="36"/>
    </row>
    <row r="10" spans="1:21" s="34" customFormat="1" ht="17.25" customHeight="1">
      <c r="A10" s="316"/>
      <c r="B10" s="23" t="s">
        <v>43</v>
      </c>
      <c r="C10" s="24">
        <v>8</v>
      </c>
      <c r="D10" s="37">
        <v>12</v>
      </c>
      <c r="E10" s="26">
        <v>120</v>
      </c>
      <c r="F10" s="27">
        <v>39</v>
      </c>
      <c r="G10" s="28">
        <f t="shared" si="5"/>
        <v>449280</v>
      </c>
      <c r="H10" s="28"/>
      <c r="I10" s="28">
        <f t="shared" si="3"/>
        <v>449280</v>
      </c>
      <c r="J10" s="35">
        <v>357404.15691418183</v>
      </c>
      <c r="K10" s="35"/>
      <c r="L10" s="28">
        <v>0</v>
      </c>
      <c r="M10" s="28"/>
      <c r="N10" s="28"/>
      <c r="O10" s="28">
        <v>255757</v>
      </c>
      <c r="P10" s="31">
        <f t="shared" si="0"/>
        <v>255757</v>
      </c>
      <c r="Q10" s="28">
        <f t="shared" ref="Q10:Q17" si="6">P10</f>
        <v>255757</v>
      </c>
      <c r="R10" s="31">
        <f t="shared" si="4"/>
        <v>670726</v>
      </c>
      <c r="S10" s="31">
        <f t="shared" si="1"/>
        <v>221446</v>
      </c>
      <c r="T10" s="33">
        <f t="shared" si="2"/>
        <v>5.9146901709401716</v>
      </c>
    </row>
    <row r="11" spans="1:21" s="34" customFormat="1" ht="17.25" customHeight="1">
      <c r="A11" s="316"/>
      <c r="B11" s="38" t="s">
        <v>44</v>
      </c>
      <c r="C11" s="24">
        <v>8</v>
      </c>
      <c r="D11" s="39">
        <v>13</v>
      </c>
      <c r="E11" s="26">
        <v>120</v>
      </c>
      <c r="F11" s="27">
        <v>39</v>
      </c>
      <c r="G11" s="28">
        <f t="shared" si="5"/>
        <v>486720</v>
      </c>
      <c r="H11" s="28"/>
      <c r="I11" s="28">
        <f t="shared" si="3"/>
        <v>486720</v>
      </c>
      <c r="J11" s="35">
        <v>387040.84308581817</v>
      </c>
      <c r="K11" s="35"/>
      <c r="L11" s="28">
        <v>0</v>
      </c>
      <c r="M11" s="28"/>
      <c r="N11" s="28"/>
      <c r="O11" s="28">
        <v>407955</v>
      </c>
      <c r="P11" s="31">
        <f t="shared" si="0"/>
        <v>407955</v>
      </c>
      <c r="Q11" s="28">
        <f t="shared" si="6"/>
        <v>407955</v>
      </c>
      <c r="R11" s="31">
        <f t="shared" si="4"/>
        <v>629401</v>
      </c>
      <c r="S11" s="31">
        <f t="shared" si="1"/>
        <v>142681</v>
      </c>
      <c r="T11" s="41">
        <f t="shared" si="2"/>
        <v>3.8109241452991456</v>
      </c>
    </row>
    <row r="12" spans="1:21" s="42" customFormat="1" ht="17.25" customHeight="1">
      <c r="A12" s="316"/>
      <c r="B12" s="23" t="s">
        <v>45</v>
      </c>
      <c r="C12" s="24">
        <v>8</v>
      </c>
      <c r="D12" s="25">
        <v>13</v>
      </c>
      <c r="E12" s="26">
        <v>120</v>
      </c>
      <c r="F12" s="27">
        <v>39</v>
      </c>
      <c r="G12" s="28">
        <f t="shared" si="5"/>
        <v>486720</v>
      </c>
      <c r="H12" s="28"/>
      <c r="I12" s="28">
        <f t="shared" si="3"/>
        <v>486720</v>
      </c>
      <c r="J12" s="35">
        <v>386794.62524812133</v>
      </c>
      <c r="K12" s="35"/>
      <c r="L12" s="28">
        <v>0</v>
      </c>
      <c r="M12" s="28"/>
      <c r="N12" s="28"/>
      <c r="O12" s="28">
        <v>312433</v>
      </c>
      <c r="P12" s="31">
        <f t="shared" si="0"/>
        <v>312433</v>
      </c>
      <c r="Q12" s="28">
        <f t="shared" si="6"/>
        <v>312433</v>
      </c>
      <c r="R12" s="31">
        <f t="shared" si="4"/>
        <v>455114</v>
      </c>
      <c r="S12" s="31">
        <f t="shared" si="1"/>
        <v>-31606</v>
      </c>
      <c r="T12" s="41">
        <f t="shared" si="2"/>
        <v>-0.84417735042735043</v>
      </c>
    </row>
    <row r="13" spans="1:21" s="42" customFormat="1" ht="17.25" customHeight="1">
      <c r="A13" s="316"/>
      <c r="B13" s="23" t="s">
        <v>46</v>
      </c>
      <c r="C13" s="24">
        <v>8</v>
      </c>
      <c r="D13" s="25">
        <v>14</v>
      </c>
      <c r="E13" s="26">
        <v>120</v>
      </c>
      <c r="F13" s="27">
        <v>39</v>
      </c>
      <c r="G13" s="28">
        <f t="shared" si="5"/>
        <v>524160</v>
      </c>
      <c r="H13" s="28"/>
      <c r="I13" s="28">
        <f t="shared" si="3"/>
        <v>524160</v>
      </c>
      <c r="J13" s="35">
        <v>416909.37475187867</v>
      </c>
      <c r="K13" s="35"/>
      <c r="L13" s="28">
        <v>0</v>
      </c>
      <c r="M13" s="28"/>
      <c r="N13" s="28"/>
      <c r="O13" s="28">
        <v>293877</v>
      </c>
      <c r="P13" s="31">
        <f t="shared" si="0"/>
        <v>293877</v>
      </c>
      <c r="Q13" s="28">
        <f t="shared" si="6"/>
        <v>293877</v>
      </c>
      <c r="R13" s="31">
        <f t="shared" si="4"/>
        <v>262271</v>
      </c>
      <c r="S13" s="31">
        <f t="shared" si="1"/>
        <v>-261889</v>
      </c>
      <c r="T13" s="41">
        <f t="shared" si="2"/>
        <v>-6.9948985042735039</v>
      </c>
    </row>
    <row r="14" spans="1:21" s="42" customFormat="1" ht="17.25" customHeight="1">
      <c r="A14" s="316"/>
      <c r="B14" s="23" t="s">
        <v>47</v>
      </c>
      <c r="C14" s="24">
        <v>8</v>
      </c>
      <c r="D14" s="25">
        <v>12</v>
      </c>
      <c r="E14" s="26">
        <v>120</v>
      </c>
      <c r="F14" s="27">
        <v>39</v>
      </c>
      <c r="G14" s="28">
        <f t="shared" si="5"/>
        <v>449280</v>
      </c>
      <c r="H14" s="28"/>
      <c r="I14" s="28">
        <f t="shared" si="3"/>
        <v>449280</v>
      </c>
      <c r="J14" s="35">
        <v>357404.15691418183</v>
      </c>
      <c r="K14" s="35"/>
      <c r="L14" s="28">
        <v>0</v>
      </c>
      <c r="M14" s="28"/>
      <c r="N14" s="28"/>
      <c r="O14" s="28">
        <v>215304</v>
      </c>
      <c r="P14" s="31">
        <f t="shared" si="0"/>
        <v>215304</v>
      </c>
      <c r="Q14" s="28">
        <f t="shared" si="6"/>
        <v>215304</v>
      </c>
      <c r="R14" s="31">
        <f t="shared" si="4"/>
        <v>-46585</v>
      </c>
      <c r="S14" s="31">
        <f t="shared" si="1"/>
        <v>-495865</v>
      </c>
      <c r="T14" s="41">
        <f t="shared" si="2"/>
        <v>-13.244257478632477</v>
      </c>
    </row>
    <row r="15" spans="1:21" s="42" customFormat="1" ht="17.25" customHeight="1">
      <c r="A15" s="316"/>
      <c r="B15" s="23" t="s">
        <v>48</v>
      </c>
      <c r="C15" s="24">
        <v>8</v>
      </c>
      <c r="D15" s="25">
        <v>13</v>
      </c>
      <c r="E15" s="26">
        <v>120</v>
      </c>
      <c r="F15" s="27">
        <v>39</v>
      </c>
      <c r="G15" s="28">
        <f t="shared" si="5"/>
        <v>486720</v>
      </c>
      <c r="H15" s="28"/>
      <c r="I15" s="28">
        <f t="shared" si="3"/>
        <v>486720</v>
      </c>
      <c r="J15" s="35">
        <v>387040.84308581817</v>
      </c>
      <c r="K15" s="35"/>
      <c r="L15" s="28">
        <v>0</v>
      </c>
      <c r="M15" s="28"/>
      <c r="N15" s="28"/>
      <c r="O15" s="28">
        <v>278164</v>
      </c>
      <c r="P15" s="31">
        <f t="shared" si="0"/>
        <v>278164</v>
      </c>
      <c r="Q15" s="28">
        <f t="shared" si="6"/>
        <v>278164</v>
      </c>
      <c r="R15" s="31">
        <f t="shared" si="4"/>
        <v>-217701</v>
      </c>
      <c r="S15" s="31">
        <f t="shared" si="1"/>
        <v>-704421</v>
      </c>
      <c r="T15" s="41">
        <f t="shared" si="2"/>
        <v>-18.814663461538462</v>
      </c>
    </row>
    <row r="16" spans="1:21" s="42" customFormat="1" ht="17.25" customHeight="1">
      <c r="A16" s="316"/>
      <c r="B16" s="23" t="s">
        <v>49</v>
      </c>
      <c r="C16" s="24">
        <v>8</v>
      </c>
      <c r="D16" s="43">
        <v>6</v>
      </c>
      <c r="E16" s="35">
        <v>120</v>
      </c>
      <c r="F16" s="27">
        <v>39</v>
      </c>
      <c r="G16" s="28">
        <f t="shared" si="5"/>
        <v>224640</v>
      </c>
      <c r="H16" s="28"/>
      <c r="I16" s="28">
        <f t="shared" si="3"/>
        <v>224640</v>
      </c>
      <c r="J16" s="35">
        <v>176878.28357842425</v>
      </c>
      <c r="K16" s="35"/>
      <c r="L16" s="28">
        <v>0</v>
      </c>
      <c r="M16" s="28"/>
      <c r="N16" s="28"/>
      <c r="O16" s="28">
        <v>225892</v>
      </c>
      <c r="P16" s="31">
        <f t="shared" si="0"/>
        <v>225892</v>
      </c>
      <c r="Q16" s="28">
        <f t="shared" si="6"/>
        <v>225892</v>
      </c>
      <c r="R16" s="31">
        <f t="shared" si="4"/>
        <v>-478529</v>
      </c>
      <c r="S16" s="31">
        <f t="shared" si="1"/>
        <v>-703169</v>
      </c>
      <c r="T16" s="41">
        <f t="shared" si="2"/>
        <v>-18.781223290598291</v>
      </c>
    </row>
    <row r="17" spans="1:20" s="42" customFormat="1" ht="17.25" customHeight="1">
      <c r="A17" s="316"/>
      <c r="B17" s="23" t="s">
        <v>50</v>
      </c>
      <c r="C17" s="24">
        <v>8</v>
      </c>
      <c r="D17" s="43">
        <v>9</v>
      </c>
      <c r="E17" s="35">
        <v>120</v>
      </c>
      <c r="F17" s="27">
        <v>39</v>
      </c>
      <c r="G17" s="28">
        <f t="shared" si="5"/>
        <v>336960</v>
      </c>
      <c r="H17" s="28"/>
      <c r="I17" s="28">
        <f t="shared" si="3"/>
        <v>336960</v>
      </c>
      <c r="J17" s="35">
        <v>267566.71642157575</v>
      </c>
      <c r="K17" s="35"/>
      <c r="L17" s="28">
        <v>0</v>
      </c>
      <c r="M17" s="28"/>
      <c r="N17" s="28"/>
      <c r="O17" s="28">
        <v>236087</v>
      </c>
      <c r="P17" s="31">
        <f t="shared" si="0"/>
        <v>236087</v>
      </c>
      <c r="Q17" s="28">
        <f t="shared" si="6"/>
        <v>236087</v>
      </c>
      <c r="R17" s="31">
        <f t="shared" si="4"/>
        <v>-467082</v>
      </c>
      <c r="S17" s="31">
        <f t="shared" si="1"/>
        <v>-804042</v>
      </c>
      <c r="T17" s="41">
        <f t="shared" si="2"/>
        <v>-21.475480769230771</v>
      </c>
    </row>
    <row r="18" spans="1:20" s="42" customFormat="1" ht="17.25" customHeight="1">
      <c r="A18" s="317" t="s">
        <v>51</v>
      </c>
      <c r="B18" s="318"/>
      <c r="C18" s="44"/>
      <c r="D18" s="45"/>
      <c r="E18" s="35"/>
      <c r="F18" s="45"/>
      <c r="G18" s="35">
        <f t="shared" ref="G18:M18" si="7">SUM(G6:G17)</f>
        <v>5391360</v>
      </c>
      <c r="H18" s="35">
        <f t="shared" si="7"/>
        <v>0</v>
      </c>
      <c r="I18" s="35">
        <f t="shared" si="7"/>
        <v>5391360</v>
      </c>
      <c r="J18" s="35">
        <f t="shared" si="7"/>
        <v>4285188</v>
      </c>
      <c r="K18" s="46">
        <f t="shared" si="7"/>
        <v>12212</v>
      </c>
      <c r="L18" s="46">
        <f t="shared" si="7"/>
        <v>21031</v>
      </c>
      <c r="M18" s="46">
        <f t="shared" si="7"/>
        <v>0</v>
      </c>
      <c r="N18" s="46"/>
      <c r="O18" s="46">
        <f>SUM(O6:O17)</f>
        <v>3729548</v>
      </c>
      <c r="P18" s="46">
        <f>SUM(P6:P17)</f>
        <v>3729548</v>
      </c>
      <c r="Q18" s="46">
        <f>SUM(Q6:Q17)</f>
        <v>4587318</v>
      </c>
      <c r="R18" s="47"/>
      <c r="S18" s="49"/>
      <c r="T18" s="51"/>
    </row>
    <row r="19" spans="1:20" s="60" customFormat="1" ht="17.25" customHeight="1">
      <c r="A19" s="319" t="s">
        <v>147</v>
      </c>
      <c r="B19" s="320"/>
      <c r="C19" s="320"/>
      <c r="D19" s="320"/>
      <c r="E19" s="320"/>
      <c r="F19" s="320" t="s">
        <v>150</v>
      </c>
      <c r="G19" s="320"/>
      <c r="H19" s="320"/>
      <c r="I19" s="320"/>
      <c r="J19" s="321"/>
      <c r="K19" s="169">
        <f>K18/J18</f>
        <v>2.8498166241481119E-3</v>
      </c>
      <c r="L19" s="53">
        <f>L18/J18</f>
        <v>4.9078360155960484E-3</v>
      </c>
      <c r="M19" s="53"/>
      <c r="N19" s="53"/>
      <c r="O19" s="54">
        <f>O18/J18</f>
        <v>0.87033474377320197</v>
      </c>
      <c r="P19" s="55"/>
      <c r="Q19" s="56"/>
      <c r="R19" s="57"/>
      <c r="S19" s="59"/>
      <c r="T19" s="59"/>
    </row>
    <row r="20" spans="1:20" s="60" customFormat="1" ht="17.25" hidden="1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62"/>
      <c r="N20" s="62"/>
      <c r="O20" s="63"/>
      <c r="P20" s="64"/>
      <c r="Q20" s="65"/>
      <c r="R20" s="66"/>
      <c r="S20" s="66"/>
      <c r="T20" s="66"/>
    </row>
    <row r="21" spans="1:20" s="60" customFormat="1" ht="17.25" hidden="1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2"/>
      <c r="M21" s="62"/>
      <c r="N21" s="62"/>
      <c r="O21" s="63"/>
      <c r="P21" s="64"/>
      <c r="Q21" s="65"/>
      <c r="R21" s="66"/>
      <c r="S21" s="66"/>
      <c r="T21" s="66"/>
    </row>
    <row r="22" spans="1:20">
      <c r="E22" s="68"/>
      <c r="O22" s="70"/>
      <c r="Q22" s="70"/>
      <c r="R22" s="71"/>
    </row>
    <row r="23" spans="1:20">
      <c r="I23" s="73"/>
      <c r="P23" s="73"/>
      <c r="Q23" s="73"/>
      <c r="R23" s="73"/>
    </row>
    <row r="24" spans="1:20">
      <c r="I24" s="73"/>
      <c r="Q24" s="71"/>
      <c r="R24" s="73"/>
      <c r="S24" s="71"/>
    </row>
    <row r="25" spans="1:20">
      <c r="G25" s="61" t="s">
        <v>53</v>
      </c>
    </row>
    <row r="219" spans="9:9">
      <c r="I219" s="61">
        <v>2</v>
      </c>
    </row>
  </sheetData>
  <mergeCells count="22">
    <mergeCell ref="Q2:Q4"/>
    <mergeCell ref="R2:R4"/>
    <mergeCell ref="S2:S4"/>
    <mergeCell ref="T2:T4"/>
    <mergeCell ref="G2:G4"/>
    <mergeCell ref="H2:H4"/>
    <mergeCell ref="I2:I4"/>
    <mergeCell ref="J2:J4"/>
    <mergeCell ref="K2:K4"/>
    <mergeCell ref="L2:N2"/>
    <mergeCell ref="L3:M3"/>
    <mergeCell ref="A6:A17"/>
    <mergeCell ref="A18:B18"/>
    <mergeCell ref="A19:J19"/>
    <mergeCell ref="O2:O4"/>
    <mergeCell ref="P2:P4"/>
    <mergeCell ref="A2:A4"/>
    <mergeCell ref="B2:B4"/>
    <mergeCell ref="C2:C4"/>
    <mergeCell ref="D2:D4"/>
    <mergeCell ref="E2:E4"/>
    <mergeCell ref="F2:F4"/>
  </mergeCells>
  <phoneticPr fontId="30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AB17"/>
  <sheetViews>
    <sheetView zoomScale="90" zoomScaleNormal="90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W19" sqref="W19"/>
    </sheetView>
  </sheetViews>
  <sheetFormatPr defaultRowHeight="16.2"/>
  <cols>
    <col min="1" max="1" width="9.33203125" customWidth="1"/>
    <col min="2" max="2" width="12" customWidth="1"/>
    <col min="11" max="11" width="9.77734375" bestFit="1" customWidth="1"/>
    <col min="15" max="15" width="10.21875" bestFit="1" customWidth="1"/>
    <col min="16" max="16" width="10.109375" customWidth="1"/>
    <col min="27" max="28" width="9.21875" bestFit="1" customWidth="1"/>
  </cols>
  <sheetData>
    <row r="1" spans="1:28" ht="20.25" customHeight="1">
      <c r="C1" s="363" t="s">
        <v>166</v>
      </c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</row>
    <row r="2" spans="1:28" ht="28.5" customHeight="1">
      <c r="A2" s="182" t="s">
        <v>1</v>
      </c>
      <c r="B2" s="182" t="s">
        <v>185</v>
      </c>
      <c r="C2" s="23" t="s">
        <v>167</v>
      </c>
      <c r="D2" s="23" t="s">
        <v>48</v>
      </c>
      <c r="E2" s="23" t="s">
        <v>168</v>
      </c>
      <c r="F2" s="23" t="s">
        <v>50</v>
      </c>
      <c r="G2" s="23" t="s">
        <v>169</v>
      </c>
      <c r="H2" s="23" t="s">
        <v>170</v>
      </c>
      <c r="I2" s="23" t="s">
        <v>171</v>
      </c>
      <c r="J2" s="23" t="s">
        <v>172</v>
      </c>
      <c r="K2" s="23" t="s">
        <v>173</v>
      </c>
      <c r="L2" s="23" t="s">
        <v>174</v>
      </c>
      <c r="M2" s="23" t="s">
        <v>175</v>
      </c>
      <c r="N2" s="23" t="s">
        <v>176</v>
      </c>
      <c r="O2" s="23" t="s">
        <v>177</v>
      </c>
      <c r="P2" s="23" t="s">
        <v>178</v>
      </c>
      <c r="Q2" s="23" t="s">
        <v>179</v>
      </c>
      <c r="R2" s="23" t="s">
        <v>180</v>
      </c>
      <c r="S2" s="23" t="s">
        <v>181</v>
      </c>
      <c r="T2" s="23" t="s">
        <v>151</v>
      </c>
      <c r="U2" s="23" t="s">
        <v>182</v>
      </c>
      <c r="V2" s="23" t="s">
        <v>42</v>
      </c>
      <c r="W2" s="23" t="s">
        <v>183</v>
      </c>
      <c r="X2" s="23" t="s">
        <v>44</v>
      </c>
      <c r="Y2" s="23" t="s">
        <v>184</v>
      </c>
      <c r="Z2" s="23" t="s">
        <v>46</v>
      </c>
      <c r="AB2" s="185" t="s">
        <v>186</v>
      </c>
    </row>
    <row r="3" spans="1:28">
      <c r="A3" s="362" t="s">
        <v>67</v>
      </c>
      <c r="B3" s="23" t="s">
        <v>55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</row>
    <row r="4" spans="1:28">
      <c r="A4" s="362"/>
      <c r="B4" s="23" t="s">
        <v>56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</row>
    <row r="5" spans="1:28">
      <c r="A5" s="362"/>
      <c r="B5" s="23" t="s">
        <v>57</v>
      </c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</row>
    <row r="6" spans="1:28">
      <c r="A6" s="362"/>
      <c r="B6" s="23" t="s">
        <v>58</v>
      </c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</row>
    <row r="7" spans="1:28">
      <c r="A7" s="362"/>
      <c r="B7" s="23" t="s">
        <v>59</v>
      </c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</row>
    <row r="8" spans="1:28">
      <c r="A8" s="362"/>
      <c r="B8" s="23" t="s">
        <v>60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</row>
    <row r="9" spans="1:28">
      <c r="A9" s="362"/>
      <c r="B9" s="23" t="s">
        <v>61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</row>
    <row r="10" spans="1:28">
      <c r="A10" s="362"/>
      <c r="B10" s="23" t="s">
        <v>62</v>
      </c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</row>
    <row r="11" spans="1:28">
      <c r="A11" s="362"/>
      <c r="B11" s="23" t="s">
        <v>63</v>
      </c>
      <c r="C11" s="183"/>
      <c r="D11" s="183"/>
      <c r="E11" s="183"/>
      <c r="F11" s="183"/>
      <c r="G11" s="183"/>
      <c r="H11" s="183"/>
      <c r="I11" s="183"/>
      <c r="J11" s="183"/>
      <c r="K11" s="183">
        <v>2336</v>
      </c>
      <c r="L11" s="183"/>
      <c r="M11" s="183">
        <v>566</v>
      </c>
      <c r="N11" s="183">
        <v>5012</v>
      </c>
      <c r="O11" s="183">
        <f>20896+119384</f>
        <v>140280</v>
      </c>
      <c r="P11" s="183">
        <f>814+103322</f>
        <v>104136</v>
      </c>
      <c r="Q11" s="183">
        <f>1427+36152</f>
        <v>37579</v>
      </c>
      <c r="R11" s="183">
        <v>37365</v>
      </c>
      <c r="S11" s="183">
        <v>8150</v>
      </c>
      <c r="T11" s="183">
        <v>220</v>
      </c>
      <c r="U11" s="183">
        <v>1160</v>
      </c>
      <c r="V11" s="183"/>
      <c r="W11" s="183"/>
      <c r="X11" s="183"/>
      <c r="Y11" s="183"/>
      <c r="Z11" s="183"/>
      <c r="AA11" s="184">
        <f>SUM(K11:Z11)</f>
        <v>336804</v>
      </c>
      <c r="AB11" s="184">
        <f>SUM(K11:P11)</f>
        <v>252330</v>
      </c>
    </row>
    <row r="12" spans="1:28">
      <c r="A12" s="362"/>
      <c r="B12" s="23" t="s">
        <v>64</v>
      </c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>
        <v>4825</v>
      </c>
      <c r="O12" s="183">
        <v>533</v>
      </c>
      <c r="P12" s="183">
        <v>48693</v>
      </c>
      <c r="Q12" s="183">
        <v>13907</v>
      </c>
      <c r="R12" s="183">
        <v>89066</v>
      </c>
      <c r="S12" s="183">
        <v>13890</v>
      </c>
      <c r="T12" s="183">
        <v>1413</v>
      </c>
      <c r="U12" s="183">
        <v>3726</v>
      </c>
      <c r="V12" s="183"/>
      <c r="W12" s="183"/>
      <c r="X12" s="183"/>
      <c r="Y12" s="183"/>
      <c r="Z12" s="183"/>
      <c r="AA12" s="184">
        <f>SUM(K12:Z12)</f>
        <v>176053</v>
      </c>
      <c r="AB12" s="184">
        <f>SUM(K12:P12)</f>
        <v>54051</v>
      </c>
    </row>
    <row r="13" spans="1:28">
      <c r="A13" s="362"/>
      <c r="B13" s="23" t="s">
        <v>65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>
        <v>90</v>
      </c>
      <c r="P13" s="183" t="s">
        <v>189</v>
      </c>
      <c r="Q13" s="183">
        <v>7296</v>
      </c>
      <c r="R13" s="183">
        <v>91184</v>
      </c>
      <c r="S13" s="183">
        <v>4569</v>
      </c>
      <c r="T13" s="183">
        <v>313</v>
      </c>
      <c r="U13" s="183">
        <v>488</v>
      </c>
      <c r="V13" s="183"/>
      <c r="W13" s="183"/>
      <c r="X13" s="183"/>
      <c r="Y13" s="183"/>
      <c r="Z13" s="183"/>
      <c r="AA13" s="184">
        <f>SUM(O13:U13)</f>
        <v>103940</v>
      </c>
      <c r="AB13" s="184">
        <f>SUM(O13:R13)</f>
        <v>98570</v>
      </c>
    </row>
    <row r="14" spans="1:28">
      <c r="A14" s="362"/>
      <c r="B14" s="23" t="s">
        <v>66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>
        <v>27657</v>
      </c>
      <c r="S14" s="183">
        <v>7674</v>
      </c>
      <c r="T14" s="183">
        <v>2060</v>
      </c>
      <c r="U14" s="183"/>
      <c r="V14" s="183"/>
      <c r="W14" s="183"/>
      <c r="X14" s="183"/>
      <c r="Y14" s="183"/>
      <c r="Z14" s="183"/>
      <c r="AA14" s="184">
        <f>SUM(O14:U14)</f>
        <v>37391</v>
      </c>
      <c r="AB14" s="184">
        <f>SUM(O14:R14)</f>
        <v>27657</v>
      </c>
    </row>
    <row r="15" spans="1:28">
      <c r="Z15" t="s">
        <v>187</v>
      </c>
      <c r="AA15" s="184">
        <f>SUM(AA11:AA12)</f>
        <v>512857</v>
      </c>
      <c r="AB15" s="184">
        <f>SUM(AB11:AB12)</f>
        <v>306381</v>
      </c>
    </row>
    <row r="16" spans="1:28">
      <c r="Z16" t="s">
        <v>188</v>
      </c>
      <c r="AA16" s="184">
        <f>SUM(AA13:AA14)</f>
        <v>141331</v>
      </c>
      <c r="AB16" s="184">
        <f>SUM(AB13:AB14)</f>
        <v>126227</v>
      </c>
    </row>
    <row r="17" spans="28:28">
      <c r="AB17" s="184" t="s">
        <v>190</v>
      </c>
    </row>
  </sheetData>
  <mergeCells count="2">
    <mergeCell ref="A3:A14"/>
    <mergeCell ref="C1:Z1"/>
  </mergeCells>
  <phoneticPr fontId="3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/>
  <dimension ref="A1:U219"/>
  <sheetViews>
    <sheetView zoomScale="70" zoomScaleNormal="70" workbookViewId="0">
      <pane xSplit="10" ySplit="4" topLeftCell="K5" activePane="bottomRight" state="frozen"/>
      <selection activeCell="M27" sqref="M27"/>
      <selection pane="topRight" activeCell="M27" sqref="M27"/>
      <selection pane="bottomLeft" activeCell="M27" sqref="M27"/>
      <selection pane="bottomRight" activeCell="K19" sqref="K19"/>
    </sheetView>
  </sheetViews>
  <sheetFormatPr defaultColWidth="10.6640625" defaultRowHeight="15.6"/>
  <cols>
    <col min="1" max="1" width="12.44140625" style="61" customWidth="1"/>
    <col min="2" max="2" width="9.21875" style="61" customWidth="1"/>
    <col min="3" max="3" width="9.77734375" style="61" customWidth="1"/>
    <col min="4" max="4" width="11.21875" style="61" customWidth="1"/>
    <col min="5" max="5" width="9.77734375" style="61" customWidth="1"/>
    <col min="6" max="7" width="12.44140625" style="61" customWidth="1"/>
    <col min="8" max="8" width="10.88671875" style="61" customWidth="1"/>
    <col min="9" max="9" width="11.77734375" style="61" customWidth="1"/>
    <col min="10" max="10" width="13.44140625" style="61" customWidth="1"/>
    <col min="11" max="11" width="16" style="61" customWidth="1"/>
    <col min="12" max="12" width="15.77734375" style="69" bestFit="1" customWidth="1"/>
    <col min="13" max="14" width="15.77734375" style="69" customWidth="1"/>
    <col min="15" max="15" width="19" style="69" customWidth="1"/>
    <col min="16" max="16" width="17.6640625" style="61" customWidth="1"/>
    <col min="17" max="17" width="18.109375" style="61" customWidth="1"/>
    <col min="18" max="18" width="21.88671875" style="61" hidden="1" customWidth="1"/>
    <col min="19" max="19" width="15.6640625" style="61" customWidth="1"/>
    <col min="20" max="20" width="11.109375" style="61" bestFit="1" customWidth="1"/>
    <col min="21" max="21" width="14.109375" style="61" customWidth="1"/>
    <col min="22" max="16384" width="10.6640625" style="61"/>
  </cols>
  <sheetData>
    <row r="1" spans="1:21" s="5" customFormat="1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>
        <v>43938</v>
      </c>
    </row>
    <row r="2" spans="1:21" s="166" customFormat="1" ht="36.75" customHeight="1">
      <c r="A2" s="325" t="s">
        <v>1</v>
      </c>
      <c r="B2" s="325" t="s">
        <v>2</v>
      </c>
      <c r="C2" s="325" t="s">
        <v>3</v>
      </c>
      <c r="D2" s="325" t="s">
        <v>137</v>
      </c>
      <c r="E2" s="325" t="s">
        <v>138</v>
      </c>
      <c r="F2" s="325" t="s">
        <v>139</v>
      </c>
      <c r="G2" s="325" t="s">
        <v>140</v>
      </c>
      <c r="H2" s="325" t="s">
        <v>141</v>
      </c>
      <c r="I2" s="325" t="s">
        <v>142</v>
      </c>
      <c r="J2" s="325" t="s">
        <v>10</v>
      </c>
      <c r="K2" s="325" t="s">
        <v>11</v>
      </c>
      <c r="L2" s="359" t="s">
        <v>12</v>
      </c>
      <c r="M2" s="360"/>
      <c r="N2" s="360"/>
      <c r="O2" s="325" t="s">
        <v>145</v>
      </c>
      <c r="P2" s="325" t="s">
        <v>146</v>
      </c>
      <c r="Q2" s="325" t="s">
        <v>15</v>
      </c>
      <c r="R2" s="328" t="s">
        <v>16</v>
      </c>
      <c r="S2" s="325" t="s">
        <v>17</v>
      </c>
      <c r="T2" s="325" t="s">
        <v>18</v>
      </c>
    </row>
    <row r="3" spans="1:21" s="166" customFormat="1" ht="45" customHeight="1">
      <c r="A3" s="326"/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61" t="s">
        <v>19</v>
      </c>
      <c r="M3" s="361"/>
      <c r="N3" s="167" t="s">
        <v>20</v>
      </c>
      <c r="O3" s="326"/>
      <c r="P3" s="326"/>
      <c r="Q3" s="326"/>
      <c r="R3" s="329"/>
      <c r="S3" s="326"/>
      <c r="T3" s="326"/>
    </row>
    <row r="4" spans="1:21" s="168" customFormat="1" ht="64.5" customHeight="1">
      <c r="A4" s="327"/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167" t="s">
        <v>31</v>
      </c>
      <c r="M4" s="167" t="s">
        <v>143</v>
      </c>
      <c r="N4" s="167" t="s">
        <v>144</v>
      </c>
      <c r="O4" s="327"/>
      <c r="P4" s="327"/>
      <c r="Q4" s="327"/>
      <c r="R4" s="330"/>
      <c r="S4" s="327"/>
      <c r="T4" s="327"/>
    </row>
    <row r="5" spans="1:21" s="22" customFormat="1" ht="64.5" hidden="1" customHeight="1">
      <c r="A5" s="17" t="s">
        <v>21</v>
      </c>
      <c r="B5" s="18" t="s">
        <v>22</v>
      </c>
      <c r="C5" s="19" t="s">
        <v>23</v>
      </c>
      <c r="D5" s="17" t="s">
        <v>24</v>
      </c>
      <c r="E5" s="17" t="s">
        <v>25</v>
      </c>
      <c r="F5" s="17" t="s">
        <v>26</v>
      </c>
      <c r="G5" s="17" t="s">
        <v>27</v>
      </c>
      <c r="H5" s="17" t="s">
        <v>28</v>
      </c>
      <c r="I5" s="17" t="s">
        <v>29</v>
      </c>
      <c r="J5" s="17" t="s">
        <v>30</v>
      </c>
      <c r="K5" s="17"/>
      <c r="L5" s="17" t="s">
        <v>31</v>
      </c>
      <c r="M5" s="17" t="s">
        <v>32</v>
      </c>
      <c r="N5" s="17" t="s">
        <v>33</v>
      </c>
      <c r="O5" s="17"/>
      <c r="P5" s="17"/>
      <c r="Q5" s="17" t="s">
        <v>35</v>
      </c>
      <c r="R5" s="17" t="s">
        <v>36</v>
      </c>
      <c r="S5" s="17"/>
      <c r="T5" s="21" t="s">
        <v>37</v>
      </c>
    </row>
    <row r="6" spans="1:21" s="34" customFormat="1" ht="17.25" customHeight="1">
      <c r="A6" s="315" t="s">
        <v>67</v>
      </c>
      <c r="B6" s="23" t="s">
        <v>55</v>
      </c>
      <c r="C6" s="24">
        <v>8.5</v>
      </c>
      <c r="D6" s="25">
        <v>12</v>
      </c>
      <c r="E6" s="26">
        <v>120.22088835534214</v>
      </c>
      <c r="F6" s="27">
        <v>24.5</v>
      </c>
      <c r="G6" s="28">
        <f>C6*D6*E6*F6</f>
        <v>300432</v>
      </c>
      <c r="H6" s="28"/>
      <c r="I6" s="28">
        <f>SUM(G6:H6)</f>
        <v>300432</v>
      </c>
      <c r="J6" s="29">
        <v>295000</v>
      </c>
      <c r="K6" s="29">
        <v>300827</v>
      </c>
      <c r="L6" s="28">
        <v>189410</v>
      </c>
      <c r="M6" s="28">
        <v>0</v>
      </c>
      <c r="N6" s="30"/>
      <c r="O6" s="28">
        <v>0</v>
      </c>
      <c r="P6" s="31">
        <f t="shared" ref="P6:P17" si="0">M6+N6+O6</f>
        <v>0</v>
      </c>
      <c r="Q6" s="31">
        <v>300432</v>
      </c>
      <c r="R6" s="31">
        <f>Q6</f>
        <v>300432</v>
      </c>
      <c r="S6" s="31">
        <f t="shared" ref="S6:S17" si="1">R6-G6</f>
        <v>0</v>
      </c>
      <c r="T6" s="33">
        <f t="shared" ref="T6:T17" si="2">S6/C6/E6/F6</f>
        <v>0</v>
      </c>
    </row>
    <row r="7" spans="1:21" s="34" customFormat="1" ht="17.25" customHeight="1">
      <c r="A7" s="316"/>
      <c r="B7" s="23" t="s">
        <v>56</v>
      </c>
      <c r="C7" s="24">
        <v>8.5</v>
      </c>
      <c r="D7" s="25">
        <v>14</v>
      </c>
      <c r="E7" s="26">
        <v>114.4510375578803</v>
      </c>
      <c r="F7" s="27">
        <v>24.5</v>
      </c>
      <c r="G7" s="28">
        <f>C7*D7*E7*F7</f>
        <v>333682</v>
      </c>
      <c r="H7" s="28"/>
      <c r="I7" s="28">
        <f t="shared" ref="I7:I17" si="3">SUM(G7:H7)</f>
        <v>333682</v>
      </c>
      <c r="J7" s="35">
        <v>345000</v>
      </c>
      <c r="K7" s="35">
        <v>266792</v>
      </c>
      <c r="L7" s="28">
        <v>320312</v>
      </c>
      <c r="M7" s="28">
        <v>26249</v>
      </c>
      <c r="N7" s="28"/>
      <c r="O7" s="28">
        <v>0</v>
      </c>
      <c r="P7" s="31">
        <f t="shared" si="0"/>
        <v>26249</v>
      </c>
      <c r="Q7" s="31">
        <v>333682</v>
      </c>
      <c r="R7" s="31">
        <f t="shared" ref="R7:R17" si="4">Q7+S6</f>
        <v>333682</v>
      </c>
      <c r="S7" s="31">
        <f t="shared" si="1"/>
        <v>0</v>
      </c>
      <c r="T7" s="33">
        <f t="shared" si="2"/>
        <v>0</v>
      </c>
    </row>
    <row r="8" spans="1:21" s="34" customFormat="1" ht="17.25" customHeight="1">
      <c r="A8" s="316"/>
      <c r="B8" s="23" t="s">
        <v>57</v>
      </c>
      <c r="C8" s="24">
        <v>8</v>
      </c>
      <c r="D8" s="25">
        <v>12</v>
      </c>
      <c r="E8" s="26">
        <v>95.091836734693871</v>
      </c>
      <c r="F8" s="27">
        <v>24.5</v>
      </c>
      <c r="G8" s="28">
        <f>C8*D8*E8*F8</f>
        <v>223656</v>
      </c>
      <c r="H8" s="28"/>
      <c r="I8" s="28">
        <f t="shared" si="3"/>
        <v>223656</v>
      </c>
      <c r="J8" s="35">
        <v>305000</v>
      </c>
      <c r="K8" s="35">
        <v>294240</v>
      </c>
      <c r="L8" s="28">
        <v>264003</v>
      </c>
      <c r="M8" s="28">
        <v>53969</v>
      </c>
      <c r="N8" s="28"/>
      <c r="O8" s="28">
        <v>0</v>
      </c>
      <c r="P8" s="31">
        <f t="shared" si="0"/>
        <v>53969</v>
      </c>
      <c r="Q8" s="28">
        <v>223656</v>
      </c>
      <c r="R8" s="31">
        <f t="shared" si="4"/>
        <v>223656</v>
      </c>
      <c r="S8" s="31">
        <f t="shared" si="1"/>
        <v>0</v>
      </c>
      <c r="T8" s="33">
        <f t="shared" si="2"/>
        <v>0</v>
      </c>
      <c r="U8" s="36"/>
    </row>
    <row r="9" spans="1:21" s="34" customFormat="1" ht="16.5" customHeight="1">
      <c r="A9" s="316"/>
      <c r="B9" s="23" t="s">
        <v>58</v>
      </c>
      <c r="C9" s="24">
        <v>8</v>
      </c>
      <c r="D9" s="25">
        <v>10</v>
      </c>
      <c r="E9" s="26">
        <v>105</v>
      </c>
      <c r="F9" s="27">
        <v>20</v>
      </c>
      <c r="G9" s="28">
        <f t="shared" ref="G9:G17" si="5">C9*D9*E9*F9</f>
        <v>168000</v>
      </c>
      <c r="H9" s="28"/>
      <c r="I9" s="28">
        <f t="shared" si="3"/>
        <v>168000</v>
      </c>
      <c r="J9" s="35">
        <v>305000</v>
      </c>
      <c r="K9" s="35">
        <v>204221</v>
      </c>
      <c r="L9" s="28">
        <v>230454</v>
      </c>
      <c r="M9" s="28">
        <v>84538</v>
      </c>
      <c r="N9" s="28"/>
      <c r="O9" s="28">
        <v>0</v>
      </c>
      <c r="P9" s="31">
        <f t="shared" si="0"/>
        <v>84538</v>
      </c>
      <c r="Q9" s="28">
        <f>SUM(P6:P9)</f>
        <v>164756</v>
      </c>
      <c r="R9" s="31">
        <f t="shared" si="4"/>
        <v>164756</v>
      </c>
      <c r="S9" s="31">
        <f t="shared" si="1"/>
        <v>-3244</v>
      </c>
      <c r="T9" s="33">
        <f t="shared" si="2"/>
        <v>-0.1930952380952381</v>
      </c>
      <c r="U9" s="36"/>
    </row>
    <row r="10" spans="1:21" s="34" customFormat="1" ht="17.25" customHeight="1">
      <c r="A10" s="316"/>
      <c r="B10" s="23" t="s">
        <v>59</v>
      </c>
      <c r="C10" s="24">
        <v>8</v>
      </c>
      <c r="D10" s="37">
        <v>10</v>
      </c>
      <c r="E10" s="26">
        <v>105</v>
      </c>
      <c r="F10" s="27">
        <v>16</v>
      </c>
      <c r="G10" s="28">
        <f t="shared" si="5"/>
        <v>134400</v>
      </c>
      <c r="H10" s="28"/>
      <c r="I10" s="28">
        <f t="shared" si="3"/>
        <v>134400</v>
      </c>
      <c r="J10" s="35">
        <v>315000</v>
      </c>
      <c r="K10" s="35">
        <v>150086</v>
      </c>
      <c r="L10" s="28">
        <v>219828</v>
      </c>
      <c r="M10" s="28">
        <v>130896</v>
      </c>
      <c r="N10" s="28"/>
      <c r="O10" s="28">
        <v>0</v>
      </c>
      <c r="P10" s="31">
        <f t="shared" si="0"/>
        <v>130896</v>
      </c>
      <c r="Q10" s="28">
        <f t="shared" ref="Q10:Q17" si="6">P10</f>
        <v>130896</v>
      </c>
      <c r="R10" s="31">
        <f t="shared" si="4"/>
        <v>127652</v>
      </c>
      <c r="S10" s="31">
        <f t="shared" si="1"/>
        <v>-6748</v>
      </c>
      <c r="T10" s="33">
        <f t="shared" si="2"/>
        <v>-0.50208333333333333</v>
      </c>
    </row>
    <row r="11" spans="1:21" s="34" customFormat="1" ht="17.25" customHeight="1">
      <c r="A11" s="316"/>
      <c r="B11" s="38" t="s">
        <v>60</v>
      </c>
      <c r="C11" s="24">
        <v>8</v>
      </c>
      <c r="D11" s="39">
        <v>10</v>
      </c>
      <c r="E11" s="26">
        <v>105</v>
      </c>
      <c r="F11" s="27">
        <v>16</v>
      </c>
      <c r="G11" s="28">
        <f t="shared" si="5"/>
        <v>134400</v>
      </c>
      <c r="H11" s="28"/>
      <c r="I11" s="28">
        <f t="shared" si="3"/>
        <v>134400</v>
      </c>
      <c r="J11" s="35">
        <v>340000</v>
      </c>
      <c r="K11" s="35">
        <v>140812</v>
      </c>
      <c r="L11" s="28">
        <v>211080</v>
      </c>
      <c r="M11" s="28">
        <v>149248</v>
      </c>
      <c r="N11" s="28"/>
      <c r="O11" s="28">
        <v>48664</v>
      </c>
      <c r="P11" s="31">
        <f t="shared" si="0"/>
        <v>197912</v>
      </c>
      <c r="Q11" s="28">
        <f t="shared" si="6"/>
        <v>197912</v>
      </c>
      <c r="R11" s="31">
        <f t="shared" si="4"/>
        <v>191164</v>
      </c>
      <c r="S11" s="31">
        <f t="shared" si="1"/>
        <v>56764</v>
      </c>
      <c r="T11" s="41">
        <f t="shared" si="2"/>
        <v>4.2235119047619047</v>
      </c>
    </row>
    <row r="12" spans="1:21" s="42" customFormat="1" ht="17.25" customHeight="1">
      <c r="A12" s="316"/>
      <c r="B12" s="23" t="s">
        <v>61</v>
      </c>
      <c r="C12" s="24">
        <v>8</v>
      </c>
      <c r="D12" s="25">
        <v>11</v>
      </c>
      <c r="E12" s="26">
        <v>105</v>
      </c>
      <c r="F12" s="27">
        <v>16</v>
      </c>
      <c r="G12" s="28">
        <f t="shared" si="5"/>
        <v>147840</v>
      </c>
      <c r="H12" s="28"/>
      <c r="I12" s="28">
        <f t="shared" si="3"/>
        <v>147840</v>
      </c>
      <c r="J12" s="35">
        <v>380000</v>
      </c>
      <c r="K12" s="35">
        <v>161442</v>
      </c>
      <c r="L12" s="28">
        <v>232183</v>
      </c>
      <c r="M12" s="28">
        <v>169981</v>
      </c>
      <c r="N12" s="28"/>
      <c r="O12" s="28">
        <v>28037</v>
      </c>
      <c r="P12" s="31">
        <f t="shared" si="0"/>
        <v>198018</v>
      </c>
      <c r="Q12" s="28">
        <f t="shared" si="6"/>
        <v>198018</v>
      </c>
      <c r="R12" s="31">
        <f t="shared" si="4"/>
        <v>254782</v>
      </c>
      <c r="S12" s="31">
        <f t="shared" si="1"/>
        <v>106942</v>
      </c>
      <c r="T12" s="41">
        <f t="shared" si="2"/>
        <v>7.9569940476190473</v>
      </c>
    </row>
    <row r="13" spans="1:21" s="42" customFormat="1" ht="17.25" customHeight="1">
      <c r="A13" s="316"/>
      <c r="B13" s="23" t="s">
        <v>62</v>
      </c>
      <c r="C13" s="24">
        <v>8</v>
      </c>
      <c r="D13" s="25">
        <v>11</v>
      </c>
      <c r="E13" s="26">
        <v>105</v>
      </c>
      <c r="F13" s="27">
        <v>16</v>
      </c>
      <c r="G13" s="28">
        <f t="shared" si="5"/>
        <v>147840</v>
      </c>
      <c r="H13" s="28"/>
      <c r="I13" s="28">
        <f t="shared" si="3"/>
        <v>147840</v>
      </c>
      <c r="J13" s="35">
        <v>325000</v>
      </c>
      <c r="K13" s="35">
        <v>19259</v>
      </c>
      <c r="L13" s="28">
        <v>67047</v>
      </c>
      <c r="M13" s="28">
        <v>29420</v>
      </c>
      <c r="N13" s="28"/>
      <c r="O13" s="28">
        <v>236708</v>
      </c>
      <c r="P13" s="31">
        <f t="shared" si="0"/>
        <v>266128</v>
      </c>
      <c r="Q13" s="28">
        <f t="shared" si="6"/>
        <v>266128</v>
      </c>
      <c r="R13" s="31">
        <f t="shared" si="4"/>
        <v>373070</v>
      </c>
      <c r="S13" s="31">
        <f t="shared" si="1"/>
        <v>225230</v>
      </c>
      <c r="T13" s="41">
        <f t="shared" si="2"/>
        <v>16.758184523809526</v>
      </c>
    </row>
    <row r="14" spans="1:21" s="42" customFormat="1" ht="17.25" customHeight="1">
      <c r="A14" s="316"/>
      <c r="B14" s="23" t="s">
        <v>63</v>
      </c>
      <c r="C14" s="24">
        <v>8</v>
      </c>
      <c r="D14" s="25">
        <v>11</v>
      </c>
      <c r="E14" s="26">
        <v>105</v>
      </c>
      <c r="F14" s="27">
        <v>16</v>
      </c>
      <c r="G14" s="28">
        <f t="shared" si="5"/>
        <v>147840</v>
      </c>
      <c r="H14" s="28"/>
      <c r="I14" s="28">
        <f t="shared" si="3"/>
        <v>147840</v>
      </c>
      <c r="J14" s="35">
        <v>365000</v>
      </c>
      <c r="K14" s="35">
        <v>23898</v>
      </c>
      <c r="L14" s="28">
        <v>38736</v>
      </c>
      <c r="M14" s="28">
        <v>26238</v>
      </c>
      <c r="N14" s="28"/>
      <c r="O14" s="28">
        <v>184576</v>
      </c>
      <c r="P14" s="31">
        <f t="shared" si="0"/>
        <v>210814</v>
      </c>
      <c r="Q14" s="28">
        <f t="shared" si="6"/>
        <v>210814</v>
      </c>
      <c r="R14" s="31">
        <f t="shared" si="4"/>
        <v>436044</v>
      </c>
      <c r="S14" s="31">
        <f t="shared" si="1"/>
        <v>288204</v>
      </c>
      <c r="T14" s="41">
        <f t="shared" si="2"/>
        <v>21.443750000000001</v>
      </c>
    </row>
    <row r="15" spans="1:21" s="42" customFormat="1" ht="17.25" customHeight="1">
      <c r="A15" s="316"/>
      <c r="B15" s="23" t="s">
        <v>64</v>
      </c>
      <c r="C15" s="24">
        <v>8</v>
      </c>
      <c r="D15" s="25">
        <v>12</v>
      </c>
      <c r="E15" s="26">
        <v>105</v>
      </c>
      <c r="F15" s="27">
        <v>16</v>
      </c>
      <c r="G15" s="28">
        <f t="shared" si="5"/>
        <v>161280</v>
      </c>
      <c r="H15" s="28"/>
      <c r="I15" s="28">
        <f t="shared" si="3"/>
        <v>161280</v>
      </c>
      <c r="J15" s="35">
        <v>390000</v>
      </c>
      <c r="K15" s="35">
        <v>8950</v>
      </c>
      <c r="L15" s="28">
        <v>15865</v>
      </c>
      <c r="M15" s="28">
        <v>9558</v>
      </c>
      <c r="N15" s="28"/>
      <c r="O15" s="28">
        <v>288032</v>
      </c>
      <c r="P15" s="31">
        <f t="shared" si="0"/>
        <v>297590</v>
      </c>
      <c r="Q15" s="28">
        <f t="shared" si="6"/>
        <v>297590</v>
      </c>
      <c r="R15" s="31">
        <f t="shared" si="4"/>
        <v>585794</v>
      </c>
      <c r="S15" s="31">
        <f t="shared" si="1"/>
        <v>424514</v>
      </c>
      <c r="T15" s="41">
        <f t="shared" si="2"/>
        <v>31.585863095238096</v>
      </c>
    </row>
    <row r="16" spans="1:21" s="42" customFormat="1" ht="17.25" customHeight="1">
      <c r="A16" s="316"/>
      <c r="B16" s="23" t="s">
        <v>65</v>
      </c>
      <c r="C16" s="24">
        <v>8</v>
      </c>
      <c r="D16" s="43">
        <v>10</v>
      </c>
      <c r="E16" s="35">
        <v>105</v>
      </c>
      <c r="F16" s="27">
        <v>16</v>
      </c>
      <c r="G16" s="28">
        <f t="shared" si="5"/>
        <v>134400</v>
      </c>
      <c r="H16" s="28"/>
      <c r="I16" s="28">
        <f t="shared" si="3"/>
        <v>134400</v>
      </c>
      <c r="J16" s="35">
        <v>375000</v>
      </c>
      <c r="K16" s="35">
        <v>18215</v>
      </c>
      <c r="L16" s="28">
        <v>19795</v>
      </c>
      <c r="M16" s="28">
        <v>18215</v>
      </c>
      <c r="N16" s="28"/>
      <c r="O16" s="28">
        <v>76143</v>
      </c>
      <c r="P16" s="31">
        <f t="shared" si="0"/>
        <v>94358</v>
      </c>
      <c r="Q16" s="28">
        <f t="shared" si="6"/>
        <v>94358</v>
      </c>
      <c r="R16" s="31">
        <f t="shared" si="4"/>
        <v>518872</v>
      </c>
      <c r="S16" s="31">
        <f t="shared" si="1"/>
        <v>384472</v>
      </c>
      <c r="T16" s="41">
        <f t="shared" si="2"/>
        <v>28.606547619047618</v>
      </c>
    </row>
    <row r="17" spans="1:20" s="42" customFormat="1" ht="17.25" customHeight="1">
      <c r="A17" s="316"/>
      <c r="B17" s="23" t="s">
        <v>66</v>
      </c>
      <c r="C17" s="24">
        <v>8</v>
      </c>
      <c r="D17" s="43">
        <v>11</v>
      </c>
      <c r="E17" s="35">
        <v>105</v>
      </c>
      <c r="F17" s="27">
        <v>16</v>
      </c>
      <c r="G17" s="28">
        <f t="shared" si="5"/>
        <v>147840</v>
      </c>
      <c r="H17" s="28"/>
      <c r="I17" s="28">
        <f t="shared" si="3"/>
        <v>147840</v>
      </c>
      <c r="J17" s="35">
        <v>375000</v>
      </c>
      <c r="K17" s="35">
        <v>8293</v>
      </c>
      <c r="L17" s="28">
        <v>9284</v>
      </c>
      <c r="M17" s="28">
        <v>8293</v>
      </c>
      <c r="N17" s="28"/>
      <c r="O17" s="28">
        <v>94410</v>
      </c>
      <c r="P17" s="31">
        <f t="shared" si="0"/>
        <v>102703</v>
      </c>
      <c r="Q17" s="28">
        <f t="shared" si="6"/>
        <v>102703</v>
      </c>
      <c r="R17" s="31">
        <f t="shared" si="4"/>
        <v>487175</v>
      </c>
      <c r="S17" s="31">
        <f t="shared" si="1"/>
        <v>339335</v>
      </c>
      <c r="T17" s="41">
        <f t="shared" si="2"/>
        <v>25.24813988095238</v>
      </c>
    </row>
    <row r="18" spans="1:20" s="42" customFormat="1" ht="17.25" customHeight="1">
      <c r="A18" s="317" t="s">
        <v>51</v>
      </c>
      <c r="B18" s="318"/>
      <c r="C18" s="44"/>
      <c r="D18" s="45"/>
      <c r="E18" s="35"/>
      <c r="F18" s="45"/>
      <c r="G18" s="35">
        <f t="shared" ref="G18:M18" si="7">SUM(G6:G17)</f>
        <v>2181610</v>
      </c>
      <c r="H18" s="35">
        <f t="shared" si="7"/>
        <v>0</v>
      </c>
      <c r="I18" s="35">
        <f t="shared" si="7"/>
        <v>2181610</v>
      </c>
      <c r="J18" s="35">
        <f t="shared" si="7"/>
        <v>4115000</v>
      </c>
      <c r="K18" s="46">
        <f t="shared" si="7"/>
        <v>1597035</v>
      </c>
      <c r="L18" s="46">
        <f t="shared" si="7"/>
        <v>1817997</v>
      </c>
      <c r="M18" s="46">
        <f t="shared" si="7"/>
        <v>706605</v>
      </c>
      <c r="N18" s="46"/>
      <c r="O18" s="46">
        <f>SUM(O6:O17)</f>
        <v>956570</v>
      </c>
      <c r="P18" s="46">
        <f>SUM(P6:P17)</f>
        <v>1663175</v>
      </c>
      <c r="Q18" s="46">
        <f>SUM(Q6:Q17)</f>
        <v>2520945</v>
      </c>
      <c r="R18" s="47"/>
      <c r="S18" s="49"/>
      <c r="T18" s="51"/>
    </row>
    <row r="19" spans="1:20" s="60" customFormat="1" ht="17.25" customHeight="1">
      <c r="A19" s="319" t="s">
        <v>147</v>
      </c>
      <c r="B19" s="320"/>
      <c r="C19" s="320"/>
      <c r="D19" s="320"/>
      <c r="E19" s="320"/>
      <c r="F19" s="320" t="s">
        <v>53</v>
      </c>
      <c r="G19" s="320"/>
      <c r="H19" s="320"/>
      <c r="I19" s="320"/>
      <c r="J19" s="321"/>
      <c r="K19" s="169">
        <f>K18/J18</f>
        <v>0.38810085054678006</v>
      </c>
      <c r="L19" s="53">
        <f>L18/J18</f>
        <v>0.44179756986634267</v>
      </c>
      <c r="M19" s="53"/>
      <c r="N19" s="53"/>
      <c r="O19" s="54">
        <f>O18/J18</f>
        <v>0.23245929526123937</v>
      </c>
      <c r="P19" s="55"/>
      <c r="Q19" s="56"/>
      <c r="R19" s="57"/>
      <c r="S19" s="59"/>
      <c r="T19" s="59"/>
    </row>
    <row r="20" spans="1:20" s="60" customFormat="1" ht="17.25" hidden="1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62"/>
      <c r="N20" s="62"/>
      <c r="O20" s="63"/>
      <c r="P20" s="64"/>
      <c r="Q20" s="65"/>
      <c r="R20" s="66"/>
      <c r="S20" s="66"/>
      <c r="T20" s="66"/>
    </row>
    <row r="21" spans="1:20" s="60" customFormat="1" ht="17.25" hidden="1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2"/>
      <c r="M21" s="62"/>
      <c r="N21" s="62"/>
      <c r="O21" s="63"/>
      <c r="P21" s="64"/>
      <c r="Q21" s="65"/>
      <c r="R21" s="66"/>
      <c r="S21" s="66"/>
      <c r="T21" s="66"/>
    </row>
    <row r="22" spans="1:20">
      <c r="E22" s="68"/>
      <c r="O22" s="70"/>
      <c r="Q22" s="70"/>
      <c r="R22" s="71"/>
    </row>
    <row r="23" spans="1:20">
      <c r="I23" s="73"/>
      <c r="P23" s="73"/>
      <c r="Q23" s="73"/>
      <c r="R23" s="73"/>
    </row>
    <row r="24" spans="1:20">
      <c r="I24" s="73"/>
      <c r="Q24" s="71"/>
      <c r="R24" s="73"/>
      <c r="S24" s="71"/>
    </row>
    <row r="25" spans="1:20">
      <c r="G25" s="61" t="s">
        <v>54</v>
      </c>
    </row>
    <row r="219" spans="9:9">
      <c r="I219" s="61">
        <v>2</v>
      </c>
    </row>
  </sheetData>
  <mergeCells count="22">
    <mergeCell ref="S2:S4"/>
    <mergeCell ref="A19:J19"/>
    <mergeCell ref="L2:N2"/>
    <mergeCell ref="L3:M3"/>
    <mergeCell ref="A6:A17"/>
    <mergeCell ref="A18:B18"/>
    <mergeCell ref="T2:T4"/>
    <mergeCell ref="R2:R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O2:O4"/>
    <mergeCell ref="P2:P4"/>
    <mergeCell ref="Q2:Q4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/>
  <dimension ref="A1:X218"/>
  <sheetViews>
    <sheetView zoomScale="60" zoomScaleNormal="60" workbookViewId="0">
      <pane xSplit="10" ySplit="4" topLeftCell="K5" activePane="bottomRight" state="frozen"/>
      <selection activeCell="M27" sqref="M27"/>
      <selection pane="topRight" activeCell="M27" sqref="M27"/>
      <selection pane="bottomLeft" activeCell="M27" sqref="M27"/>
      <selection pane="bottomRight" activeCell="A5" sqref="A5:A16"/>
    </sheetView>
  </sheetViews>
  <sheetFormatPr defaultColWidth="10.6640625" defaultRowHeight="15.6"/>
  <cols>
    <col min="1" max="1" width="12.44140625" style="61" customWidth="1"/>
    <col min="2" max="2" width="9.21875" style="61" customWidth="1"/>
    <col min="3" max="3" width="9.77734375" style="61" customWidth="1"/>
    <col min="4" max="4" width="11.21875" style="61" customWidth="1"/>
    <col min="5" max="6" width="9.77734375" style="61" customWidth="1"/>
    <col min="7" max="7" width="11.6640625" style="61" customWidth="1"/>
    <col min="8" max="8" width="10.88671875" style="61" customWidth="1"/>
    <col min="9" max="9" width="11.77734375" style="61" customWidth="1"/>
    <col min="10" max="10" width="13.44140625" style="61" customWidth="1"/>
    <col min="11" max="11" width="16" style="61" customWidth="1"/>
    <col min="12" max="12" width="15.77734375" style="69" bestFit="1" customWidth="1"/>
    <col min="13" max="14" width="15.77734375" style="69" customWidth="1"/>
    <col min="15" max="15" width="16.33203125" style="69" hidden="1" customWidth="1"/>
    <col min="16" max="16" width="19" style="69" customWidth="1"/>
    <col min="17" max="17" width="15" style="61" customWidth="1"/>
    <col min="18" max="18" width="18.109375" style="61" customWidth="1"/>
    <col min="19" max="19" width="21.88671875" style="61" customWidth="1"/>
    <col min="20" max="20" width="10.33203125" style="72" customWidth="1"/>
    <col min="21" max="21" width="15.6640625" style="61" customWidth="1"/>
    <col min="22" max="22" width="8.109375" style="72" customWidth="1"/>
    <col min="23" max="23" width="11.109375" style="61" bestFit="1" customWidth="1"/>
    <col min="24" max="24" width="14.109375" style="61" customWidth="1"/>
    <col min="25" max="16384" width="10.6640625" style="61"/>
  </cols>
  <sheetData>
    <row r="1" spans="1:24" s="5" customFormat="1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>
        <v>43932</v>
      </c>
      <c r="V1" s="4"/>
    </row>
    <row r="2" spans="1:24" s="16" customFormat="1" ht="86.25" customHeight="1">
      <c r="A2" s="6" t="s">
        <v>1</v>
      </c>
      <c r="B2" s="7" t="s">
        <v>2</v>
      </c>
      <c r="C2" s="8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9" t="s">
        <v>8</v>
      </c>
      <c r="I2" s="9" t="s">
        <v>9</v>
      </c>
      <c r="J2" s="6" t="s">
        <v>10</v>
      </c>
      <c r="K2" s="6" t="s">
        <v>11</v>
      </c>
      <c r="L2" s="364" t="s">
        <v>12</v>
      </c>
      <c r="M2" s="365"/>
      <c r="N2" s="365"/>
      <c r="O2" s="366"/>
      <c r="P2" s="10" t="s">
        <v>13</v>
      </c>
      <c r="Q2" s="10" t="s">
        <v>14</v>
      </c>
      <c r="R2" s="10" t="s">
        <v>15</v>
      </c>
      <c r="S2" s="11" t="s">
        <v>16</v>
      </c>
      <c r="T2" s="12"/>
      <c r="U2" s="13" t="s">
        <v>17</v>
      </c>
      <c r="V2" s="14"/>
      <c r="W2" s="15" t="s">
        <v>18</v>
      </c>
    </row>
    <row r="3" spans="1:24" s="16" customFormat="1" ht="86.25" customHeight="1">
      <c r="A3" s="6"/>
      <c r="B3" s="7"/>
      <c r="C3" s="8"/>
      <c r="D3" s="6"/>
      <c r="E3" s="6"/>
      <c r="F3" s="6"/>
      <c r="G3" s="6"/>
      <c r="H3" s="9"/>
      <c r="I3" s="9"/>
      <c r="J3" s="6"/>
      <c r="K3" s="6"/>
      <c r="L3" s="312" t="s">
        <v>19</v>
      </c>
      <c r="M3" s="313"/>
      <c r="N3" s="313" t="s">
        <v>20</v>
      </c>
      <c r="O3" s="367"/>
      <c r="P3" s="10"/>
      <c r="Q3" s="10"/>
      <c r="R3" s="10"/>
      <c r="S3" s="11"/>
      <c r="T3" s="12"/>
      <c r="U3" s="13"/>
      <c r="V3" s="14"/>
      <c r="W3" s="15"/>
    </row>
    <row r="4" spans="1:24" s="22" customFormat="1" ht="64.5" customHeight="1">
      <c r="A4" s="17" t="s">
        <v>21</v>
      </c>
      <c r="B4" s="18" t="s">
        <v>22</v>
      </c>
      <c r="C4" s="19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28</v>
      </c>
      <c r="I4" s="17" t="s">
        <v>29</v>
      </c>
      <c r="J4" s="17" t="s">
        <v>30</v>
      </c>
      <c r="K4" s="17"/>
      <c r="L4" s="17" t="s">
        <v>31</v>
      </c>
      <c r="M4" s="17" t="s">
        <v>32</v>
      </c>
      <c r="N4" s="17" t="s">
        <v>33</v>
      </c>
      <c r="O4" s="17" t="s">
        <v>34</v>
      </c>
      <c r="P4" s="17"/>
      <c r="Q4" s="17"/>
      <c r="R4" s="17" t="s">
        <v>35</v>
      </c>
      <c r="S4" s="17" t="s">
        <v>36</v>
      </c>
      <c r="T4" s="20"/>
      <c r="U4" s="17"/>
      <c r="V4" s="20"/>
      <c r="W4" s="21" t="s">
        <v>37</v>
      </c>
    </row>
    <row r="5" spans="1:24" s="34" customFormat="1" ht="17.25" customHeight="1">
      <c r="A5" s="315" t="s">
        <v>67</v>
      </c>
      <c r="B5" s="23" t="s">
        <v>55</v>
      </c>
      <c r="C5" s="24">
        <v>8.5</v>
      </c>
      <c r="D5" s="25">
        <v>12</v>
      </c>
      <c r="E5" s="26">
        <v>120.22088835534214</v>
      </c>
      <c r="F5" s="27">
        <v>24.5</v>
      </c>
      <c r="G5" s="28">
        <f>C5*D5*E5*F5</f>
        <v>300432</v>
      </c>
      <c r="H5" s="28"/>
      <c r="I5" s="28">
        <f>SUM(G5:H5)</f>
        <v>300432</v>
      </c>
      <c r="J5" s="29">
        <v>295000</v>
      </c>
      <c r="K5" s="29">
        <v>301643</v>
      </c>
      <c r="L5" s="28">
        <v>189412</v>
      </c>
      <c r="M5" s="28">
        <v>160</v>
      </c>
      <c r="N5" s="30"/>
      <c r="O5" s="30"/>
      <c r="P5" s="28">
        <v>0</v>
      </c>
      <c r="Q5" s="31">
        <f t="shared" ref="Q5:Q16" si="0">M5+N5-O5+P5</f>
        <v>160</v>
      </c>
      <c r="R5" s="31">
        <v>300432</v>
      </c>
      <c r="S5" s="31">
        <f>R5</f>
        <v>300432</v>
      </c>
      <c r="T5" s="32"/>
      <c r="U5" s="31">
        <f t="shared" ref="U5:U16" si="1">S5-G5</f>
        <v>0</v>
      </c>
      <c r="V5" s="32"/>
      <c r="W5" s="33">
        <f t="shared" ref="W5:W16" si="2">U5/C5/E5/F5</f>
        <v>0</v>
      </c>
    </row>
    <row r="6" spans="1:24" s="34" customFormat="1" ht="17.25" customHeight="1">
      <c r="A6" s="316"/>
      <c r="B6" s="23" t="s">
        <v>56</v>
      </c>
      <c r="C6" s="24">
        <v>8.5</v>
      </c>
      <c r="D6" s="25">
        <v>14</v>
      </c>
      <c r="E6" s="26">
        <v>114.4510375578803</v>
      </c>
      <c r="F6" s="27">
        <v>24.5</v>
      </c>
      <c r="G6" s="28">
        <f>C6*D6*E6*F6</f>
        <v>333682</v>
      </c>
      <c r="H6" s="28"/>
      <c r="I6" s="28">
        <f t="shared" ref="I6:I16" si="3">SUM(G6:H6)</f>
        <v>333682</v>
      </c>
      <c r="J6" s="35">
        <v>345000</v>
      </c>
      <c r="K6" s="35">
        <v>269192</v>
      </c>
      <c r="L6" s="28">
        <v>320312</v>
      </c>
      <c r="M6" s="28">
        <v>31543</v>
      </c>
      <c r="N6" s="28"/>
      <c r="O6" s="30"/>
      <c r="P6" s="28">
        <v>0</v>
      </c>
      <c r="Q6" s="31">
        <f t="shared" si="0"/>
        <v>31543</v>
      </c>
      <c r="R6" s="31">
        <v>333682</v>
      </c>
      <c r="S6" s="31">
        <f>R6+U5</f>
        <v>333682</v>
      </c>
      <c r="T6" s="32"/>
      <c r="U6" s="31">
        <f t="shared" si="1"/>
        <v>0</v>
      </c>
      <c r="V6" s="32"/>
      <c r="W6" s="33">
        <f t="shared" si="2"/>
        <v>0</v>
      </c>
    </row>
    <row r="7" spans="1:24" s="34" customFormat="1" ht="17.25" customHeight="1">
      <c r="A7" s="316"/>
      <c r="B7" s="23" t="s">
        <v>57</v>
      </c>
      <c r="C7" s="24">
        <v>8</v>
      </c>
      <c r="D7" s="25">
        <v>12</v>
      </c>
      <c r="E7" s="26">
        <v>123</v>
      </c>
      <c r="F7" s="27">
        <v>24.5</v>
      </c>
      <c r="G7" s="28">
        <f>C7*D7*E7*F7</f>
        <v>289296</v>
      </c>
      <c r="H7" s="28"/>
      <c r="I7" s="28">
        <f t="shared" si="3"/>
        <v>289296</v>
      </c>
      <c r="J7" s="35">
        <v>305000</v>
      </c>
      <c r="K7" s="35">
        <v>319594</v>
      </c>
      <c r="L7" s="28">
        <v>273672</v>
      </c>
      <c r="M7" s="28">
        <v>109403</v>
      </c>
      <c r="N7" s="28"/>
      <c r="O7" s="30"/>
      <c r="P7" s="28">
        <v>0</v>
      </c>
      <c r="Q7" s="31">
        <f t="shared" si="0"/>
        <v>109403</v>
      </c>
      <c r="R7" s="28">
        <v>141106</v>
      </c>
      <c r="S7" s="31">
        <f t="shared" ref="S7:S16" si="4">R7+U6</f>
        <v>141106</v>
      </c>
      <c r="T7" s="32"/>
      <c r="U7" s="31">
        <f t="shared" si="1"/>
        <v>-148190</v>
      </c>
      <c r="V7" s="32"/>
      <c r="W7" s="33">
        <f t="shared" si="2"/>
        <v>-6.1469221835075487</v>
      </c>
      <c r="X7" s="36"/>
    </row>
    <row r="8" spans="1:24" s="34" customFormat="1" ht="16.5" customHeight="1">
      <c r="A8" s="316"/>
      <c r="B8" s="23" t="s">
        <v>58</v>
      </c>
      <c r="C8" s="24">
        <v>8</v>
      </c>
      <c r="D8" s="25">
        <v>12</v>
      </c>
      <c r="E8" s="26">
        <v>123</v>
      </c>
      <c r="F8" s="27">
        <v>24</v>
      </c>
      <c r="G8" s="28">
        <f t="shared" ref="G8:G16" si="5">C8*D8*E8*F8</f>
        <v>283392</v>
      </c>
      <c r="H8" s="28"/>
      <c r="I8" s="28">
        <f t="shared" si="3"/>
        <v>283392</v>
      </c>
      <c r="J8" s="35">
        <v>305000</v>
      </c>
      <c r="K8" s="35">
        <v>133129</v>
      </c>
      <c r="L8" s="28">
        <v>254191</v>
      </c>
      <c r="M8" s="28">
        <v>124786</v>
      </c>
      <c r="N8" s="28"/>
      <c r="O8" s="30"/>
      <c r="P8" s="28">
        <v>0</v>
      </c>
      <c r="Q8" s="31">
        <f t="shared" si="0"/>
        <v>124786</v>
      </c>
      <c r="R8" s="28">
        <f t="shared" ref="R8:R16" si="6">Q8</f>
        <v>124786</v>
      </c>
      <c r="S8" s="31">
        <f t="shared" si="4"/>
        <v>-23404</v>
      </c>
      <c r="T8" s="32"/>
      <c r="U8" s="31">
        <f t="shared" si="1"/>
        <v>-306796</v>
      </c>
      <c r="V8" s="32"/>
      <c r="W8" s="33">
        <f t="shared" si="2"/>
        <v>-12.991023035230354</v>
      </c>
      <c r="X8" s="36"/>
    </row>
    <row r="9" spans="1:24" s="34" customFormat="1" ht="17.25" customHeight="1">
      <c r="A9" s="316"/>
      <c r="B9" s="23" t="s">
        <v>59</v>
      </c>
      <c r="C9" s="24">
        <v>8</v>
      </c>
      <c r="D9" s="37">
        <v>12</v>
      </c>
      <c r="E9" s="26">
        <v>125</v>
      </c>
      <c r="F9" s="27">
        <v>24</v>
      </c>
      <c r="G9" s="28">
        <f t="shared" si="5"/>
        <v>288000</v>
      </c>
      <c r="H9" s="28"/>
      <c r="I9" s="28">
        <f t="shared" si="3"/>
        <v>288000</v>
      </c>
      <c r="J9" s="35">
        <v>315000</v>
      </c>
      <c r="K9" s="35">
        <v>275137</v>
      </c>
      <c r="L9" s="28">
        <v>345386</v>
      </c>
      <c r="M9" s="28">
        <v>249185</v>
      </c>
      <c r="N9" s="28"/>
      <c r="O9" s="30"/>
      <c r="P9" s="28">
        <v>0</v>
      </c>
      <c r="Q9" s="31">
        <f t="shared" si="0"/>
        <v>249185</v>
      </c>
      <c r="R9" s="28">
        <f t="shared" si="6"/>
        <v>249185</v>
      </c>
      <c r="S9" s="31">
        <f t="shared" si="4"/>
        <v>-57611</v>
      </c>
      <c r="T9" s="32"/>
      <c r="U9" s="31">
        <f t="shared" si="1"/>
        <v>-345611</v>
      </c>
      <c r="V9" s="32"/>
      <c r="W9" s="33">
        <f t="shared" si="2"/>
        <v>-14.400458333333333</v>
      </c>
    </row>
    <row r="10" spans="1:24" s="34" customFormat="1" ht="17.25" customHeight="1">
      <c r="A10" s="316"/>
      <c r="B10" s="38" t="s">
        <v>60</v>
      </c>
      <c r="C10" s="24">
        <v>8</v>
      </c>
      <c r="D10" s="39">
        <v>13</v>
      </c>
      <c r="E10" s="26">
        <v>125</v>
      </c>
      <c r="F10" s="27">
        <v>24</v>
      </c>
      <c r="G10" s="28">
        <f t="shared" si="5"/>
        <v>312000</v>
      </c>
      <c r="H10" s="28"/>
      <c r="I10" s="28">
        <f t="shared" si="3"/>
        <v>312000</v>
      </c>
      <c r="J10" s="35">
        <v>340000</v>
      </c>
      <c r="K10" s="35">
        <v>135373</v>
      </c>
      <c r="L10" s="28">
        <v>174398</v>
      </c>
      <c r="M10" s="28">
        <v>134824</v>
      </c>
      <c r="N10" s="28"/>
      <c r="O10" s="30"/>
      <c r="P10" s="28">
        <v>48664</v>
      </c>
      <c r="Q10" s="31">
        <f t="shared" si="0"/>
        <v>183488</v>
      </c>
      <c r="R10" s="28">
        <f t="shared" si="6"/>
        <v>183488</v>
      </c>
      <c r="S10" s="31">
        <f t="shared" si="4"/>
        <v>-162123</v>
      </c>
      <c r="T10" s="32"/>
      <c r="U10" s="31">
        <f t="shared" si="1"/>
        <v>-474123</v>
      </c>
      <c r="V10" s="40"/>
      <c r="W10" s="41">
        <f t="shared" si="2"/>
        <v>-19.755125</v>
      </c>
    </row>
    <row r="11" spans="1:24" s="42" customFormat="1" ht="17.25" customHeight="1">
      <c r="A11" s="316"/>
      <c r="B11" s="23" t="s">
        <v>61</v>
      </c>
      <c r="C11" s="24">
        <v>8</v>
      </c>
      <c r="D11" s="25">
        <v>13</v>
      </c>
      <c r="E11" s="26">
        <v>120</v>
      </c>
      <c r="F11" s="27">
        <v>24</v>
      </c>
      <c r="G11" s="28">
        <f t="shared" si="5"/>
        <v>299520</v>
      </c>
      <c r="H11" s="28"/>
      <c r="I11" s="28">
        <f t="shared" si="3"/>
        <v>299520</v>
      </c>
      <c r="J11" s="35">
        <v>380000</v>
      </c>
      <c r="K11" s="35">
        <v>97048</v>
      </c>
      <c r="L11" s="28">
        <v>172509</v>
      </c>
      <c r="M11" s="28">
        <v>121440</v>
      </c>
      <c r="N11" s="28"/>
      <c r="O11" s="30"/>
      <c r="P11" s="28">
        <v>28037</v>
      </c>
      <c r="Q11" s="31">
        <f t="shared" si="0"/>
        <v>149477</v>
      </c>
      <c r="R11" s="28">
        <f t="shared" si="6"/>
        <v>149477</v>
      </c>
      <c r="S11" s="31">
        <f t="shared" si="4"/>
        <v>-324646</v>
      </c>
      <c r="T11" s="32"/>
      <c r="U11" s="31">
        <f t="shared" si="1"/>
        <v>-624166</v>
      </c>
      <c r="V11" s="40"/>
      <c r="W11" s="41">
        <f t="shared" si="2"/>
        <v>-27.090538194444445</v>
      </c>
    </row>
    <row r="12" spans="1:24" s="42" customFormat="1" ht="17.25" customHeight="1">
      <c r="A12" s="316"/>
      <c r="B12" s="23" t="s">
        <v>62</v>
      </c>
      <c r="C12" s="24">
        <v>8</v>
      </c>
      <c r="D12" s="25">
        <v>13</v>
      </c>
      <c r="E12" s="26">
        <v>120</v>
      </c>
      <c r="F12" s="27">
        <v>24</v>
      </c>
      <c r="G12" s="28">
        <f t="shared" si="5"/>
        <v>299520</v>
      </c>
      <c r="H12" s="28"/>
      <c r="I12" s="28">
        <f t="shared" si="3"/>
        <v>299520</v>
      </c>
      <c r="J12" s="35">
        <v>325000</v>
      </c>
      <c r="K12" s="35">
        <v>28690</v>
      </c>
      <c r="L12" s="28">
        <v>39453</v>
      </c>
      <c r="M12" s="28">
        <v>28490</v>
      </c>
      <c r="N12" s="28"/>
      <c r="O12" s="30"/>
      <c r="P12" s="28">
        <v>236708</v>
      </c>
      <c r="Q12" s="31">
        <f t="shared" si="0"/>
        <v>265198</v>
      </c>
      <c r="R12" s="28">
        <f t="shared" si="6"/>
        <v>265198</v>
      </c>
      <c r="S12" s="31">
        <f t="shared" si="4"/>
        <v>-358968</v>
      </c>
      <c r="T12" s="32"/>
      <c r="U12" s="31">
        <f t="shared" si="1"/>
        <v>-658488</v>
      </c>
      <c r="V12" s="40"/>
      <c r="W12" s="41">
        <f t="shared" si="2"/>
        <v>-28.580208333333331</v>
      </c>
    </row>
    <row r="13" spans="1:24" s="42" customFormat="1" ht="17.25" customHeight="1">
      <c r="A13" s="316"/>
      <c r="B13" s="23" t="s">
        <v>63</v>
      </c>
      <c r="C13" s="24">
        <v>8</v>
      </c>
      <c r="D13" s="25">
        <v>13</v>
      </c>
      <c r="E13" s="26">
        <v>120</v>
      </c>
      <c r="F13" s="27">
        <v>24.5</v>
      </c>
      <c r="G13" s="28">
        <f t="shared" si="5"/>
        <v>305760</v>
      </c>
      <c r="H13" s="28"/>
      <c r="I13" s="28">
        <f t="shared" si="3"/>
        <v>305760</v>
      </c>
      <c r="J13" s="35">
        <v>365000</v>
      </c>
      <c r="K13" s="35">
        <v>19244</v>
      </c>
      <c r="L13" s="28">
        <v>27487</v>
      </c>
      <c r="M13" s="28">
        <v>19244</v>
      </c>
      <c r="N13" s="28"/>
      <c r="O13" s="30"/>
      <c r="P13" s="28">
        <v>184576</v>
      </c>
      <c r="Q13" s="31">
        <f t="shared" si="0"/>
        <v>203820</v>
      </c>
      <c r="R13" s="28">
        <f t="shared" si="6"/>
        <v>203820</v>
      </c>
      <c r="S13" s="31">
        <f t="shared" si="4"/>
        <v>-454668</v>
      </c>
      <c r="T13" s="32"/>
      <c r="U13" s="31">
        <f t="shared" si="1"/>
        <v>-760428</v>
      </c>
      <c r="V13" s="40"/>
      <c r="W13" s="41">
        <f t="shared" si="2"/>
        <v>-32.331122448979592</v>
      </c>
    </row>
    <row r="14" spans="1:24" s="42" customFormat="1" ht="17.25" customHeight="1">
      <c r="A14" s="316"/>
      <c r="B14" s="23" t="s">
        <v>64</v>
      </c>
      <c r="C14" s="24">
        <v>8</v>
      </c>
      <c r="D14" s="25">
        <v>14</v>
      </c>
      <c r="E14" s="26">
        <v>120</v>
      </c>
      <c r="F14" s="27">
        <v>24.5</v>
      </c>
      <c r="G14" s="28">
        <f t="shared" si="5"/>
        <v>329280</v>
      </c>
      <c r="H14" s="28"/>
      <c r="I14" s="28">
        <f t="shared" si="3"/>
        <v>329280</v>
      </c>
      <c r="J14" s="35">
        <v>390000</v>
      </c>
      <c r="K14" s="35">
        <v>16880</v>
      </c>
      <c r="L14" s="28">
        <v>20787</v>
      </c>
      <c r="M14" s="28">
        <v>17323</v>
      </c>
      <c r="N14" s="28"/>
      <c r="O14" s="30"/>
      <c r="P14" s="28">
        <v>288032</v>
      </c>
      <c r="Q14" s="31">
        <f t="shared" si="0"/>
        <v>305355</v>
      </c>
      <c r="R14" s="28">
        <f t="shared" si="6"/>
        <v>305355</v>
      </c>
      <c r="S14" s="31">
        <f t="shared" si="4"/>
        <v>-455073</v>
      </c>
      <c r="T14" s="32"/>
      <c r="U14" s="31">
        <f t="shared" si="1"/>
        <v>-784353</v>
      </c>
      <c r="V14" s="32">
        <v>44043</v>
      </c>
      <c r="W14" s="41">
        <f t="shared" si="2"/>
        <v>-33.34834183673469</v>
      </c>
    </row>
    <row r="15" spans="1:24" s="42" customFormat="1" ht="17.25" customHeight="1">
      <c r="A15" s="316"/>
      <c r="B15" s="23" t="s">
        <v>65</v>
      </c>
      <c r="C15" s="24">
        <v>8</v>
      </c>
      <c r="D15" s="43">
        <v>13</v>
      </c>
      <c r="E15" s="35">
        <v>120</v>
      </c>
      <c r="F15" s="27">
        <v>24.5</v>
      </c>
      <c r="G15" s="28">
        <f t="shared" si="5"/>
        <v>305760</v>
      </c>
      <c r="H15" s="28"/>
      <c r="I15" s="28">
        <f t="shared" si="3"/>
        <v>305760</v>
      </c>
      <c r="J15" s="35">
        <v>375000</v>
      </c>
      <c r="K15" s="35">
        <v>21318</v>
      </c>
      <c r="L15" s="28">
        <v>20695</v>
      </c>
      <c r="M15" s="28">
        <v>20558</v>
      </c>
      <c r="N15" s="28"/>
      <c r="O15" s="30"/>
      <c r="P15" s="28">
        <v>76143</v>
      </c>
      <c r="Q15" s="31">
        <f t="shared" si="0"/>
        <v>96701</v>
      </c>
      <c r="R15" s="28">
        <f t="shared" si="6"/>
        <v>96701</v>
      </c>
      <c r="S15" s="31">
        <f t="shared" si="4"/>
        <v>-687652</v>
      </c>
      <c r="T15" s="32">
        <v>44043</v>
      </c>
      <c r="U15" s="31">
        <f t="shared" si="1"/>
        <v>-993412</v>
      </c>
      <c r="V15" s="40">
        <v>44058</v>
      </c>
      <c r="W15" s="41">
        <f t="shared" si="2"/>
        <v>-42.236904761904761</v>
      </c>
    </row>
    <row r="16" spans="1:24" s="42" customFormat="1" ht="17.25" customHeight="1">
      <c r="A16" s="316"/>
      <c r="B16" s="23" t="s">
        <v>66</v>
      </c>
      <c r="C16" s="24">
        <v>8</v>
      </c>
      <c r="D16" s="43">
        <v>13</v>
      </c>
      <c r="E16" s="35">
        <v>120</v>
      </c>
      <c r="F16" s="27">
        <v>24.5</v>
      </c>
      <c r="G16" s="28">
        <f t="shared" si="5"/>
        <v>305760</v>
      </c>
      <c r="H16" s="28"/>
      <c r="I16" s="28">
        <f t="shared" si="3"/>
        <v>305760</v>
      </c>
      <c r="J16" s="35">
        <v>375000</v>
      </c>
      <c r="K16" s="35">
        <v>4949</v>
      </c>
      <c r="L16" s="28">
        <v>4949</v>
      </c>
      <c r="M16" s="28">
        <v>4949</v>
      </c>
      <c r="N16" s="28"/>
      <c r="O16" s="30"/>
      <c r="P16" s="28">
        <v>94410</v>
      </c>
      <c r="Q16" s="31">
        <f t="shared" si="0"/>
        <v>99359</v>
      </c>
      <c r="R16" s="28">
        <f t="shared" si="6"/>
        <v>99359</v>
      </c>
      <c r="S16" s="31">
        <f t="shared" si="4"/>
        <v>-894053</v>
      </c>
      <c r="T16" s="40">
        <v>44058</v>
      </c>
      <c r="U16" s="31">
        <f t="shared" si="1"/>
        <v>-1199813</v>
      </c>
      <c r="V16" s="40">
        <v>44074</v>
      </c>
      <c r="W16" s="41">
        <f t="shared" si="2"/>
        <v>-51.012457482993199</v>
      </c>
    </row>
    <row r="17" spans="1:23" s="42" customFormat="1" ht="17.25" customHeight="1">
      <c r="A17" s="317" t="s">
        <v>51</v>
      </c>
      <c r="B17" s="318"/>
      <c r="C17" s="44"/>
      <c r="D17" s="45"/>
      <c r="E17" s="35"/>
      <c r="F17" s="45"/>
      <c r="G17" s="35">
        <f>SUM(G5:G16)</f>
        <v>3652402</v>
      </c>
      <c r="H17" s="35">
        <f>SUM(H5:H16)</f>
        <v>0</v>
      </c>
      <c r="I17" s="35">
        <f>SUM(I5:I16)</f>
        <v>3652402</v>
      </c>
      <c r="J17" s="35">
        <f>SUM(J5:J16)</f>
        <v>4115000</v>
      </c>
      <c r="K17" s="46">
        <f>SUM(K5:K16)</f>
        <v>1622197</v>
      </c>
      <c r="L17" s="46">
        <f t="shared" ref="L17:Q17" si="7">SUM(L5:L16)</f>
        <v>1843251</v>
      </c>
      <c r="M17" s="46">
        <f>SUM(M5:M16)</f>
        <v>861905</v>
      </c>
      <c r="N17" s="46"/>
      <c r="O17" s="46"/>
      <c r="P17" s="46">
        <f t="shared" si="7"/>
        <v>956570</v>
      </c>
      <c r="Q17" s="46">
        <f t="shared" si="7"/>
        <v>1818475</v>
      </c>
      <c r="R17" s="46">
        <f>SUM(R5:R16)</f>
        <v>2452589</v>
      </c>
      <c r="S17" s="47"/>
      <c r="T17" s="48"/>
      <c r="U17" s="49"/>
      <c r="V17" s="50"/>
      <c r="W17" s="51"/>
    </row>
    <row r="18" spans="1:23" s="60" customFormat="1" ht="17.25" customHeight="1">
      <c r="A18" s="319" t="s">
        <v>52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1"/>
      <c r="K18" s="52">
        <f>K17/J17</f>
        <v>0.39421555285540705</v>
      </c>
      <c r="L18" s="53">
        <f>L17/J17</f>
        <v>0.44793462940461726</v>
      </c>
      <c r="M18" s="53"/>
      <c r="N18" s="53"/>
      <c r="O18" s="53"/>
      <c r="P18" s="54">
        <f>P17/J17</f>
        <v>0.23245929526123937</v>
      </c>
      <c r="Q18" s="55"/>
      <c r="R18" s="56"/>
      <c r="S18" s="57"/>
      <c r="T18" s="58"/>
      <c r="U18" s="59"/>
      <c r="V18" s="58"/>
      <c r="W18" s="59"/>
    </row>
    <row r="19" spans="1:23" s="60" customFormat="1" ht="17.25" hidden="1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2"/>
      <c r="M19" s="62"/>
      <c r="N19" s="62"/>
      <c r="O19" s="62"/>
      <c r="P19" s="63"/>
      <c r="Q19" s="64"/>
      <c r="R19" s="65"/>
      <c r="S19" s="66"/>
      <c r="T19" s="67"/>
      <c r="U19" s="66"/>
      <c r="V19" s="67"/>
      <c r="W19" s="66"/>
    </row>
    <row r="20" spans="1:23" s="60" customFormat="1" ht="17.25" hidden="1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62"/>
      <c r="N20" s="62"/>
      <c r="O20" s="62"/>
      <c r="P20" s="63"/>
      <c r="Q20" s="64"/>
      <c r="R20" s="65"/>
      <c r="S20" s="66"/>
      <c r="T20" s="67"/>
      <c r="U20" s="66"/>
      <c r="V20" s="67"/>
      <c r="W20" s="66"/>
    </row>
    <row r="21" spans="1:23">
      <c r="E21" s="68"/>
      <c r="P21" s="70"/>
      <c r="R21" s="70">
        <f>R17-I17</f>
        <v>-1199813</v>
      </c>
      <c r="S21" s="71">
        <f>S16-I16</f>
        <v>-1199813</v>
      </c>
    </row>
    <row r="22" spans="1:23">
      <c r="I22" s="73"/>
      <c r="R22" s="73"/>
      <c r="S22" s="73"/>
    </row>
    <row r="23" spans="1:23">
      <c r="I23" s="73">
        <f>SUM(I5:I15)</f>
        <v>3346642</v>
      </c>
      <c r="P23" s="74">
        <f>P17+L17</f>
        <v>2799821</v>
      </c>
      <c r="Q23" s="73">
        <f>P23-R17</f>
        <v>347232</v>
      </c>
      <c r="R23" s="71"/>
      <c r="S23" s="73"/>
      <c r="U23" s="71"/>
    </row>
    <row r="24" spans="1:23">
      <c r="G24" s="61" t="s">
        <v>54</v>
      </c>
      <c r="M24" s="74">
        <f>L17-M17</f>
        <v>981346</v>
      </c>
      <c r="N24" s="74">
        <f>M24-Q23</f>
        <v>634114</v>
      </c>
    </row>
    <row r="218" spans="9:9">
      <c r="I218" s="61">
        <v>2</v>
      </c>
    </row>
  </sheetData>
  <mergeCells count="6">
    <mergeCell ref="A18:J18"/>
    <mergeCell ref="L2:O2"/>
    <mergeCell ref="L3:M3"/>
    <mergeCell ref="N3:O3"/>
    <mergeCell ref="A5:A16"/>
    <mergeCell ref="A17:B17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9"/>
  <dimension ref="A1:X218"/>
  <sheetViews>
    <sheetView zoomScale="60" zoomScaleNormal="60" workbookViewId="0">
      <pane xSplit="10" ySplit="4" topLeftCell="L5" activePane="bottomRight" state="frozen"/>
      <selection activeCell="M27" sqref="M27"/>
      <selection pane="topRight" activeCell="M27" sqref="M27"/>
      <selection pane="bottomLeft" activeCell="M27" sqref="M27"/>
      <selection pane="bottomRight" activeCell="A5" sqref="A5:A16"/>
    </sheetView>
  </sheetViews>
  <sheetFormatPr defaultColWidth="10.6640625" defaultRowHeight="15.6"/>
  <cols>
    <col min="1" max="1" width="12.44140625" style="61" customWidth="1"/>
    <col min="2" max="2" width="9.21875" style="61" customWidth="1"/>
    <col min="3" max="3" width="9.77734375" style="61" customWidth="1"/>
    <col min="4" max="4" width="11.21875" style="61" customWidth="1"/>
    <col min="5" max="6" width="9.77734375" style="61" customWidth="1"/>
    <col min="7" max="7" width="11.6640625" style="61" customWidth="1"/>
    <col min="8" max="8" width="10.88671875" style="61" customWidth="1"/>
    <col min="9" max="9" width="11.77734375" style="61" customWidth="1"/>
    <col min="10" max="10" width="13.44140625" style="61" customWidth="1"/>
    <col min="11" max="11" width="16" style="61" customWidth="1"/>
    <col min="12" max="12" width="15.77734375" style="69" bestFit="1" customWidth="1"/>
    <col min="13" max="14" width="15.77734375" style="69" customWidth="1"/>
    <col min="15" max="15" width="16.33203125" style="69" hidden="1" customWidth="1"/>
    <col min="16" max="16" width="19" style="69" customWidth="1"/>
    <col min="17" max="17" width="15" style="61" customWidth="1"/>
    <col min="18" max="18" width="18.109375" style="61" customWidth="1"/>
    <col min="19" max="19" width="21.88671875" style="61" hidden="1" customWidth="1"/>
    <col min="20" max="20" width="10.33203125" style="72" customWidth="1"/>
    <col min="21" max="21" width="15.6640625" style="61" customWidth="1"/>
    <col min="22" max="22" width="8.109375" style="72" customWidth="1"/>
    <col min="23" max="23" width="11.109375" style="61" bestFit="1" customWidth="1"/>
    <col min="24" max="24" width="14.109375" style="61" customWidth="1"/>
    <col min="25" max="16384" width="10.6640625" style="61"/>
  </cols>
  <sheetData>
    <row r="1" spans="1:24" s="5" customFormat="1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>
        <v>43910</v>
      </c>
      <c r="V1" s="4"/>
    </row>
    <row r="2" spans="1:24" s="16" customFormat="1" ht="86.25" customHeight="1">
      <c r="A2" s="6" t="s">
        <v>1</v>
      </c>
      <c r="B2" s="7" t="s">
        <v>2</v>
      </c>
      <c r="C2" s="8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9" t="s">
        <v>8</v>
      </c>
      <c r="I2" s="9" t="s">
        <v>9</v>
      </c>
      <c r="J2" s="6" t="s">
        <v>10</v>
      </c>
      <c r="K2" s="6" t="s">
        <v>11</v>
      </c>
      <c r="L2" s="364" t="s">
        <v>12</v>
      </c>
      <c r="M2" s="365"/>
      <c r="N2" s="365"/>
      <c r="O2" s="366"/>
      <c r="P2" s="10" t="s">
        <v>13</v>
      </c>
      <c r="Q2" s="10" t="s">
        <v>14</v>
      </c>
      <c r="R2" s="10" t="s">
        <v>15</v>
      </c>
      <c r="S2" s="11" t="s">
        <v>16</v>
      </c>
      <c r="T2" s="12"/>
      <c r="U2" s="13" t="s">
        <v>17</v>
      </c>
      <c r="V2" s="14"/>
      <c r="W2" s="15" t="s">
        <v>18</v>
      </c>
    </row>
    <row r="3" spans="1:24" s="16" customFormat="1" ht="86.25" customHeight="1">
      <c r="A3" s="6"/>
      <c r="B3" s="7"/>
      <c r="C3" s="8"/>
      <c r="D3" s="6"/>
      <c r="E3" s="6"/>
      <c r="F3" s="6"/>
      <c r="G3" s="6"/>
      <c r="H3" s="9"/>
      <c r="I3" s="9"/>
      <c r="J3" s="6"/>
      <c r="K3" s="6"/>
      <c r="L3" s="312" t="s">
        <v>19</v>
      </c>
      <c r="M3" s="313"/>
      <c r="N3" s="313" t="s">
        <v>20</v>
      </c>
      <c r="O3" s="367"/>
      <c r="P3" s="10"/>
      <c r="Q3" s="10"/>
      <c r="R3" s="10"/>
      <c r="S3" s="11"/>
      <c r="T3" s="12"/>
      <c r="U3" s="13"/>
      <c r="V3" s="14"/>
      <c r="W3" s="15"/>
    </row>
    <row r="4" spans="1:24" s="22" customFormat="1" ht="64.5" customHeight="1">
      <c r="A4" s="17" t="s">
        <v>21</v>
      </c>
      <c r="B4" s="18" t="s">
        <v>22</v>
      </c>
      <c r="C4" s="19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28</v>
      </c>
      <c r="I4" s="17" t="s">
        <v>29</v>
      </c>
      <c r="J4" s="17" t="s">
        <v>30</v>
      </c>
      <c r="K4" s="17"/>
      <c r="L4" s="17" t="s">
        <v>31</v>
      </c>
      <c r="M4" s="17" t="s">
        <v>32</v>
      </c>
      <c r="N4" s="17" t="s">
        <v>33</v>
      </c>
      <c r="O4" s="17" t="s">
        <v>34</v>
      </c>
      <c r="P4" s="17"/>
      <c r="Q4" s="17"/>
      <c r="R4" s="17" t="s">
        <v>35</v>
      </c>
      <c r="S4" s="17" t="s">
        <v>36</v>
      </c>
      <c r="T4" s="20"/>
      <c r="U4" s="17"/>
      <c r="V4" s="20"/>
      <c r="W4" s="21" t="s">
        <v>37</v>
      </c>
    </row>
    <row r="5" spans="1:24" s="34" customFormat="1" ht="17.25" customHeight="1">
      <c r="A5" s="315" t="s">
        <v>67</v>
      </c>
      <c r="B5" s="23" t="s">
        <v>55</v>
      </c>
      <c r="C5" s="24">
        <v>8.5</v>
      </c>
      <c r="D5" s="25">
        <v>12</v>
      </c>
      <c r="E5" s="26">
        <v>120.22088835534214</v>
      </c>
      <c r="F5" s="27">
        <v>24.5</v>
      </c>
      <c r="G5" s="28">
        <f>C5*D5*E5*F5</f>
        <v>300432</v>
      </c>
      <c r="H5" s="28"/>
      <c r="I5" s="28">
        <f>SUM(G5:H5)</f>
        <v>300432</v>
      </c>
      <c r="J5" s="29">
        <v>295000</v>
      </c>
      <c r="K5" s="29">
        <v>308917</v>
      </c>
      <c r="L5" s="28">
        <v>181803</v>
      </c>
      <c r="M5" s="28">
        <v>0</v>
      </c>
      <c r="N5" s="30"/>
      <c r="O5" s="30"/>
      <c r="P5" s="28">
        <v>0</v>
      </c>
      <c r="Q5" s="31">
        <f t="shared" ref="Q5:Q16" si="0">M5+N5-O5+P5</f>
        <v>0</v>
      </c>
      <c r="R5" s="31">
        <v>300432</v>
      </c>
      <c r="S5" s="31">
        <f>R5</f>
        <v>300432</v>
      </c>
      <c r="T5" s="32"/>
      <c r="U5" s="31">
        <f t="shared" ref="U5:U16" si="1">S5-G5</f>
        <v>0</v>
      </c>
      <c r="V5" s="32"/>
      <c r="W5" s="33">
        <f t="shared" ref="W5:W16" si="2">U5/C5/E5/F5</f>
        <v>0</v>
      </c>
    </row>
    <row r="6" spans="1:24" s="34" customFormat="1" ht="17.25" customHeight="1">
      <c r="A6" s="316"/>
      <c r="B6" s="23" t="s">
        <v>56</v>
      </c>
      <c r="C6" s="24">
        <v>8.5</v>
      </c>
      <c r="D6" s="25">
        <v>14</v>
      </c>
      <c r="E6" s="26">
        <v>122</v>
      </c>
      <c r="F6" s="27">
        <v>24.5</v>
      </c>
      <c r="G6" s="28">
        <f>C6*D6*E6*F6</f>
        <v>355691</v>
      </c>
      <c r="H6" s="28"/>
      <c r="I6" s="28">
        <f t="shared" ref="I6:I16" si="3">SUM(G6:H6)</f>
        <v>355691</v>
      </c>
      <c r="J6" s="35">
        <v>345000</v>
      </c>
      <c r="K6" s="35">
        <v>358547</v>
      </c>
      <c r="L6" s="28">
        <v>313888</v>
      </c>
      <c r="M6" s="28">
        <v>195259</v>
      </c>
      <c r="N6" s="28"/>
      <c r="O6" s="30"/>
      <c r="P6" s="28">
        <v>0</v>
      </c>
      <c r="Q6" s="31">
        <f t="shared" si="0"/>
        <v>195259</v>
      </c>
      <c r="R6" s="31">
        <f>SUM(Q5:Q6)</f>
        <v>195259</v>
      </c>
      <c r="S6" s="31">
        <f>R6+U5</f>
        <v>195259</v>
      </c>
      <c r="T6" s="32"/>
      <c r="U6" s="31">
        <f t="shared" si="1"/>
        <v>-160432</v>
      </c>
      <c r="V6" s="32"/>
      <c r="W6" s="33">
        <f t="shared" si="2"/>
        <v>-6.3146045303367258</v>
      </c>
    </row>
    <row r="7" spans="1:24" s="34" customFormat="1" ht="17.25" customHeight="1">
      <c r="A7" s="316"/>
      <c r="B7" s="23" t="s">
        <v>57</v>
      </c>
      <c r="C7" s="24">
        <v>8</v>
      </c>
      <c r="D7" s="25">
        <v>12</v>
      </c>
      <c r="E7" s="26">
        <v>123</v>
      </c>
      <c r="F7" s="27">
        <v>24.5</v>
      </c>
      <c r="G7" s="28">
        <f>C7*D7*E7*F7</f>
        <v>289296</v>
      </c>
      <c r="H7" s="28"/>
      <c r="I7" s="28">
        <f t="shared" si="3"/>
        <v>289296</v>
      </c>
      <c r="J7" s="35">
        <v>305000</v>
      </c>
      <c r="K7" s="35">
        <v>305021</v>
      </c>
      <c r="L7" s="28">
        <v>286577</v>
      </c>
      <c r="M7" s="28">
        <v>286577</v>
      </c>
      <c r="N7" s="28"/>
      <c r="O7" s="30"/>
      <c r="P7" s="28">
        <v>0</v>
      </c>
      <c r="Q7" s="31">
        <f t="shared" si="0"/>
        <v>286577</v>
      </c>
      <c r="R7" s="28">
        <f>Q7</f>
        <v>286577</v>
      </c>
      <c r="S7" s="31">
        <f t="shared" ref="S7:S16" si="4">R7+U6</f>
        <v>126145</v>
      </c>
      <c r="T7" s="32"/>
      <c r="U7" s="31">
        <f t="shared" si="1"/>
        <v>-163151</v>
      </c>
      <c r="V7" s="32"/>
      <c r="W7" s="33">
        <f t="shared" si="2"/>
        <v>-6.7675045628007302</v>
      </c>
      <c r="X7" s="36"/>
    </row>
    <row r="8" spans="1:24" s="34" customFormat="1" ht="16.5" customHeight="1">
      <c r="A8" s="316"/>
      <c r="B8" s="23" t="s">
        <v>58</v>
      </c>
      <c r="C8" s="24">
        <v>8</v>
      </c>
      <c r="D8" s="25">
        <v>12</v>
      </c>
      <c r="E8" s="26">
        <v>123</v>
      </c>
      <c r="F8" s="27">
        <v>24.5</v>
      </c>
      <c r="G8" s="28">
        <f t="shared" ref="G8:G16" si="5">C8*D8*E8*F8</f>
        <v>289296</v>
      </c>
      <c r="H8" s="28"/>
      <c r="I8" s="28">
        <f t="shared" si="3"/>
        <v>289296</v>
      </c>
      <c r="J8" s="35">
        <v>305000</v>
      </c>
      <c r="K8" s="35">
        <v>162491</v>
      </c>
      <c r="L8" s="28">
        <v>232641</v>
      </c>
      <c r="M8" s="28">
        <v>232641</v>
      </c>
      <c r="N8" s="28"/>
      <c r="O8" s="30"/>
      <c r="P8" s="28">
        <v>36926</v>
      </c>
      <c r="Q8" s="31">
        <f t="shared" si="0"/>
        <v>269567</v>
      </c>
      <c r="R8" s="28">
        <f t="shared" ref="R8:R16" si="6">Q8</f>
        <v>269567</v>
      </c>
      <c r="S8" s="31">
        <f t="shared" si="4"/>
        <v>106416</v>
      </c>
      <c r="T8" s="32"/>
      <c r="U8" s="31">
        <f t="shared" si="1"/>
        <v>-182880</v>
      </c>
      <c r="V8" s="32"/>
      <c r="W8" s="33">
        <f t="shared" si="2"/>
        <v>-7.5858636137381774</v>
      </c>
      <c r="X8" s="36"/>
    </row>
    <row r="9" spans="1:24" s="34" customFormat="1" ht="17.25" customHeight="1">
      <c r="A9" s="316"/>
      <c r="B9" s="23" t="s">
        <v>59</v>
      </c>
      <c r="C9" s="24">
        <v>8</v>
      </c>
      <c r="D9" s="37">
        <v>12</v>
      </c>
      <c r="E9" s="26">
        <v>125</v>
      </c>
      <c r="F9" s="27">
        <v>24.5</v>
      </c>
      <c r="G9" s="28">
        <f t="shared" si="5"/>
        <v>294000</v>
      </c>
      <c r="H9" s="28"/>
      <c r="I9" s="28">
        <f t="shared" si="3"/>
        <v>294000</v>
      </c>
      <c r="J9" s="35">
        <v>315000</v>
      </c>
      <c r="K9" s="35">
        <v>216715</v>
      </c>
      <c r="L9" s="28">
        <v>370733</v>
      </c>
      <c r="M9" s="28">
        <v>370733</v>
      </c>
      <c r="N9" s="28"/>
      <c r="O9" s="30"/>
      <c r="P9" s="28">
        <v>16853</v>
      </c>
      <c r="Q9" s="31">
        <f t="shared" si="0"/>
        <v>387586</v>
      </c>
      <c r="R9" s="28">
        <f t="shared" si="6"/>
        <v>387586</v>
      </c>
      <c r="S9" s="31">
        <f t="shared" si="4"/>
        <v>204706</v>
      </c>
      <c r="T9" s="32"/>
      <c r="U9" s="31">
        <f t="shared" si="1"/>
        <v>-89294</v>
      </c>
      <c r="V9" s="32"/>
      <c r="W9" s="33">
        <f t="shared" si="2"/>
        <v>-3.6446530612244898</v>
      </c>
    </row>
    <row r="10" spans="1:24" s="34" customFormat="1" ht="17.25" customHeight="1">
      <c r="A10" s="316"/>
      <c r="B10" s="38" t="s">
        <v>60</v>
      </c>
      <c r="C10" s="24">
        <v>8</v>
      </c>
      <c r="D10" s="39">
        <v>13</v>
      </c>
      <c r="E10" s="26">
        <v>125</v>
      </c>
      <c r="F10" s="27">
        <v>24.5</v>
      </c>
      <c r="G10" s="28">
        <f t="shared" si="5"/>
        <v>318500</v>
      </c>
      <c r="H10" s="28"/>
      <c r="I10" s="28">
        <f t="shared" si="3"/>
        <v>318500</v>
      </c>
      <c r="J10" s="35">
        <v>340000</v>
      </c>
      <c r="K10" s="35">
        <v>151455</v>
      </c>
      <c r="L10" s="28">
        <v>157549</v>
      </c>
      <c r="M10" s="28">
        <v>157549</v>
      </c>
      <c r="N10" s="28"/>
      <c r="O10" s="30"/>
      <c r="P10" s="28">
        <v>146708</v>
      </c>
      <c r="Q10" s="31">
        <f t="shared" si="0"/>
        <v>304257</v>
      </c>
      <c r="R10" s="28">
        <f t="shared" si="6"/>
        <v>304257</v>
      </c>
      <c r="S10" s="31">
        <f t="shared" si="4"/>
        <v>214963</v>
      </c>
      <c r="T10" s="32"/>
      <c r="U10" s="31">
        <f t="shared" si="1"/>
        <v>-103537</v>
      </c>
      <c r="V10" s="40"/>
      <c r="W10" s="41">
        <f t="shared" si="2"/>
        <v>-4.226</v>
      </c>
    </row>
    <row r="11" spans="1:24" s="42" customFormat="1" ht="17.25" customHeight="1">
      <c r="A11" s="316"/>
      <c r="B11" s="23" t="s">
        <v>61</v>
      </c>
      <c r="C11" s="24">
        <v>8</v>
      </c>
      <c r="D11" s="25">
        <v>13</v>
      </c>
      <c r="E11" s="26">
        <v>120</v>
      </c>
      <c r="F11" s="27">
        <v>24.5</v>
      </c>
      <c r="G11" s="28">
        <f t="shared" si="5"/>
        <v>305760</v>
      </c>
      <c r="H11" s="28"/>
      <c r="I11" s="28">
        <f t="shared" si="3"/>
        <v>305760</v>
      </c>
      <c r="J11" s="35">
        <v>380000</v>
      </c>
      <c r="K11" s="35">
        <v>22974</v>
      </c>
      <c r="L11" s="28">
        <v>126244</v>
      </c>
      <c r="M11" s="28">
        <v>126244</v>
      </c>
      <c r="N11" s="28"/>
      <c r="O11" s="30"/>
      <c r="P11" s="28">
        <v>277828</v>
      </c>
      <c r="Q11" s="31">
        <f t="shared" si="0"/>
        <v>404072</v>
      </c>
      <c r="R11" s="28">
        <f t="shared" si="6"/>
        <v>404072</v>
      </c>
      <c r="S11" s="31">
        <f t="shared" si="4"/>
        <v>300535</v>
      </c>
      <c r="T11" s="32"/>
      <c r="U11" s="31">
        <f t="shared" si="1"/>
        <v>-5225</v>
      </c>
      <c r="V11" s="40"/>
      <c r="W11" s="41">
        <f t="shared" si="2"/>
        <v>-0.22215136054421766</v>
      </c>
    </row>
    <row r="12" spans="1:24" s="42" customFormat="1" ht="17.25" customHeight="1">
      <c r="A12" s="316"/>
      <c r="B12" s="23" t="s">
        <v>62</v>
      </c>
      <c r="C12" s="24">
        <v>8</v>
      </c>
      <c r="D12" s="25">
        <v>13</v>
      </c>
      <c r="E12" s="26">
        <v>120</v>
      </c>
      <c r="F12" s="27">
        <v>24.5</v>
      </c>
      <c r="G12" s="28">
        <f t="shared" si="5"/>
        <v>305760</v>
      </c>
      <c r="H12" s="28"/>
      <c r="I12" s="28">
        <f t="shared" si="3"/>
        <v>305760</v>
      </c>
      <c r="J12" s="35">
        <v>325000</v>
      </c>
      <c r="K12" s="35">
        <v>14464</v>
      </c>
      <c r="L12" s="28">
        <v>39830</v>
      </c>
      <c r="M12" s="28">
        <v>39830</v>
      </c>
      <c r="N12" s="28"/>
      <c r="O12" s="30"/>
      <c r="P12" s="28">
        <v>330826</v>
      </c>
      <c r="Q12" s="31">
        <f t="shared" si="0"/>
        <v>370656</v>
      </c>
      <c r="R12" s="28">
        <f t="shared" si="6"/>
        <v>370656</v>
      </c>
      <c r="S12" s="31">
        <f t="shared" si="4"/>
        <v>365431</v>
      </c>
      <c r="T12" s="32"/>
      <c r="U12" s="31">
        <f t="shared" si="1"/>
        <v>59671</v>
      </c>
      <c r="V12" s="40"/>
      <c r="W12" s="41">
        <f t="shared" si="2"/>
        <v>2.5370323129251702</v>
      </c>
    </row>
    <row r="13" spans="1:24" s="42" customFormat="1" ht="17.25" customHeight="1">
      <c r="A13" s="316"/>
      <c r="B13" s="23" t="s">
        <v>63</v>
      </c>
      <c r="C13" s="24">
        <v>8</v>
      </c>
      <c r="D13" s="25">
        <v>13</v>
      </c>
      <c r="E13" s="26">
        <v>120</v>
      </c>
      <c r="F13" s="27">
        <v>24.5</v>
      </c>
      <c r="G13" s="28">
        <f t="shared" si="5"/>
        <v>305760</v>
      </c>
      <c r="H13" s="28"/>
      <c r="I13" s="28">
        <f t="shared" si="3"/>
        <v>305760</v>
      </c>
      <c r="J13" s="35">
        <v>365000</v>
      </c>
      <c r="K13" s="35">
        <v>5346</v>
      </c>
      <c r="L13" s="28">
        <v>24099</v>
      </c>
      <c r="M13" s="28">
        <v>24099</v>
      </c>
      <c r="N13" s="28"/>
      <c r="O13" s="30"/>
      <c r="P13" s="28">
        <v>159051</v>
      </c>
      <c r="Q13" s="31">
        <f t="shared" si="0"/>
        <v>183150</v>
      </c>
      <c r="R13" s="28">
        <f t="shared" si="6"/>
        <v>183150</v>
      </c>
      <c r="S13" s="31">
        <f t="shared" si="4"/>
        <v>242821</v>
      </c>
      <c r="T13" s="32"/>
      <c r="U13" s="31">
        <f t="shared" si="1"/>
        <v>-62939</v>
      </c>
      <c r="V13" s="40"/>
      <c r="W13" s="41">
        <f t="shared" si="2"/>
        <v>-2.6759778911564625</v>
      </c>
    </row>
    <row r="14" spans="1:24" s="42" customFormat="1" ht="17.25" customHeight="1">
      <c r="A14" s="316"/>
      <c r="B14" s="23" t="s">
        <v>64</v>
      </c>
      <c r="C14" s="24">
        <v>8</v>
      </c>
      <c r="D14" s="25">
        <v>14</v>
      </c>
      <c r="E14" s="26">
        <v>120</v>
      </c>
      <c r="F14" s="27">
        <v>24.5</v>
      </c>
      <c r="G14" s="28">
        <f t="shared" si="5"/>
        <v>329280</v>
      </c>
      <c r="H14" s="28"/>
      <c r="I14" s="28">
        <f t="shared" si="3"/>
        <v>329280</v>
      </c>
      <c r="J14" s="35">
        <v>390000</v>
      </c>
      <c r="K14" s="35">
        <v>4641</v>
      </c>
      <c r="L14" s="28">
        <v>14911</v>
      </c>
      <c r="M14" s="28">
        <v>14911</v>
      </c>
      <c r="N14" s="28"/>
      <c r="O14" s="30"/>
      <c r="P14" s="28">
        <v>252320</v>
      </c>
      <c r="Q14" s="31">
        <f t="shared" si="0"/>
        <v>267231</v>
      </c>
      <c r="R14" s="28">
        <f t="shared" si="6"/>
        <v>267231</v>
      </c>
      <c r="S14" s="31">
        <f>R14+U13</f>
        <v>204292</v>
      </c>
      <c r="T14" s="32"/>
      <c r="U14" s="31">
        <f t="shared" si="1"/>
        <v>-124988</v>
      </c>
      <c r="V14" s="40">
        <v>44043</v>
      </c>
      <c r="W14" s="41">
        <f t="shared" si="2"/>
        <v>-5.3141156462585029</v>
      </c>
    </row>
    <row r="15" spans="1:24" s="42" customFormat="1" ht="17.25" customHeight="1">
      <c r="A15" s="316"/>
      <c r="B15" s="23" t="s">
        <v>65</v>
      </c>
      <c r="C15" s="24">
        <v>8</v>
      </c>
      <c r="D15" s="43">
        <v>13</v>
      </c>
      <c r="E15" s="35">
        <v>120</v>
      </c>
      <c r="F15" s="27">
        <v>24.5</v>
      </c>
      <c r="G15" s="28">
        <f t="shared" si="5"/>
        <v>305760</v>
      </c>
      <c r="H15" s="28"/>
      <c r="I15" s="28">
        <f t="shared" si="3"/>
        <v>305760</v>
      </c>
      <c r="J15" s="35">
        <v>375000</v>
      </c>
      <c r="K15" s="35">
        <v>390</v>
      </c>
      <c r="L15" s="28">
        <v>12104</v>
      </c>
      <c r="M15" s="28">
        <v>12104</v>
      </c>
      <c r="N15" s="28"/>
      <c r="O15" s="30"/>
      <c r="P15" s="28">
        <v>140763</v>
      </c>
      <c r="Q15" s="31">
        <f t="shared" si="0"/>
        <v>152867</v>
      </c>
      <c r="R15" s="28">
        <f t="shared" si="6"/>
        <v>152867</v>
      </c>
      <c r="S15" s="31">
        <f t="shared" si="4"/>
        <v>27879</v>
      </c>
      <c r="T15" s="32">
        <v>44043</v>
      </c>
      <c r="U15" s="31">
        <f t="shared" si="1"/>
        <v>-277881</v>
      </c>
      <c r="V15" s="40">
        <v>44058</v>
      </c>
      <c r="W15" s="41">
        <f t="shared" si="2"/>
        <v>-11.81466836734694</v>
      </c>
    </row>
    <row r="16" spans="1:24" s="42" customFormat="1" ht="17.25" customHeight="1">
      <c r="A16" s="316"/>
      <c r="B16" s="23" t="s">
        <v>66</v>
      </c>
      <c r="C16" s="24">
        <v>8</v>
      </c>
      <c r="D16" s="43">
        <v>13</v>
      </c>
      <c r="E16" s="35">
        <v>120</v>
      </c>
      <c r="F16" s="27">
        <v>24.5</v>
      </c>
      <c r="G16" s="28">
        <f t="shared" si="5"/>
        <v>305760</v>
      </c>
      <c r="H16" s="28"/>
      <c r="I16" s="28">
        <f t="shared" si="3"/>
        <v>305760</v>
      </c>
      <c r="J16" s="35">
        <v>375000</v>
      </c>
      <c r="K16" s="35">
        <v>3011</v>
      </c>
      <c r="L16" s="28">
        <v>5889</v>
      </c>
      <c r="M16" s="28">
        <v>5889</v>
      </c>
      <c r="N16" s="28"/>
      <c r="O16" s="30"/>
      <c r="P16" s="28">
        <v>146067</v>
      </c>
      <c r="Q16" s="31">
        <f t="shared" si="0"/>
        <v>151956</v>
      </c>
      <c r="R16" s="28">
        <f t="shared" si="6"/>
        <v>151956</v>
      </c>
      <c r="S16" s="31">
        <f t="shared" si="4"/>
        <v>-125925</v>
      </c>
      <c r="T16" s="40">
        <v>44058</v>
      </c>
      <c r="U16" s="31">
        <f t="shared" si="1"/>
        <v>-431685</v>
      </c>
      <c r="V16" s="40">
        <v>44074</v>
      </c>
      <c r="W16" s="41">
        <f t="shared" si="2"/>
        <v>-18.353954081632654</v>
      </c>
    </row>
    <row r="17" spans="1:23" s="42" customFormat="1" ht="17.25" customHeight="1">
      <c r="A17" s="317" t="s">
        <v>51</v>
      </c>
      <c r="B17" s="318"/>
      <c r="C17" s="44"/>
      <c r="D17" s="45"/>
      <c r="E17" s="35"/>
      <c r="F17" s="45"/>
      <c r="G17" s="35">
        <f>SUM(G5:G16)</f>
        <v>3705295</v>
      </c>
      <c r="H17" s="35">
        <f>SUM(H5:H16)</f>
        <v>0</v>
      </c>
      <c r="I17" s="35">
        <f>SUM(I5:I16)</f>
        <v>3705295</v>
      </c>
      <c r="J17" s="35">
        <f>SUM(J5:J16)</f>
        <v>4115000</v>
      </c>
      <c r="K17" s="46">
        <f>SUM(K5:K16)</f>
        <v>1553972</v>
      </c>
      <c r="L17" s="46">
        <f t="shared" ref="L17:Q17" si="7">SUM(L5:L16)</f>
        <v>1766268</v>
      </c>
      <c r="M17" s="46">
        <f>SUM(M5:M16)</f>
        <v>1465836</v>
      </c>
      <c r="N17" s="46"/>
      <c r="O17" s="46"/>
      <c r="P17" s="46">
        <f t="shared" si="7"/>
        <v>1507342</v>
      </c>
      <c r="Q17" s="46">
        <f t="shared" si="7"/>
        <v>2973178</v>
      </c>
      <c r="R17" s="46">
        <f>SUM(R5:R16)</f>
        <v>3273610</v>
      </c>
      <c r="S17" s="47"/>
      <c r="T17" s="48"/>
      <c r="U17" s="49"/>
      <c r="V17" s="50"/>
      <c r="W17" s="51"/>
    </row>
    <row r="18" spans="1:23" s="60" customFormat="1" ht="17.25" customHeight="1">
      <c r="A18" s="319" t="s">
        <v>52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1"/>
      <c r="K18" s="52">
        <f>K17/J17</f>
        <v>0.37763596597812882</v>
      </c>
      <c r="L18" s="53">
        <f>L17/J17</f>
        <v>0.42922673147023088</v>
      </c>
      <c r="M18" s="53"/>
      <c r="N18" s="53"/>
      <c r="O18" s="53"/>
      <c r="P18" s="54">
        <f>P17/J17</f>
        <v>0.36630425273390038</v>
      </c>
      <c r="Q18" s="55"/>
      <c r="R18" s="56"/>
      <c r="S18" s="57"/>
      <c r="T18" s="58"/>
      <c r="U18" s="59"/>
      <c r="V18" s="58"/>
      <c r="W18" s="59"/>
    </row>
    <row r="19" spans="1:23" s="60" customFormat="1" ht="17.25" hidden="1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2"/>
      <c r="M19" s="62"/>
      <c r="N19" s="62"/>
      <c r="O19" s="62"/>
      <c r="P19" s="63"/>
      <c r="Q19" s="64"/>
      <c r="R19" s="65"/>
      <c r="S19" s="66"/>
      <c r="T19" s="67"/>
      <c r="U19" s="66"/>
      <c r="V19" s="67"/>
      <c r="W19" s="66"/>
    </row>
    <row r="20" spans="1:23" s="60" customFormat="1" ht="17.25" hidden="1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62"/>
      <c r="N20" s="62"/>
      <c r="O20" s="62"/>
      <c r="P20" s="63"/>
      <c r="Q20" s="64"/>
      <c r="R20" s="65"/>
      <c r="S20" s="66"/>
      <c r="T20" s="67"/>
      <c r="U20" s="66"/>
      <c r="V20" s="67"/>
      <c r="W20" s="66"/>
    </row>
    <row r="21" spans="1:23">
      <c r="E21" s="68"/>
      <c r="P21" s="70"/>
      <c r="R21" s="70"/>
      <c r="S21" s="71">
        <f>S16-I16</f>
        <v>-431685</v>
      </c>
    </row>
    <row r="22" spans="1:23">
      <c r="I22" s="73"/>
      <c r="Q22" s="73"/>
      <c r="R22" s="73">
        <f>R17-G17</f>
        <v>-431685</v>
      </c>
      <c r="S22" s="73"/>
    </row>
    <row r="23" spans="1:23">
      <c r="I23" s="73"/>
      <c r="R23" s="71"/>
      <c r="S23" s="73"/>
      <c r="U23" s="71"/>
    </row>
    <row r="24" spans="1:23">
      <c r="G24" s="61" t="s">
        <v>54</v>
      </c>
    </row>
    <row r="218" spans="9:9">
      <c r="I218" s="61">
        <v>2</v>
      </c>
    </row>
  </sheetData>
  <mergeCells count="6">
    <mergeCell ref="A18:J18"/>
    <mergeCell ref="L2:O2"/>
    <mergeCell ref="L3:M3"/>
    <mergeCell ref="N3:O3"/>
    <mergeCell ref="A5:A16"/>
    <mergeCell ref="A17:B17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0"/>
  <dimension ref="A1:X218"/>
  <sheetViews>
    <sheetView zoomScale="60" zoomScaleNormal="60" workbookViewId="0">
      <pane xSplit="10" ySplit="4" topLeftCell="K5" activePane="bottomRight" state="frozen"/>
      <selection activeCell="M27" sqref="M27"/>
      <selection pane="topRight" activeCell="M27" sqref="M27"/>
      <selection pane="bottomLeft" activeCell="M27" sqref="M27"/>
      <selection pane="bottomRight" activeCell="A5" sqref="A5:A16"/>
    </sheetView>
  </sheetViews>
  <sheetFormatPr defaultColWidth="10.6640625" defaultRowHeight="15.6"/>
  <cols>
    <col min="1" max="1" width="12.44140625" style="61" customWidth="1"/>
    <col min="2" max="2" width="9.21875" style="61" customWidth="1"/>
    <col min="3" max="3" width="9.77734375" style="61" customWidth="1"/>
    <col min="4" max="4" width="11.21875" style="61" customWidth="1"/>
    <col min="5" max="6" width="9.77734375" style="61" customWidth="1"/>
    <col min="7" max="7" width="11.6640625" style="61" customWidth="1"/>
    <col min="8" max="8" width="10.88671875" style="61" customWidth="1"/>
    <col min="9" max="9" width="11.77734375" style="61" customWidth="1"/>
    <col min="10" max="10" width="13.44140625" style="61" customWidth="1"/>
    <col min="11" max="11" width="16" style="61" customWidth="1"/>
    <col min="12" max="12" width="15.77734375" style="69" bestFit="1" customWidth="1"/>
    <col min="13" max="14" width="15.77734375" style="69" customWidth="1"/>
    <col min="15" max="15" width="16.33203125" style="69" hidden="1" customWidth="1"/>
    <col min="16" max="16" width="19" style="69" customWidth="1"/>
    <col min="17" max="17" width="15" style="61" customWidth="1"/>
    <col min="18" max="18" width="18.109375" style="61" customWidth="1"/>
    <col min="19" max="19" width="21.88671875" style="61" hidden="1" customWidth="1"/>
    <col min="20" max="20" width="10.33203125" style="72" customWidth="1"/>
    <col min="21" max="21" width="15.6640625" style="61" customWidth="1"/>
    <col min="22" max="22" width="8.109375" style="72" customWidth="1"/>
    <col min="23" max="23" width="11.109375" style="61" bestFit="1" customWidth="1"/>
    <col min="24" max="24" width="14.109375" style="61" customWidth="1"/>
    <col min="25" max="16384" width="10.6640625" style="61"/>
  </cols>
  <sheetData>
    <row r="1" spans="1:24" s="5" customFormat="1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>
        <v>43897</v>
      </c>
      <c r="V1" s="4"/>
    </row>
    <row r="2" spans="1:24" s="16" customFormat="1" ht="86.25" customHeight="1">
      <c r="A2" s="6" t="s">
        <v>1</v>
      </c>
      <c r="B2" s="7" t="s">
        <v>2</v>
      </c>
      <c r="C2" s="8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9" t="s">
        <v>8</v>
      </c>
      <c r="I2" s="9" t="s">
        <v>9</v>
      </c>
      <c r="J2" s="6" t="s">
        <v>10</v>
      </c>
      <c r="K2" s="6" t="s">
        <v>11</v>
      </c>
      <c r="L2" s="364" t="s">
        <v>12</v>
      </c>
      <c r="M2" s="365"/>
      <c r="N2" s="365"/>
      <c r="O2" s="366"/>
      <c r="P2" s="10" t="s">
        <v>13</v>
      </c>
      <c r="Q2" s="10" t="s">
        <v>14</v>
      </c>
      <c r="R2" s="10" t="s">
        <v>15</v>
      </c>
      <c r="S2" s="11" t="s">
        <v>16</v>
      </c>
      <c r="T2" s="12"/>
      <c r="U2" s="13" t="s">
        <v>17</v>
      </c>
      <c r="V2" s="14"/>
      <c r="W2" s="15" t="s">
        <v>18</v>
      </c>
    </row>
    <row r="3" spans="1:24" s="16" customFormat="1" ht="86.25" customHeight="1">
      <c r="A3" s="6"/>
      <c r="B3" s="7"/>
      <c r="C3" s="8"/>
      <c r="D3" s="6"/>
      <c r="E3" s="6"/>
      <c r="F3" s="6"/>
      <c r="G3" s="6"/>
      <c r="H3" s="9"/>
      <c r="I3" s="9"/>
      <c r="J3" s="6"/>
      <c r="K3" s="6"/>
      <c r="L3" s="312" t="s">
        <v>19</v>
      </c>
      <c r="M3" s="313"/>
      <c r="N3" s="313" t="s">
        <v>20</v>
      </c>
      <c r="O3" s="367"/>
      <c r="P3" s="10"/>
      <c r="Q3" s="10"/>
      <c r="R3" s="10"/>
      <c r="S3" s="11"/>
      <c r="T3" s="12"/>
      <c r="U3" s="13"/>
      <c r="V3" s="14"/>
      <c r="W3" s="15"/>
    </row>
    <row r="4" spans="1:24" s="22" customFormat="1" ht="64.5" customHeight="1">
      <c r="A4" s="17" t="s">
        <v>21</v>
      </c>
      <c r="B4" s="18" t="s">
        <v>22</v>
      </c>
      <c r="C4" s="19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28</v>
      </c>
      <c r="I4" s="17" t="s">
        <v>29</v>
      </c>
      <c r="J4" s="17" t="s">
        <v>30</v>
      </c>
      <c r="K4" s="17"/>
      <c r="L4" s="17" t="s">
        <v>31</v>
      </c>
      <c r="M4" s="17" t="s">
        <v>32</v>
      </c>
      <c r="N4" s="17" t="s">
        <v>33</v>
      </c>
      <c r="O4" s="17" t="s">
        <v>34</v>
      </c>
      <c r="P4" s="17"/>
      <c r="Q4" s="17"/>
      <c r="R4" s="17" t="s">
        <v>35</v>
      </c>
      <c r="S4" s="17" t="s">
        <v>36</v>
      </c>
      <c r="T4" s="20"/>
      <c r="U4" s="17"/>
      <c r="V4" s="20"/>
      <c r="W4" s="21" t="s">
        <v>37</v>
      </c>
    </row>
    <row r="5" spans="1:24" s="34" customFormat="1" ht="17.25" customHeight="1">
      <c r="A5" s="315" t="s">
        <v>67</v>
      </c>
      <c r="B5" s="23" t="s">
        <v>55</v>
      </c>
      <c r="C5" s="24">
        <v>8.5</v>
      </c>
      <c r="D5" s="25">
        <v>12</v>
      </c>
      <c r="E5" s="26">
        <v>122</v>
      </c>
      <c r="F5" s="27">
        <v>24.5</v>
      </c>
      <c r="G5" s="28">
        <f>C5*D5*E5*F5</f>
        <v>304878</v>
      </c>
      <c r="H5" s="28"/>
      <c r="I5" s="28">
        <f>SUM(G5:H5)</f>
        <v>304878</v>
      </c>
      <c r="J5" s="29">
        <v>295000</v>
      </c>
      <c r="K5" s="29">
        <v>306911</v>
      </c>
      <c r="L5" s="28">
        <v>193998</v>
      </c>
      <c r="M5" s="28">
        <v>193998</v>
      </c>
      <c r="N5" s="30"/>
      <c r="O5" s="30"/>
      <c r="P5" s="28">
        <v>0</v>
      </c>
      <c r="Q5" s="31">
        <f t="shared" ref="Q5:Q16" si="0">M5+N5-O5+P5</f>
        <v>193998</v>
      </c>
      <c r="R5" s="28">
        <f>Q5</f>
        <v>193998</v>
      </c>
      <c r="S5" s="31">
        <f>R5</f>
        <v>193998</v>
      </c>
      <c r="T5" s="32"/>
      <c r="U5" s="31">
        <f t="shared" ref="U5:U16" si="1">S5-G5</f>
        <v>-110880</v>
      </c>
      <c r="V5" s="32"/>
      <c r="W5" s="33">
        <f t="shared" ref="W5:W16" si="2">U5/C5/E5/F5</f>
        <v>-4.3642374982779994</v>
      </c>
    </row>
    <row r="6" spans="1:24" s="34" customFormat="1" ht="17.25" customHeight="1">
      <c r="A6" s="316"/>
      <c r="B6" s="23" t="s">
        <v>56</v>
      </c>
      <c r="C6" s="24">
        <v>8.5</v>
      </c>
      <c r="D6" s="25">
        <v>14</v>
      </c>
      <c r="E6" s="26">
        <v>122</v>
      </c>
      <c r="F6" s="27">
        <v>24.5</v>
      </c>
      <c r="G6" s="28">
        <f>C6*D6*E6*F6</f>
        <v>355691</v>
      </c>
      <c r="H6" s="28"/>
      <c r="I6" s="28">
        <f t="shared" ref="I6:I16" si="3">SUM(G6:H6)</f>
        <v>355691</v>
      </c>
      <c r="J6" s="35">
        <v>345000</v>
      </c>
      <c r="K6" s="35">
        <v>347453</v>
      </c>
      <c r="L6" s="28">
        <v>317911</v>
      </c>
      <c r="M6" s="28">
        <v>317911</v>
      </c>
      <c r="N6" s="28"/>
      <c r="O6" s="30"/>
      <c r="P6" s="28">
        <v>0</v>
      </c>
      <c r="Q6" s="31">
        <f t="shared" si="0"/>
        <v>317911</v>
      </c>
      <c r="R6" s="28">
        <f>Q6</f>
        <v>317911</v>
      </c>
      <c r="S6" s="31">
        <f>R6+U5</f>
        <v>207031</v>
      </c>
      <c r="T6" s="32"/>
      <c r="U6" s="31">
        <f t="shared" si="1"/>
        <v>-148660</v>
      </c>
      <c r="V6" s="32"/>
      <c r="W6" s="33">
        <f t="shared" si="2"/>
        <v>-5.8512585362013656</v>
      </c>
    </row>
    <row r="7" spans="1:24" s="34" customFormat="1" ht="17.25" customHeight="1">
      <c r="A7" s="316"/>
      <c r="B7" s="23" t="s">
        <v>57</v>
      </c>
      <c r="C7" s="24">
        <v>8.5</v>
      </c>
      <c r="D7" s="25">
        <v>12</v>
      </c>
      <c r="E7" s="26">
        <v>123</v>
      </c>
      <c r="F7" s="27">
        <v>25.5</v>
      </c>
      <c r="G7" s="28">
        <f>C7*D7*E7*F7</f>
        <v>319923</v>
      </c>
      <c r="H7" s="28"/>
      <c r="I7" s="28">
        <f t="shared" si="3"/>
        <v>319923</v>
      </c>
      <c r="J7" s="35">
        <v>305000</v>
      </c>
      <c r="K7" s="35">
        <v>226792</v>
      </c>
      <c r="L7" s="28">
        <v>284767</v>
      </c>
      <c r="M7" s="28">
        <v>284767</v>
      </c>
      <c r="N7" s="28"/>
      <c r="O7" s="30"/>
      <c r="P7" s="28">
        <v>10304</v>
      </c>
      <c r="Q7" s="31">
        <f t="shared" si="0"/>
        <v>295071</v>
      </c>
      <c r="R7" s="28">
        <f>Q7</f>
        <v>295071</v>
      </c>
      <c r="S7" s="31">
        <f t="shared" ref="S7:S16" si="4">R7+U6</f>
        <v>146411</v>
      </c>
      <c r="T7" s="32"/>
      <c r="U7" s="31">
        <f t="shared" si="1"/>
        <v>-173512</v>
      </c>
      <c r="V7" s="32"/>
      <c r="W7" s="33">
        <f t="shared" si="2"/>
        <v>-6.5082660515186461</v>
      </c>
      <c r="X7" s="36"/>
    </row>
    <row r="8" spans="1:24" s="34" customFormat="1" ht="16.5" customHeight="1">
      <c r="A8" s="316"/>
      <c r="B8" s="23" t="s">
        <v>58</v>
      </c>
      <c r="C8" s="24">
        <v>8.5</v>
      </c>
      <c r="D8" s="25">
        <v>12</v>
      </c>
      <c r="E8" s="26">
        <v>123</v>
      </c>
      <c r="F8" s="27">
        <v>25.5</v>
      </c>
      <c r="G8" s="28">
        <f t="shared" ref="G8:G16" si="5">C8*D8*E8*F8</f>
        <v>319923</v>
      </c>
      <c r="H8" s="28"/>
      <c r="I8" s="28">
        <f t="shared" si="3"/>
        <v>319923</v>
      </c>
      <c r="J8" s="35">
        <v>305000</v>
      </c>
      <c r="K8" s="35">
        <v>133318</v>
      </c>
      <c r="L8" s="28">
        <v>262712</v>
      </c>
      <c r="M8" s="28">
        <v>262712</v>
      </c>
      <c r="N8" s="28"/>
      <c r="O8" s="30"/>
      <c r="P8" s="28">
        <v>53879</v>
      </c>
      <c r="Q8" s="31">
        <f t="shared" si="0"/>
        <v>316591</v>
      </c>
      <c r="R8" s="28">
        <f t="shared" ref="R8:R16" si="6">Q8</f>
        <v>316591</v>
      </c>
      <c r="S8" s="31">
        <f t="shared" si="4"/>
        <v>143079</v>
      </c>
      <c r="T8" s="32"/>
      <c r="U8" s="31">
        <f t="shared" si="1"/>
        <v>-176844</v>
      </c>
      <c r="V8" s="32"/>
      <c r="W8" s="33">
        <f t="shared" si="2"/>
        <v>-6.6332461248487906</v>
      </c>
      <c r="X8" s="36"/>
    </row>
    <row r="9" spans="1:24" s="34" customFormat="1" ht="17.25" customHeight="1">
      <c r="A9" s="316"/>
      <c r="B9" s="23" t="s">
        <v>59</v>
      </c>
      <c r="C9" s="24">
        <v>8.5</v>
      </c>
      <c r="D9" s="37">
        <v>12</v>
      </c>
      <c r="E9" s="26">
        <v>125</v>
      </c>
      <c r="F9" s="27">
        <v>26.5</v>
      </c>
      <c r="G9" s="28">
        <f t="shared" si="5"/>
        <v>337875</v>
      </c>
      <c r="H9" s="28"/>
      <c r="I9" s="28">
        <f t="shared" si="3"/>
        <v>337875</v>
      </c>
      <c r="J9" s="35">
        <v>315000</v>
      </c>
      <c r="K9" s="35">
        <v>95985</v>
      </c>
      <c r="L9" s="28">
        <v>171219</v>
      </c>
      <c r="M9" s="28">
        <v>171219</v>
      </c>
      <c r="N9" s="28"/>
      <c r="O9" s="30"/>
      <c r="P9" s="28">
        <v>130571</v>
      </c>
      <c r="Q9" s="31">
        <f t="shared" si="0"/>
        <v>301790</v>
      </c>
      <c r="R9" s="28">
        <f t="shared" si="6"/>
        <v>301790</v>
      </c>
      <c r="S9" s="31">
        <f t="shared" si="4"/>
        <v>124946</v>
      </c>
      <c r="T9" s="32"/>
      <c r="U9" s="31">
        <f t="shared" si="1"/>
        <v>-212929</v>
      </c>
      <c r="V9" s="32"/>
      <c r="W9" s="33">
        <f t="shared" si="2"/>
        <v>-7.5624062153163143</v>
      </c>
    </row>
    <row r="10" spans="1:24" s="34" customFormat="1" ht="17.25" customHeight="1">
      <c r="A10" s="316"/>
      <c r="B10" s="38" t="s">
        <v>60</v>
      </c>
      <c r="C10" s="24">
        <v>8.5</v>
      </c>
      <c r="D10" s="39">
        <v>13</v>
      </c>
      <c r="E10" s="26">
        <v>125</v>
      </c>
      <c r="F10" s="27">
        <v>26.5</v>
      </c>
      <c r="G10" s="28">
        <f t="shared" si="5"/>
        <v>366031.25</v>
      </c>
      <c r="H10" s="28"/>
      <c r="I10" s="28">
        <f t="shared" si="3"/>
        <v>366031.25</v>
      </c>
      <c r="J10" s="35">
        <v>340000</v>
      </c>
      <c r="K10" s="35">
        <v>55799</v>
      </c>
      <c r="L10" s="28">
        <v>88826</v>
      </c>
      <c r="M10" s="28">
        <v>88826</v>
      </c>
      <c r="N10" s="28"/>
      <c r="O10" s="30"/>
      <c r="P10" s="28">
        <v>185798</v>
      </c>
      <c r="Q10" s="31">
        <f t="shared" si="0"/>
        <v>274624</v>
      </c>
      <c r="R10" s="28">
        <f t="shared" si="6"/>
        <v>274624</v>
      </c>
      <c r="S10" s="31">
        <f t="shared" si="4"/>
        <v>61695</v>
      </c>
      <c r="T10" s="32"/>
      <c r="U10" s="31">
        <f t="shared" si="1"/>
        <v>-304336.25</v>
      </c>
      <c r="V10" s="40"/>
      <c r="W10" s="41">
        <f t="shared" si="2"/>
        <v>-10.808834628190898</v>
      </c>
    </row>
    <row r="11" spans="1:24" s="42" customFormat="1" ht="17.25" customHeight="1">
      <c r="A11" s="316"/>
      <c r="B11" s="23" t="s">
        <v>61</v>
      </c>
      <c r="C11" s="24">
        <v>8.5</v>
      </c>
      <c r="D11" s="25">
        <v>13</v>
      </c>
      <c r="E11" s="26">
        <v>120</v>
      </c>
      <c r="F11" s="27">
        <v>26.5</v>
      </c>
      <c r="G11" s="28">
        <f t="shared" si="5"/>
        <v>351390</v>
      </c>
      <c r="H11" s="28"/>
      <c r="I11" s="28">
        <f t="shared" si="3"/>
        <v>351390</v>
      </c>
      <c r="J11" s="35">
        <v>380000</v>
      </c>
      <c r="K11" s="35">
        <v>18762</v>
      </c>
      <c r="L11" s="28">
        <v>121700</v>
      </c>
      <c r="M11" s="28">
        <v>121700</v>
      </c>
      <c r="N11" s="28"/>
      <c r="O11" s="30"/>
      <c r="P11" s="28">
        <v>283999</v>
      </c>
      <c r="Q11" s="31">
        <f t="shared" si="0"/>
        <v>405699</v>
      </c>
      <c r="R11" s="28">
        <f t="shared" si="6"/>
        <v>405699</v>
      </c>
      <c r="S11" s="31">
        <f t="shared" si="4"/>
        <v>101362.75</v>
      </c>
      <c r="T11" s="32"/>
      <c r="U11" s="31">
        <f t="shared" si="1"/>
        <v>-250027.25</v>
      </c>
      <c r="V11" s="40"/>
      <c r="W11" s="41">
        <f t="shared" si="2"/>
        <v>-9.2499907510173873</v>
      </c>
    </row>
    <row r="12" spans="1:24" s="42" customFormat="1" ht="17.25" customHeight="1">
      <c r="A12" s="316"/>
      <c r="B12" s="23" t="s">
        <v>62</v>
      </c>
      <c r="C12" s="24">
        <v>8.5</v>
      </c>
      <c r="D12" s="25">
        <v>13</v>
      </c>
      <c r="E12" s="26">
        <v>120</v>
      </c>
      <c r="F12" s="27">
        <v>26.5</v>
      </c>
      <c r="G12" s="28">
        <f t="shared" si="5"/>
        <v>351390</v>
      </c>
      <c r="H12" s="28"/>
      <c r="I12" s="28">
        <f t="shared" si="3"/>
        <v>351390</v>
      </c>
      <c r="J12" s="35">
        <v>325000</v>
      </c>
      <c r="K12" s="35">
        <v>5150</v>
      </c>
      <c r="L12" s="28">
        <v>31533</v>
      </c>
      <c r="M12" s="28">
        <v>31533</v>
      </c>
      <c r="N12" s="28"/>
      <c r="O12" s="30"/>
      <c r="P12" s="28">
        <v>332853</v>
      </c>
      <c r="Q12" s="31">
        <f t="shared" si="0"/>
        <v>364386</v>
      </c>
      <c r="R12" s="28">
        <f t="shared" si="6"/>
        <v>364386</v>
      </c>
      <c r="S12" s="31">
        <f t="shared" si="4"/>
        <v>114358.75</v>
      </c>
      <c r="T12" s="32"/>
      <c r="U12" s="31">
        <f t="shared" si="1"/>
        <v>-237031.25</v>
      </c>
      <c r="V12" s="40"/>
      <c r="W12" s="41">
        <f t="shared" si="2"/>
        <v>-8.7691916389197182</v>
      </c>
      <c r="X12" s="42">
        <f>U12+S12</f>
        <v>-122672.5</v>
      </c>
    </row>
    <row r="13" spans="1:24" s="42" customFormat="1" ht="17.25" customHeight="1">
      <c r="A13" s="316"/>
      <c r="B13" s="23" t="s">
        <v>63</v>
      </c>
      <c r="C13" s="24">
        <v>8.5</v>
      </c>
      <c r="D13" s="25">
        <v>13</v>
      </c>
      <c r="E13" s="26">
        <v>120</v>
      </c>
      <c r="F13" s="27">
        <v>26.5</v>
      </c>
      <c r="G13" s="28">
        <f t="shared" si="5"/>
        <v>351390</v>
      </c>
      <c r="H13" s="28"/>
      <c r="I13" s="28">
        <f t="shared" si="3"/>
        <v>351390</v>
      </c>
      <c r="J13" s="35">
        <v>365000</v>
      </c>
      <c r="K13" s="35">
        <v>1661</v>
      </c>
      <c r="L13" s="28">
        <v>24130</v>
      </c>
      <c r="M13" s="28">
        <v>24130</v>
      </c>
      <c r="N13" s="28"/>
      <c r="O13" s="30"/>
      <c r="P13" s="28">
        <v>156427</v>
      </c>
      <c r="Q13" s="31">
        <f t="shared" si="0"/>
        <v>180557</v>
      </c>
      <c r="R13" s="28">
        <f t="shared" si="6"/>
        <v>180557</v>
      </c>
      <c r="S13" s="31">
        <f t="shared" si="4"/>
        <v>-56474.25</v>
      </c>
      <c r="T13" s="32"/>
      <c r="U13" s="31">
        <f t="shared" si="1"/>
        <v>-407864.25</v>
      </c>
      <c r="V13" s="40"/>
      <c r="W13" s="41">
        <f t="shared" si="2"/>
        <v>-15.089317425083241</v>
      </c>
    </row>
    <row r="14" spans="1:24" s="42" customFormat="1" ht="17.25" customHeight="1">
      <c r="A14" s="316"/>
      <c r="B14" s="23" t="s">
        <v>64</v>
      </c>
      <c r="C14" s="24">
        <v>8.5</v>
      </c>
      <c r="D14" s="25">
        <v>14</v>
      </c>
      <c r="E14" s="26">
        <v>120</v>
      </c>
      <c r="F14" s="27">
        <v>26.5</v>
      </c>
      <c r="G14" s="28">
        <f t="shared" si="5"/>
        <v>378420</v>
      </c>
      <c r="H14" s="28"/>
      <c r="I14" s="28">
        <f t="shared" si="3"/>
        <v>378420</v>
      </c>
      <c r="J14" s="35">
        <v>390000</v>
      </c>
      <c r="K14" s="35">
        <v>2740</v>
      </c>
      <c r="L14" s="28">
        <v>16707</v>
      </c>
      <c r="M14" s="28">
        <v>16707</v>
      </c>
      <c r="N14" s="28"/>
      <c r="O14" s="30"/>
      <c r="P14" s="28">
        <v>253329</v>
      </c>
      <c r="Q14" s="31">
        <f t="shared" si="0"/>
        <v>270036</v>
      </c>
      <c r="R14" s="28">
        <f t="shared" si="6"/>
        <v>270036</v>
      </c>
      <c r="S14" s="31">
        <f t="shared" si="4"/>
        <v>-137828.25</v>
      </c>
      <c r="T14" s="32"/>
      <c r="U14" s="31">
        <f t="shared" si="1"/>
        <v>-516248.25</v>
      </c>
      <c r="V14" s="40">
        <v>44043</v>
      </c>
      <c r="W14" s="41">
        <f t="shared" si="2"/>
        <v>-19.099084350721419</v>
      </c>
    </row>
    <row r="15" spans="1:24" s="42" customFormat="1" ht="17.25" customHeight="1">
      <c r="A15" s="316"/>
      <c r="B15" s="23" t="s">
        <v>65</v>
      </c>
      <c r="C15" s="24">
        <v>8.5</v>
      </c>
      <c r="D15" s="43">
        <v>13</v>
      </c>
      <c r="E15" s="35">
        <v>120</v>
      </c>
      <c r="F15" s="27">
        <v>26.5</v>
      </c>
      <c r="G15" s="28">
        <f t="shared" si="5"/>
        <v>351390</v>
      </c>
      <c r="H15" s="28"/>
      <c r="I15" s="28">
        <f t="shared" si="3"/>
        <v>351390</v>
      </c>
      <c r="J15" s="35">
        <v>375000</v>
      </c>
      <c r="K15" s="35">
        <v>0</v>
      </c>
      <c r="L15" s="28">
        <v>18972</v>
      </c>
      <c r="M15" s="28">
        <v>18972</v>
      </c>
      <c r="N15" s="28"/>
      <c r="O15" s="30"/>
      <c r="P15" s="28">
        <v>139237</v>
      </c>
      <c r="Q15" s="31">
        <f t="shared" si="0"/>
        <v>158209</v>
      </c>
      <c r="R15" s="28">
        <f t="shared" si="6"/>
        <v>158209</v>
      </c>
      <c r="S15" s="31">
        <f t="shared" si="4"/>
        <v>-358039.25</v>
      </c>
      <c r="T15" s="32">
        <v>44043</v>
      </c>
      <c r="U15" s="31">
        <f t="shared" si="1"/>
        <v>-709429.25</v>
      </c>
      <c r="V15" s="40">
        <v>44058</v>
      </c>
      <c r="W15" s="41">
        <f t="shared" si="2"/>
        <v>-26.24599519052904</v>
      </c>
    </row>
    <row r="16" spans="1:24" s="42" customFormat="1" ht="17.25" customHeight="1">
      <c r="A16" s="316"/>
      <c r="B16" s="23" t="s">
        <v>66</v>
      </c>
      <c r="C16" s="24">
        <v>8.5</v>
      </c>
      <c r="D16" s="43">
        <v>13</v>
      </c>
      <c r="E16" s="35">
        <v>120</v>
      </c>
      <c r="F16" s="27">
        <v>26.5</v>
      </c>
      <c r="G16" s="28">
        <f t="shared" si="5"/>
        <v>351390</v>
      </c>
      <c r="H16" s="28"/>
      <c r="I16" s="28">
        <f t="shared" si="3"/>
        <v>351390</v>
      </c>
      <c r="J16" s="35">
        <v>375000</v>
      </c>
      <c r="K16" s="35">
        <v>0</v>
      </c>
      <c r="L16" s="28">
        <v>1462</v>
      </c>
      <c r="M16" s="28">
        <v>1462</v>
      </c>
      <c r="N16" s="28"/>
      <c r="O16" s="30"/>
      <c r="P16" s="28">
        <v>148083</v>
      </c>
      <c r="Q16" s="31">
        <f t="shared" si="0"/>
        <v>149545</v>
      </c>
      <c r="R16" s="28">
        <f t="shared" si="6"/>
        <v>149545</v>
      </c>
      <c r="S16" s="31">
        <f t="shared" si="4"/>
        <v>-559884.25</v>
      </c>
      <c r="T16" s="40">
        <v>44058</v>
      </c>
      <c r="U16" s="31">
        <f t="shared" si="1"/>
        <v>-911274.25</v>
      </c>
      <c r="V16" s="40">
        <v>44074</v>
      </c>
      <c r="W16" s="41">
        <f t="shared" si="2"/>
        <v>-33.713438771735113</v>
      </c>
    </row>
    <row r="17" spans="1:23" s="42" customFormat="1" ht="17.25" customHeight="1">
      <c r="A17" s="317" t="s">
        <v>51</v>
      </c>
      <c r="B17" s="318"/>
      <c r="C17" s="44"/>
      <c r="D17" s="45"/>
      <c r="E17" s="35"/>
      <c r="F17" s="45"/>
      <c r="G17" s="35">
        <f>SUM(G5:G16)</f>
        <v>4139691.25</v>
      </c>
      <c r="H17" s="35">
        <f>SUM(H5:H16)</f>
        <v>0</v>
      </c>
      <c r="I17" s="35">
        <f>SUM(I5:I16)</f>
        <v>4139691.25</v>
      </c>
      <c r="J17" s="35">
        <f>SUM(J5:J16)</f>
        <v>4115000</v>
      </c>
      <c r="K17" s="46">
        <f>SUM(K5:K16)</f>
        <v>1194571</v>
      </c>
      <c r="L17" s="46">
        <f t="shared" ref="L17:Q17" si="7">SUM(L5:L16)</f>
        <v>1533937</v>
      </c>
      <c r="M17" s="46">
        <f>SUM(M5:M16)</f>
        <v>1533937</v>
      </c>
      <c r="N17" s="46"/>
      <c r="O17" s="46"/>
      <c r="P17" s="46">
        <f t="shared" si="7"/>
        <v>1694480</v>
      </c>
      <c r="Q17" s="46">
        <f t="shared" si="7"/>
        <v>3228417</v>
      </c>
      <c r="R17" s="46"/>
      <c r="S17" s="47"/>
      <c r="T17" s="48"/>
      <c r="U17" s="49"/>
      <c r="V17" s="50"/>
      <c r="W17" s="51"/>
    </row>
    <row r="18" spans="1:23" s="60" customFormat="1" ht="17.25" customHeight="1">
      <c r="A18" s="319" t="s">
        <v>52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1"/>
      <c r="K18" s="52">
        <f>K17/J17</f>
        <v>0.29029671931956258</v>
      </c>
      <c r="L18" s="53">
        <f>L17/J17</f>
        <v>0.37276719319562573</v>
      </c>
      <c r="M18" s="53"/>
      <c r="N18" s="53"/>
      <c r="O18" s="53"/>
      <c r="P18" s="54">
        <f>P17/J17</f>
        <v>0.41178128797083841</v>
      </c>
      <c r="Q18" s="55"/>
      <c r="R18" s="56"/>
      <c r="S18" s="57"/>
      <c r="T18" s="58"/>
      <c r="U18" s="59"/>
      <c r="V18" s="58"/>
      <c r="W18" s="59"/>
    </row>
    <row r="19" spans="1:23" s="60" customFormat="1" ht="17.25" hidden="1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2"/>
      <c r="M19" s="62"/>
      <c r="N19" s="62"/>
      <c r="O19" s="62"/>
      <c r="P19" s="63"/>
      <c r="Q19" s="64"/>
      <c r="R19" s="65"/>
      <c r="S19" s="66"/>
      <c r="T19" s="67"/>
      <c r="U19" s="66"/>
      <c r="V19" s="67"/>
      <c r="W19" s="66"/>
    </row>
    <row r="20" spans="1:23" s="60" customFormat="1" ht="17.25" hidden="1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62"/>
      <c r="N20" s="62"/>
      <c r="O20" s="62"/>
      <c r="P20" s="63"/>
      <c r="Q20" s="64"/>
      <c r="R20" s="65"/>
      <c r="S20" s="66"/>
      <c r="T20" s="67"/>
      <c r="U20" s="66"/>
      <c r="V20" s="67"/>
      <c r="W20" s="66"/>
    </row>
    <row r="21" spans="1:23">
      <c r="E21" s="68"/>
      <c r="P21" s="70"/>
      <c r="R21" s="70"/>
      <c r="S21" s="71">
        <f>S16-I16</f>
        <v>-911274.25</v>
      </c>
    </row>
    <row r="22" spans="1:23">
      <c r="I22" s="73"/>
      <c r="R22" s="73"/>
      <c r="S22" s="73"/>
      <c r="U22" s="73">
        <f>G17-Q17</f>
        <v>911274.25</v>
      </c>
    </row>
    <row r="23" spans="1:23">
      <c r="I23" s="73"/>
      <c r="R23" s="71"/>
      <c r="S23" s="73"/>
      <c r="U23" s="71"/>
    </row>
    <row r="24" spans="1:23">
      <c r="G24" s="61" t="s">
        <v>54</v>
      </c>
    </row>
    <row r="218" spans="9:9">
      <c r="I218" s="61">
        <v>2</v>
      </c>
    </row>
  </sheetData>
  <mergeCells count="6">
    <mergeCell ref="A18:J18"/>
    <mergeCell ref="L2:O2"/>
    <mergeCell ref="L3:M3"/>
    <mergeCell ref="N3:O3"/>
    <mergeCell ref="A5:A16"/>
    <mergeCell ref="A17:B17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1"/>
  <dimension ref="A1:W218"/>
  <sheetViews>
    <sheetView zoomScale="60" zoomScaleNormal="60" workbookViewId="0">
      <pane xSplit="10" ySplit="4" topLeftCell="L5" activePane="bottomRight" state="frozen"/>
      <selection activeCell="M27" sqref="M27"/>
      <selection pane="topRight" activeCell="M27" sqref="M27"/>
      <selection pane="bottomLeft" activeCell="M27" sqref="M27"/>
      <selection pane="bottomRight" activeCell="J25" sqref="J25"/>
    </sheetView>
  </sheetViews>
  <sheetFormatPr defaultColWidth="10.6640625" defaultRowHeight="15.6"/>
  <cols>
    <col min="1" max="1" width="12.44140625" style="61" customWidth="1"/>
    <col min="2" max="2" width="9.21875" style="61" customWidth="1"/>
    <col min="3" max="3" width="9.77734375" style="61" customWidth="1"/>
    <col min="4" max="4" width="11.21875" style="61" customWidth="1"/>
    <col min="5" max="6" width="9.77734375" style="61" customWidth="1"/>
    <col min="7" max="7" width="11.6640625" style="61" customWidth="1"/>
    <col min="8" max="8" width="10.88671875" style="61" customWidth="1"/>
    <col min="9" max="9" width="11.77734375" style="61" customWidth="1"/>
    <col min="10" max="10" width="13.44140625" style="61" customWidth="1"/>
    <col min="11" max="11" width="16" style="61" customWidth="1"/>
    <col min="12" max="12" width="15.77734375" style="69" bestFit="1" customWidth="1"/>
    <col min="13" max="14" width="15.77734375" style="69" customWidth="1"/>
    <col min="15" max="15" width="19" style="69" customWidth="1"/>
    <col min="16" max="16" width="15" style="61" customWidth="1"/>
    <col min="17" max="17" width="18.109375" style="61" customWidth="1"/>
    <col min="18" max="18" width="21.88671875" style="61" hidden="1" customWidth="1"/>
    <col min="19" max="19" width="10.33203125" style="72" customWidth="1"/>
    <col min="20" max="20" width="15.6640625" style="61" customWidth="1"/>
    <col min="21" max="21" width="8.109375" style="72" customWidth="1"/>
    <col min="22" max="22" width="11.109375" style="61" bestFit="1" customWidth="1"/>
    <col min="23" max="23" width="14.109375" style="61" customWidth="1"/>
    <col min="24" max="16384" width="10.6640625" style="61"/>
  </cols>
  <sheetData>
    <row r="1" spans="1:23" s="5" customFormat="1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>
        <v>43879</v>
      </c>
      <c r="U1" s="4"/>
    </row>
    <row r="2" spans="1:23" s="16" customFormat="1" ht="86.25" customHeight="1">
      <c r="A2" s="6" t="s">
        <v>1</v>
      </c>
      <c r="B2" s="7" t="s">
        <v>2</v>
      </c>
      <c r="C2" s="8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9" t="s">
        <v>8</v>
      </c>
      <c r="I2" s="9" t="s">
        <v>9</v>
      </c>
      <c r="J2" s="6" t="s">
        <v>10</v>
      </c>
      <c r="K2" s="6" t="s">
        <v>11</v>
      </c>
      <c r="L2" s="364" t="s">
        <v>12</v>
      </c>
      <c r="M2" s="365"/>
      <c r="N2" s="365"/>
      <c r="O2" s="10" t="s">
        <v>13</v>
      </c>
      <c r="P2" s="10" t="s">
        <v>14</v>
      </c>
      <c r="Q2" s="10" t="s">
        <v>15</v>
      </c>
      <c r="R2" s="11" t="s">
        <v>16</v>
      </c>
      <c r="S2" s="12"/>
      <c r="T2" s="13" t="s">
        <v>17</v>
      </c>
      <c r="U2" s="14"/>
      <c r="V2" s="15" t="s">
        <v>18</v>
      </c>
    </row>
    <row r="3" spans="1:23" s="16" customFormat="1" ht="86.25" customHeight="1">
      <c r="A3" s="6"/>
      <c r="B3" s="7"/>
      <c r="C3" s="8"/>
      <c r="D3" s="6"/>
      <c r="E3" s="6"/>
      <c r="F3" s="6"/>
      <c r="G3" s="6"/>
      <c r="H3" s="9"/>
      <c r="I3" s="9"/>
      <c r="J3" s="6"/>
      <c r="K3" s="6"/>
      <c r="L3" s="312" t="s">
        <v>19</v>
      </c>
      <c r="M3" s="313"/>
      <c r="N3" s="75" t="s">
        <v>20</v>
      </c>
      <c r="O3" s="10"/>
      <c r="P3" s="10"/>
      <c r="Q3" s="10"/>
      <c r="R3" s="11"/>
      <c r="S3" s="12"/>
      <c r="T3" s="13"/>
      <c r="U3" s="14"/>
      <c r="V3" s="15"/>
    </row>
    <row r="4" spans="1:23" s="22" customFormat="1" ht="64.5" customHeight="1">
      <c r="A4" s="17" t="s">
        <v>21</v>
      </c>
      <c r="B4" s="18" t="s">
        <v>22</v>
      </c>
      <c r="C4" s="19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28</v>
      </c>
      <c r="I4" s="17" t="s">
        <v>29</v>
      </c>
      <c r="J4" s="17" t="s">
        <v>30</v>
      </c>
      <c r="K4" s="17"/>
      <c r="L4" s="17" t="s">
        <v>31</v>
      </c>
      <c r="M4" s="17" t="s">
        <v>32</v>
      </c>
      <c r="N4" s="17" t="s">
        <v>33</v>
      </c>
      <c r="O4" s="17"/>
      <c r="P4" s="17"/>
      <c r="Q4" s="17" t="s">
        <v>35</v>
      </c>
      <c r="R4" s="17" t="s">
        <v>36</v>
      </c>
      <c r="S4" s="20"/>
      <c r="T4" s="17"/>
      <c r="U4" s="20"/>
      <c r="V4" s="21" t="s">
        <v>37</v>
      </c>
    </row>
    <row r="5" spans="1:23" s="34" customFormat="1" ht="17.25" customHeight="1">
      <c r="A5" s="315" t="s">
        <v>67</v>
      </c>
      <c r="B5" s="23" t="s">
        <v>55</v>
      </c>
      <c r="C5" s="24">
        <v>8.5</v>
      </c>
      <c r="D5" s="25">
        <v>12</v>
      </c>
      <c r="E5" s="26">
        <v>120</v>
      </c>
      <c r="F5" s="27">
        <v>24.5</v>
      </c>
      <c r="G5" s="28">
        <f>C5*D5*E5*F5</f>
        <v>299880</v>
      </c>
      <c r="H5" s="28"/>
      <c r="I5" s="28">
        <f>SUM(G5:H5)</f>
        <v>299880</v>
      </c>
      <c r="J5" s="29">
        <v>295000</v>
      </c>
      <c r="K5" s="29">
        <v>281062</v>
      </c>
      <c r="L5" s="28">
        <v>268449</v>
      </c>
      <c r="M5" s="28">
        <v>268449</v>
      </c>
      <c r="N5" s="30"/>
      <c r="O5" s="28">
        <v>0</v>
      </c>
      <c r="P5" s="31">
        <f t="shared" ref="P5:P16" si="0">M5+N5+O5</f>
        <v>268449</v>
      </c>
      <c r="Q5" s="28">
        <v>148449</v>
      </c>
      <c r="R5" s="31">
        <f>Q5</f>
        <v>148449</v>
      </c>
      <c r="S5" s="32"/>
      <c r="T5" s="31">
        <f t="shared" ref="T5:T16" si="1">R5-G5</f>
        <v>-151431</v>
      </c>
      <c r="U5" s="32"/>
      <c r="V5" s="33">
        <f t="shared" ref="V5:V16" si="2">T5/C5/E5/F5</f>
        <v>-6.0596638655462174</v>
      </c>
    </row>
    <row r="6" spans="1:23" s="34" customFormat="1" ht="17.25" customHeight="1">
      <c r="A6" s="316"/>
      <c r="B6" s="23" t="s">
        <v>56</v>
      </c>
      <c r="C6" s="24">
        <v>8.5</v>
      </c>
      <c r="D6" s="25">
        <v>14</v>
      </c>
      <c r="E6" s="26">
        <v>115</v>
      </c>
      <c r="F6" s="27">
        <v>24.5</v>
      </c>
      <c r="G6" s="28">
        <f>C6*D6*E6*F6</f>
        <v>335282.5</v>
      </c>
      <c r="H6" s="28"/>
      <c r="I6" s="28">
        <f t="shared" ref="I6:I16" si="3">SUM(G6:H6)</f>
        <v>335282.5</v>
      </c>
      <c r="J6" s="35">
        <v>345000</v>
      </c>
      <c r="K6" s="35">
        <v>167432</v>
      </c>
      <c r="L6" s="28">
        <v>297263</v>
      </c>
      <c r="M6" s="28">
        <v>297263</v>
      </c>
      <c r="N6" s="28"/>
      <c r="O6" s="28">
        <v>58952</v>
      </c>
      <c r="P6" s="31">
        <f t="shared" si="0"/>
        <v>356215</v>
      </c>
      <c r="Q6" s="28">
        <v>236215</v>
      </c>
      <c r="R6" s="31">
        <f>Q6+T5</f>
        <v>84784</v>
      </c>
      <c r="S6" s="32"/>
      <c r="T6" s="31">
        <f t="shared" si="1"/>
        <v>-250498.5</v>
      </c>
      <c r="U6" s="32"/>
      <c r="V6" s="33">
        <f t="shared" si="2"/>
        <v>-10.459773474607234</v>
      </c>
    </row>
    <row r="7" spans="1:23" s="34" customFormat="1" ht="17.25" customHeight="1">
      <c r="A7" s="316"/>
      <c r="B7" s="23" t="s">
        <v>57</v>
      </c>
      <c r="C7" s="24">
        <v>8.5</v>
      </c>
      <c r="D7" s="25">
        <v>12</v>
      </c>
      <c r="E7" s="26">
        <v>115</v>
      </c>
      <c r="F7" s="27">
        <v>25.5</v>
      </c>
      <c r="G7" s="28">
        <f>C7*D7*E7*F7</f>
        <v>299115</v>
      </c>
      <c r="H7" s="28"/>
      <c r="I7" s="28">
        <f t="shared" si="3"/>
        <v>299115</v>
      </c>
      <c r="J7" s="35">
        <v>305000</v>
      </c>
      <c r="K7" s="35">
        <v>211171</v>
      </c>
      <c r="L7" s="28">
        <v>358896</v>
      </c>
      <c r="M7" s="28">
        <v>358896</v>
      </c>
      <c r="N7" s="28"/>
      <c r="O7" s="28">
        <v>47237</v>
      </c>
      <c r="P7" s="31">
        <f t="shared" si="0"/>
        <v>406133</v>
      </c>
      <c r="Q7" s="28">
        <v>286133</v>
      </c>
      <c r="R7" s="31">
        <f t="shared" ref="R7:R16" si="4">Q7+T6</f>
        <v>35634.5</v>
      </c>
      <c r="S7" s="32"/>
      <c r="T7" s="31">
        <f t="shared" si="1"/>
        <v>-263480.5</v>
      </c>
      <c r="U7" s="32"/>
      <c r="V7" s="33">
        <f t="shared" si="2"/>
        <v>-10.570402687929391</v>
      </c>
      <c r="W7" s="36"/>
    </row>
    <row r="8" spans="1:23" s="34" customFormat="1" ht="16.5" customHeight="1">
      <c r="A8" s="316"/>
      <c r="B8" s="23" t="s">
        <v>58</v>
      </c>
      <c r="C8" s="24">
        <v>8.5</v>
      </c>
      <c r="D8" s="25">
        <v>12</v>
      </c>
      <c r="E8" s="26">
        <v>115</v>
      </c>
      <c r="F8" s="27">
        <v>25.5</v>
      </c>
      <c r="G8" s="28">
        <f t="shared" ref="G8:G16" si="5">C8*D8*E8*F8</f>
        <v>299115</v>
      </c>
      <c r="H8" s="28"/>
      <c r="I8" s="28">
        <f t="shared" si="3"/>
        <v>299115</v>
      </c>
      <c r="J8" s="35">
        <v>305000</v>
      </c>
      <c r="K8" s="35">
        <v>59820</v>
      </c>
      <c r="L8" s="28">
        <v>152227</v>
      </c>
      <c r="M8" s="28">
        <v>152227</v>
      </c>
      <c r="N8" s="28"/>
      <c r="O8" s="28">
        <v>319609</v>
      </c>
      <c r="P8" s="31">
        <f t="shared" si="0"/>
        <v>471836</v>
      </c>
      <c r="Q8" s="28">
        <v>351836</v>
      </c>
      <c r="R8" s="31">
        <f t="shared" si="4"/>
        <v>88355.5</v>
      </c>
      <c r="S8" s="32"/>
      <c r="T8" s="31">
        <f t="shared" si="1"/>
        <v>-210759.5</v>
      </c>
      <c r="U8" s="32"/>
      <c r="V8" s="33">
        <f t="shared" si="2"/>
        <v>-8.4553232034501775</v>
      </c>
      <c r="W8" s="36"/>
    </row>
    <row r="9" spans="1:23" s="34" customFormat="1" ht="17.25" customHeight="1">
      <c r="A9" s="316"/>
      <c r="B9" s="23" t="s">
        <v>59</v>
      </c>
      <c r="C9" s="24">
        <v>8.5</v>
      </c>
      <c r="D9" s="37">
        <v>12</v>
      </c>
      <c r="E9" s="26">
        <v>118</v>
      </c>
      <c r="F9" s="27">
        <v>26.5</v>
      </c>
      <c r="G9" s="28">
        <f t="shared" si="5"/>
        <v>318954</v>
      </c>
      <c r="H9" s="28"/>
      <c r="I9" s="28">
        <f t="shared" si="3"/>
        <v>318954</v>
      </c>
      <c r="J9" s="35">
        <v>315000</v>
      </c>
      <c r="K9" s="35">
        <v>64472</v>
      </c>
      <c r="L9" s="28">
        <v>128695</v>
      </c>
      <c r="M9" s="28">
        <v>128695</v>
      </c>
      <c r="N9" s="28"/>
      <c r="O9" s="28">
        <v>192584</v>
      </c>
      <c r="P9" s="31">
        <f t="shared" si="0"/>
        <v>321279</v>
      </c>
      <c r="Q9" s="28">
        <v>321279</v>
      </c>
      <c r="R9" s="31">
        <f t="shared" si="4"/>
        <v>110519.5</v>
      </c>
      <c r="S9" s="32"/>
      <c r="T9" s="31">
        <f t="shared" si="1"/>
        <v>-208434.5</v>
      </c>
      <c r="U9" s="32"/>
      <c r="V9" s="33">
        <f t="shared" si="2"/>
        <v>-7.841927049041554</v>
      </c>
    </row>
    <row r="10" spans="1:23" s="34" customFormat="1" ht="17.25" customHeight="1">
      <c r="A10" s="316"/>
      <c r="B10" s="38" t="s">
        <v>60</v>
      </c>
      <c r="C10" s="24">
        <v>8.5</v>
      </c>
      <c r="D10" s="39">
        <v>13</v>
      </c>
      <c r="E10" s="26">
        <v>118</v>
      </c>
      <c r="F10" s="27">
        <v>26.5</v>
      </c>
      <c r="G10" s="28">
        <f t="shared" si="5"/>
        <v>345533.5</v>
      </c>
      <c r="H10" s="28"/>
      <c r="I10" s="28">
        <f t="shared" si="3"/>
        <v>345533.5</v>
      </c>
      <c r="J10" s="35">
        <v>340000</v>
      </c>
      <c r="K10" s="35">
        <v>40518</v>
      </c>
      <c r="L10" s="28">
        <v>58862</v>
      </c>
      <c r="M10" s="28">
        <v>58862</v>
      </c>
      <c r="N10" s="28"/>
      <c r="O10" s="28">
        <v>308914</v>
      </c>
      <c r="P10" s="31">
        <f t="shared" si="0"/>
        <v>367776</v>
      </c>
      <c r="Q10" s="28">
        <v>367776</v>
      </c>
      <c r="R10" s="31">
        <f t="shared" si="4"/>
        <v>159341.5</v>
      </c>
      <c r="S10" s="32"/>
      <c r="T10" s="31">
        <f t="shared" si="1"/>
        <v>-186192</v>
      </c>
      <c r="U10" s="40"/>
      <c r="V10" s="41">
        <f t="shared" si="2"/>
        <v>-7.0050979138057521</v>
      </c>
    </row>
    <row r="11" spans="1:23" s="42" customFormat="1" ht="17.25" customHeight="1">
      <c r="A11" s="316"/>
      <c r="B11" s="23" t="s">
        <v>61</v>
      </c>
      <c r="C11" s="24">
        <v>8.5</v>
      </c>
      <c r="D11" s="25">
        <v>13</v>
      </c>
      <c r="E11" s="26">
        <v>118</v>
      </c>
      <c r="F11" s="27">
        <v>27.5</v>
      </c>
      <c r="G11" s="28">
        <f t="shared" si="5"/>
        <v>358572.5</v>
      </c>
      <c r="H11" s="28"/>
      <c r="I11" s="28">
        <f t="shared" si="3"/>
        <v>358572.5</v>
      </c>
      <c r="J11" s="35">
        <v>380000</v>
      </c>
      <c r="K11" s="35">
        <v>13573</v>
      </c>
      <c r="L11" s="28">
        <v>63067</v>
      </c>
      <c r="M11" s="28">
        <v>63067</v>
      </c>
      <c r="N11" s="28"/>
      <c r="O11" s="28">
        <v>298744</v>
      </c>
      <c r="P11" s="31">
        <f t="shared" si="0"/>
        <v>361811</v>
      </c>
      <c r="Q11" s="28">
        <v>361811</v>
      </c>
      <c r="R11" s="31">
        <f t="shared" si="4"/>
        <v>175619</v>
      </c>
      <c r="S11" s="32"/>
      <c r="T11" s="31">
        <f t="shared" si="1"/>
        <v>-182953.5</v>
      </c>
      <c r="U11" s="40"/>
      <c r="V11" s="41">
        <f t="shared" si="2"/>
        <v>-6.6329556784192878</v>
      </c>
    </row>
    <row r="12" spans="1:23" s="42" customFormat="1" ht="17.25" customHeight="1">
      <c r="A12" s="316"/>
      <c r="B12" s="23" t="s">
        <v>62</v>
      </c>
      <c r="C12" s="24">
        <v>8.5</v>
      </c>
      <c r="D12" s="25">
        <v>13</v>
      </c>
      <c r="E12" s="26">
        <v>118</v>
      </c>
      <c r="F12" s="27">
        <v>27.5</v>
      </c>
      <c r="G12" s="28">
        <f t="shared" si="5"/>
        <v>358572.5</v>
      </c>
      <c r="H12" s="28"/>
      <c r="I12" s="28">
        <f t="shared" si="3"/>
        <v>358572.5</v>
      </c>
      <c r="J12" s="35">
        <v>325000</v>
      </c>
      <c r="K12" s="35">
        <v>5698</v>
      </c>
      <c r="L12" s="28">
        <v>27929</v>
      </c>
      <c r="M12" s="28">
        <v>27929</v>
      </c>
      <c r="N12" s="28"/>
      <c r="O12" s="28">
        <v>502573</v>
      </c>
      <c r="P12" s="31">
        <f t="shared" si="0"/>
        <v>530502</v>
      </c>
      <c r="Q12" s="28">
        <v>530502</v>
      </c>
      <c r="R12" s="31">
        <f t="shared" si="4"/>
        <v>347548.5</v>
      </c>
      <c r="S12" s="32"/>
      <c r="T12" s="31">
        <f t="shared" si="1"/>
        <v>-11024</v>
      </c>
      <c r="U12" s="40"/>
      <c r="V12" s="41">
        <f t="shared" si="2"/>
        <v>-0.39967370615426445</v>
      </c>
      <c r="W12" s="42">
        <f>T12+R12</f>
        <v>336524.5</v>
      </c>
    </row>
    <row r="13" spans="1:23" s="42" customFormat="1" ht="17.25" customHeight="1">
      <c r="A13" s="316"/>
      <c r="B13" s="23" t="s">
        <v>63</v>
      </c>
      <c r="C13" s="24">
        <v>8.5</v>
      </c>
      <c r="D13" s="25">
        <v>13</v>
      </c>
      <c r="E13" s="26">
        <v>118</v>
      </c>
      <c r="F13" s="27">
        <v>28.5</v>
      </c>
      <c r="G13" s="28">
        <f t="shared" si="5"/>
        <v>371611.5</v>
      </c>
      <c r="H13" s="28"/>
      <c r="I13" s="28">
        <f t="shared" si="3"/>
        <v>371611.5</v>
      </c>
      <c r="J13" s="35">
        <v>365000</v>
      </c>
      <c r="K13" s="35">
        <v>0</v>
      </c>
      <c r="L13" s="28">
        <v>23113</v>
      </c>
      <c r="M13" s="28">
        <v>23113</v>
      </c>
      <c r="N13" s="28"/>
      <c r="O13" s="28">
        <v>275598</v>
      </c>
      <c r="P13" s="31">
        <f t="shared" si="0"/>
        <v>298711</v>
      </c>
      <c r="Q13" s="28">
        <v>298711</v>
      </c>
      <c r="R13" s="31">
        <f t="shared" si="4"/>
        <v>287687</v>
      </c>
      <c r="S13" s="32"/>
      <c r="T13" s="31">
        <f t="shared" si="1"/>
        <v>-83924.5</v>
      </c>
      <c r="U13" s="40"/>
      <c r="V13" s="41">
        <f t="shared" si="2"/>
        <v>-2.9359115635549489</v>
      </c>
    </row>
    <row r="14" spans="1:23" s="42" customFormat="1" ht="17.25" customHeight="1">
      <c r="A14" s="316"/>
      <c r="B14" s="23" t="s">
        <v>64</v>
      </c>
      <c r="C14" s="24">
        <v>8</v>
      </c>
      <c r="D14" s="25">
        <v>14</v>
      </c>
      <c r="E14" s="26">
        <v>118</v>
      </c>
      <c r="F14" s="27">
        <v>28.5</v>
      </c>
      <c r="G14" s="28">
        <f t="shared" si="5"/>
        <v>376656</v>
      </c>
      <c r="H14" s="28"/>
      <c r="I14" s="28">
        <f t="shared" si="3"/>
        <v>376656</v>
      </c>
      <c r="J14" s="35">
        <v>390000</v>
      </c>
      <c r="K14" s="35">
        <v>1680</v>
      </c>
      <c r="L14" s="28">
        <v>8338</v>
      </c>
      <c r="M14" s="28">
        <v>8338</v>
      </c>
      <c r="N14" s="28"/>
      <c r="O14" s="28">
        <v>301780</v>
      </c>
      <c r="P14" s="31">
        <f t="shared" si="0"/>
        <v>310118</v>
      </c>
      <c r="Q14" s="28">
        <v>310118</v>
      </c>
      <c r="R14" s="31">
        <f t="shared" si="4"/>
        <v>226193.5</v>
      </c>
      <c r="S14" s="32"/>
      <c r="T14" s="31">
        <f t="shared" si="1"/>
        <v>-150462.5</v>
      </c>
      <c r="U14" s="40">
        <v>44043</v>
      </c>
      <c r="V14" s="41">
        <f t="shared" si="2"/>
        <v>-5.592569878085043</v>
      </c>
    </row>
    <row r="15" spans="1:23" s="42" customFormat="1" ht="17.25" customHeight="1">
      <c r="A15" s="316"/>
      <c r="B15" s="23" t="s">
        <v>65</v>
      </c>
      <c r="C15" s="24">
        <v>8</v>
      </c>
      <c r="D15" s="43">
        <v>13</v>
      </c>
      <c r="E15" s="35">
        <v>120</v>
      </c>
      <c r="F15" s="27">
        <v>29</v>
      </c>
      <c r="G15" s="28">
        <f t="shared" si="5"/>
        <v>361920</v>
      </c>
      <c r="H15" s="28"/>
      <c r="I15" s="28">
        <f t="shared" si="3"/>
        <v>361920</v>
      </c>
      <c r="J15" s="35">
        <v>375000</v>
      </c>
      <c r="K15" s="35">
        <v>0</v>
      </c>
      <c r="L15" s="28">
        <v>425</v>
      </c>
      <c r="M15" s="28">
        <v>425</v>
      </c>
      <c r="N15" s="28"/>
      <c r="O15" s="28">
        <v>178242</v>
      </c>
      <c r="P15" s="31">
        <f t="shared" si="0"/>
        <v>178667</v>
      </c>
      <c r="Q15" s="28">
        <v>178667</v>
      </c>
      <c r="R15" s="31">
        <f t="shared" si="4"/>
        <v>28204.5</v>
      </c>
      <c r="S15" s="32">
        <v>44043</v>
      </c>
      <c r="T15" s="31">
        <f t="shared" si="1"/>
        <v>-333715.5</v>
      </c>
      <c r="U15" s="40">
        <v>44058</v>
      </c>
      <c r="V15" s="41">
        <f t="shared" si="2"/>
        <v>-11.986907327586207</v>
      </c>
    </row>
    <row r="16" spans="1:23" s="42" customFormat="1" ht="17.25" customHeight="1">
      <c r="A16" s="316"/>
      <c r="B16" s="23" t="s">
        <v>66</v>
      </c>
      <c r="C16" s="24">
        <v>8</v>
      </c>
      <c r="D16" s="43">
        <v>13</v>
      </c>
      <c r="E16" s="35">
        <v>120</v>
      </c>
      <c r="F16" s="27">
        <v>29</v>
      </c>
      <c r="G16" s="28">
        <f t="shared" si="5"/>
        <v>361920</v>
      </c>
      <c r="H16" s="28"/>
      <c r="I16" s="28">
        <f t="shared" si="3"/>
        <v>361920</v>
      </c>
      <c r="J16" s="35">
        <v>375000</v>
      </c>
      <c r="K16" s="35">
        <v>0</v>
      </c>
      <c r="L16" s="28">
        <v>425</v>
      </c>
      <c r="M16" s="28">
        <v>425</v>
      </c>
      <c r="N16" s="28"/>
      <c r="O16" s="28">
        <v>160016</v>
      </c>
      <c r="P16" s="31">
        <f t="shared" si="0"/>
        <v>160441</v>
      </c>
      <c r="Q16" s="28">
        <v>160441</v>
      </c>
      <c r="R16" s="31">
        <f t="shared" si="4"/>
        <v>-173274.5</v>
      </c>
      <c r="S16" s="40">
        <v>44058</v>
      </c>
      <c r="T16" s="31">
        <f t="shared" si="1"/>
        <v>-535194.5</v>
      </c>
      <c r="U16" s="40">
        <v>44074</v>
      </c>
      <c r="V16" s="41">
        <f t="shared" si="2"/>
        <v>-19.223940373563217</v>
      </c>
    </row>
    <row r="17" spans="1:22" s="42" customFormat="1" ht="17.25" customHeight="1">
      <c r="A17" s="317" t="s">
        <v>51</v>
      </c>
      <c r="B17" s="318"/>
      <c r="C17" s="44"/>
      <c r="D17" s="45"/>
      <c r="E17" s="35"/>
      <c r="F17" s="45"/>
      <c r="G17" s="35">
        <f t="shared" ref="G17:M17" si="6">SUM(G5:G16)</f>
        <v>4087132.5</v>
      </c>
      <c r="H17" s="35">
        <f t="shared" si="6"/>
        <v>0</v>
      </c>
      <c r="I17" s="35">
        <f t="shared" si="6"/>
        <v>4087132.5</v>
      </c>
      <c r="J17" s="35">
        <f t="shared" si="6"/>
        <v>4115000</v>
      </c>
      <c r="K17" s="46">
        <f t="shared" si="6"/>
        <v>845426</v>
      </c>
      <c r="L17" s="46">
        <f t="shared" si="6"/>
        <v>1387689</v>
      </c>
      <c r="M17" s="46">
        <f t="shared" si="6"/>
        <v>1387689</v>
      </c>
      <c r="N17" s="46"/>
      <c r="O17" s="46">
        <f>SUM(O5:O16)</f>
        <v>2644249</v>
      </c>
      <c r="P17" s="46">
        <f>SUM(P5:P16)</f>
        <v>4031938</v>
      </c>
      <c r="Q17" s="46"/>
      <c r="R17" s="47"/>
      <c r="S17" s="48"/>
      <c r="T17" s="49"/>
      <c r="U17" s="50"/>
      <c r="V17" s="51"/>
    </row>
    <row r="18" spans="1:22" s="60" customFormat="1" ht="17.25" customHeight="1">
      <c r="A18" s="319" t="s">
        <v>52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1"/>
      <c r="K18" s="52">
        <f>K17/J17</f>
        <v>0.2054498177399757</v>
      </c>
      <c r="L18" s="53">
        <f>L17/J17</f>
        <v>0.33722697448359662</v>
      </c>
      <c r="M18" s="53"/>
      <c r="N18" s="53"/>
      <c r="O18" s="54">
        <f>O17/J17</f>
        <v>0.6425878493317132</v>
      </c>
      <c r="P18" s="55"/>
      <c r="Q18" s="56"/>
      <c r="R18" s="57"/>
      <c r="S18" s="58"/>
      <c r="T18" s="59"/>
      <c r="U18" s="58"/>
      <c r="V18" s="59"/>
    </row>
    <row r="19" spans="1:22" s="60" customFormat="1" ht="17.25" hidden="1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2"/>
      <c r="M19" s="62"/>
      <c r="N19" s="62"/>
      <c r="O19" s="63"/>
      <c r="P19" s="64"/>
      <c r="Q19" s="65"/>
      <c r="R19" s="66"/>
      <c r="S19" s="67"/>
      <c r="T19" s="66"/>
      <c r="U19" s="67"/>
      <c r="V19" s="66"/>
    </row>
    <row r="20" spans="1:22" s="60" customFormat="1" ht="17.25" hidden="1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62"/>
      <c r="N20" s="62"/>
      <c r="O20" s="63"/>
      <c r="P20" s="64"/>
      <c r="Q20" s="65"/>
      <c r="R20" s="66"/>
      <c r="S20" s="67"/>
      <c r="T20" s="66"/>
      <c r="U20" s="67"/>
      <c r="V20" s="66"/>
    </row>
    <row r="21" spans="1:22">
      <c r="E21" s="68"/>
      <c r="O21" s="70"/>
      <c r="Q21" s="70"/>
      <c r="R21" s="71">
        <f>R16-I16</f>
        <v>-535194.5</v>
      </c>
    </row>
    <row r="22" spans="1:22">
      <c r="I22" s="73"/>
      <c r="L22" s="74"/>
      <c r="Q22" s="73"/>
      <c r="R22" s="73"/>
    </row>
    <row r="23" spans="1:22">
      <c r="I23" s="73">
        <f>SUM(I5:I15)</f>
        <v>3725212.5</v>
      </c>
      <c r="Q23" s="71">
        <f>SUM(Q6:Q15)</f>
        <v>3243048</v>
      </c>
      <c r="R23" s="73">
        <f>I23-Q23</f>
        <v>482164.5</v>
      </c>
      <c r="T23" s="71">
        <f>T16-T15</f>
        <v>-201479</v>
      </c>
    </row>
    <row r="24" spans="1:22">
      <c r="G24" s="61" t="s">
        <v>54</v>
      </c>
    </row>
    <row r="218" spans="9:9">
      <c r="I218" s="61">
        <v>2</v>
      </c>
    </row>
  </sheetData>
  <mergeCells count="5">
    <mergeCell ref="L2:N2"/>
    <mergeCell ref="L3:M3"/>
    <mergeCell ref="A5:A16"/>
    <mergeCell ref="A17:B17"/>
    <mergeCell ref="A18:J18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2"/>
  <dimension ref="A1:X218"/>
  <sheetViews>
    <sheetView zoomScale="60" zoomScaleNormal="60" workbookViewId="0">
      <pane xSplit="10" ySplit="4" topLeftCell="K5" activePane="bottomRight" state="frozen"/>
      <selection activeCell="M27" sqref="M27"/>
      <selection pane="topRight" activeCell="M27" sqref="M27"/>
      <selection pane="bottomLeft" activeCell="M27" sqref="M27"/>
      <selection pane="bottomRight" activeCell="H7" sqref="H7"/>
    </sheetView>
  </sheetViews>
  <sheetFormatPr defaultColWidth="10.6640625" defaultRowHeight="15.6"/>
  <cols>
    <col min="1" max="1" width="12.44140625" style="61" customWidth="1"/>
    <col min="2" max="2" width="9.21875" style="61" customWidth="1"/>
    <col min="3" max="3" width="9.77734375" style="61" customWidth="1"/>
    <col min="4" max="4" width="11.21875" style="61" customWidth="1"/>
    <col min="5" max="6" width="9.77734375" style="61" customWidth="1"/>
    <col min="7" max="7" width="11.6640625" style="61" customWidth="1"/>
    <col min="8" max="8" width="10.88671875" style="61" customWidth="1"/>
    <col min="9" max="9" width="11.77734375" style="61" customWidth="1"/>
    <col min="10" max="10" width="13.44140625" style="61" customWidth="1"/>
    <col min="11" max="11" width="16" style="61" customWidth="1"/>
    <col min="12" max="12" width="15.77734375" style="69" bestFit="1" customWidth="1"/>
    <col min="13" max="14" width="15.77734375" style="69" customWidth="1"/>
    <col min="15" max="15" width="16.33203125" style="69" customWidth="1"/>
    <col min="16" max="16" width="19" style="69" customWidth="1"/>
    <col min="17" max="17" width="15" style="61" customWidth="1"/>
    <col min="18" max="18" width="18.109375" style="61" customWidth="1"/>
    <col min="19" max="19" width="21.88671875" style="61" hidden="1" customWidth="1"/>
    <col min="20" max="20" width="10.33203125" style="72" hidden="1" customWidth="1"/>
    <col min="21" max="21" width="15.6640625" style="61" customWidth="1"/>
    <col min="22" max="22" width="8.109375" style="72" customWidth="1"/>
    <col min="23" max="23" width="11.109375" style="61" bestFit="1" customWidth="1"/>
    <col min="24" max="24" width="14.109375" style="61" customWidth="1"/>
    <col min="25" max="16384" width="10.6640625" style="61"/>
  </cols>
  <sheetData>
    <row r="1" spans="1:24" s="5" customFormat="1" ht="2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>
        <v>44075</v>
      </c>
      <c r="V1" s="4"/>
    </row>
    <row r="2" spans="1:24" s="16" customFormat="1" ht="86.25" customHeight="1">
      <c r="A2" s="6" t="s">
        <v>1</v>
      </c>
      <c r="B2" s="7" t="s">
        <v>2</v>
      </c>
      <c r="C2" s="8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9" t="s">
        <v>8</v>
      </c>
      <c r="I2" s="9" t="s">
        <v>9</v>
      </c>
      <c r="J2" s="6" t="s">
        <v>10</v>
      </c>
      <c r="K2" s="6" t="s">
        <v>11</v>
      </c>
      <c r="L2" s="364" t="s">
        <v>12</v>
      </c>
      <c r="M2" s="365"/>
      <c r="N2" s="365"/>
      <c r="O2" s="366"/>
      <c r="P2" s="10" t="s">
        <v>13</v>
      </c>
      <c r="Q2" s="10" t="s">
        <v>14</v>
      </c>
      <c r="R2" s="10" t="s">
        <v>15</v>
      </c>
      <c r="S2" s="11" t="s">
        <v>16</v>
      </c>
      <c r="T2" s="12"/>
      <c r="U2" s="13" t="s">
        <v>17</v>
      </c>
      <c r="V2" s="14"/>
      <c r="W2" s="15" t="s">
        <v>18</v>
      </c>
    </row>
    <row r="3" spans="1:24" s="16" customFormat="1" ht="86.25" customHeight="1">
      <c r="A3" s="6"/>
      <c r="B3" s="7"/>
      <c r="C3" s="8"/>
      <c r="D3" s="6"/>
      <c r="E3" s="6"/>
      <c r="F3" s="6"/>
      <c r="G3" s="6"/>
      <c r="H3" s="9"/>
      <c r="I3" s="9"/>
      <c r="J3" s="6"/>
      <c r="K3" s="6"/>
      <c r="L3" s="312" t="s">
        <v>19</v>
      </c>
      <c r="M3" s="313"/>
      <c r="N3" s="313" t="s">
        <v>20</v>
      </c>
      <c r="O3" s="367"/>
      <c r="P3" s="10"/>
      <c r="Q3" s="10"/>
      <c r="R3" s="10"/>
      <c r="S3" s="11"/>
      <c r="T3" s="12"/>
      <c r="U3" s="13"/>
      <c r="V3" s="14"/>
      <c r="W3" s="15"/>
    </row>
    <row r="4" spans="1:24" s="22" customFormat="1" ht="64.5" customHeight="1">
      <c r="A4" s="17" t="s">
        <v>21</v>
      </c>
      <c r="B4" s="18" t="s">
        <v>22</v>
      </c>
      <c r="C4" s="19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28</v>
      </c>
      <c r="I4" s="17" t="s">
        <v>29</v>
      </c>
      <c r="J4" s="17" t="s">
        <v>30</v>
      </c>
      <c r="K4" s="17"/>
      <c r="L4" s="17" t="s">
        <v>31</v>
      </c>
      <c r="M4" s="17" t="s">
        <v>32</v>
      </c>
      <c r="N4" s="17" t="s">
        <v>33</v>
      </c>
      <c r="O4" s="17" t="s">
        <v>34</v>
      </c>
      <c r="P4" s="17"/>
      <c r="Q4" s="17"/>
      <c r="R4" s="17" t="s">
        <v>35</v>
      </c>
      <c r="S4" s="17" t="s">
        <v>36</v>
      </c>
      <c r="T4" s="20"/>
      <c r="U4" s="17"/>
      <c r="V4" s="20"/>
      <c r="W4" s="21" t="s">
        <v>37</v>
      </c>
    </row>
    <row r="5" spans="1:24" s="34" customFormat="1" ht="17.25" customHeight="1">
      <c r="A5" s="315" t="s">
        <v>38</v>
      </c>
      <c r="B5" s="23" t="s">
        <v>39</v>
      </c>
      <c r="C5" s="24">
        <v>8.2829505944667492</v>
      </c>
      <c r="D5" s="25">
        <v>12</v>
      </c>
      <c r="E5" s="26">
        <v>120.7</v>
      </c>
      <c r="F5" s="27">
        <v>39</v>
      </c>
      <c r="G5" s="28">
        <v>467884</v>
      </c>
      <c r="H5" s="28"/>
      <c r="I5" s="28">
        <f>SUM(G5:H5)</f>
        <v>467884</v>
      </c>
      <c r="J5" s="29">
        <v>490000</v>
      </c>
      <c r="K5" s="29">
        <v>451738</v>
      </c>
      <c r="L5" s="28">
        <v>20000</v>
      </c>
      <c r="M5" s="28">
        <v>20000</v>
      </c>
      <c r="N5" s="30">
        <v>70000</v>
      </c>
      <c r="O5" s="30"/>
      <c r="P5" s="28"/>
      <c r="Q5" s="31">
        <f>M5+N5-O5+P5</f>
        <v>90000</v>
      </c>
      <c r="R5" s="31">
        <v>467884</v>
      </c>
      <c r="S5" s="31">
        <f>R5</f>
        <v>467884</v>
      </c>
      <c r="T5" s="32"/>
      <c r="U5" s="31">
        <f>S5-G5</f>
        <v>0</v>
      </c>
      <c r="V5" s="32"/>
      <c r="W5" s="33">
        <f t="shared" ref="W5:W16" si="0">U5/C5/E5/F5</f>
        <v>0</v>
      </c>
    </row>
    <row r="6" spans="1:24" s="34" customFormat="1" ht="17.25" customHeight="1">
      <c r="A6" s="316"/>
      <c r="B6" s="23" t="s">
        <v>40</v>
      </c>
      <c r="C6" s="24">
        <f>G6/F6/E6/D6</f>
        <v>8.7257657364565269</v>
      </c>
      <c r="D6" s="25">
        <v>14</v>
      </c>
      <c r="E6" s="26">
        <v>121.6</v>
      </c>
      <c r="F6" s="27">
        <v>39</v>
      </c>
      <c r="G6" s="28">
        <v>579335</v>
      </c>
      <c r="H6" s="28"/>
      <c r="I6" s="28">
        <f t="shared" ref="I6:I16" si="1">SUM(G6:H6)</f>
        <v>579335</v>
      </c>
      <c r="J6" s="35">
        <v>575000</v>
      </c>
      <c r="K6" s="35">
        <v>553192</v>
      </c>
      <c r="L6" s="28">
        <v>600000</v>
      </c>
      <c r="M6" s="28">
        <v>600000</v>
      </c>
      <c r="N6" s="28"/>
      <c r="O6" s="30"/>
      <c r="P6" s="28"/>
      <c r="Q6" s="31">
        <f t="shared" ref="Q6:Q16" si="2">M6+N6-O6+P6</f>
        <v>600000</v>
      </c>
      <c r="R6" s="31">
        <v>690000</v>
      </c>
      <c r="S6" s="31">
        <f t="shared" ref="S6:S16" si="3">R6-U5</f>
        <v>690000</v>
      </c>
      <c r="T6" s="32"/>
      <c r="U6" s="31">
        <f>S6-G6</f>
        <v>110665</v>
      </c>
      <c r="V6" s="32"/>
      <c r="W6" s="33">
        <f t="shared" si="0"/>
        <v>2.6742903501428361</v>
      </c>
    </row>
    <row r="7" spans="1:24" s="34" customFormat="1" ht="17.25" customHeight="1">
      <c r="A7" s="316"/>
      <c r="B7" s="23" t="s">
        <v>41</v>
      </c>
      <c r="C7" s="24">
        <f>G7/F7/E7/D7</f>
        <v>8.288166814028882</v>
      </c>
      <c r="D7" s="25">
        <v>12</v>
      </c>
      <c r="E7" s="26">
        <v>116</v>
      </c>
      <c r="F7" s="27">
        <v>39</v>
      </c>
      <c r="G7" s="28">
        <v>449948</v>
      </c>
      <c r="H7" s="28"/>
      <c r="I7" s="28">
        <f t="shared" si="1"/>
        <v>449948</v>
      </c>
      <c r="J7" s="35">
        <v>490000</v>
      </c>
      <c r="K7" s="35">
        <v>462032</v>
      </c>
      <c r="L7" s="28">
        <v>600000</v>
      </c>
      <c r="M7" s="28">
        <v>600000</v>
      </c>
      <c r="N7" s="28"/>
      <c r="O7" s="30"/>
      <c r="P7" s="28"/>
      <c r="Q7" s="31">
        <f t="shared" si="2"/>
        <v>600000</v>
      </c>
      <c r="R7" s="28">
        <f>Q7</f>
        <v>600000</v>
      </c>
      <c r="S7" s="31">
        <f t="shared" si="3"/>
        <v>489335</v>
      </c>
      <c r="T7" s="32"/>
      <c r="U7" s="31">
        <f t="shared" ref="U7:U16" si="4">S7-G7</f>
        <v>39387</v>
      </c>
      <c r="V7" s="32"/>
      <c r="W7" s="33">
        <f t="shared" si="0"/>
        <v>1.0504413843377458</v>
      </c>
      <c r="X7" s="36"/>
    </row>
    <row r="8" spans="1:24" s="34" customFormat="1" ht="16.5" customHeight="1">
      <c r="A8" s="316"/>
      <c r="B8" s="23" t="s">
        <v>42</v>
      </c>
      <c r="C8" s="24">
        <f>G8/F8/E8/D8</f>
        <v>8.3252028103723017</v>
      </c>
      <c r="D8" s="25">
        <v>12</v>
      </c>
      <c r="E8" s="26">
        <v>118</v>
      </c>
      <c r="F8" s="27">
        <v>39</v>
      </c>
      <c r="G8" s="28">
        <v>459751</v>
      </c>
      <c r="H8" s="28"/>
      <c r="I8" s="28">
        <f t="shared" si="1"/>
        <v>459751</v>
      </c>
      <c r="J8" s="35">
        <v>490000</v>
      </c>
      <c r="K8" s="35">
        <v>474997</v>
      </c>
      <c r="L8" s="28">
        <v>600000</v>
      </c>
      <c r="M8" s="28">
        <v>600000</v>
      </c>
      <c r="N8" s="28"/>
      <c r="O8" s="30"/>
      <c r="P8" s="28"/>
      <c r="Q8" s="31">
        <f t="shared" si="2"/>
        <v>600000</v>
      </c>
      <c r="R8" s="28">
        <f t="shared" ref="R8:R16" si="5">Q8</f>
        <v>600000</v>
      </c>
      <c r="S8" s="31">
        <f t="shared" si="3"/>
        <v>560613</v>
      </c>
      <c r="T8" s="32"/>
      <c r="U8" s="31">
        <f t="shared" si="4"/>
        <v>100862</v>
      </c>
      <c r="V8" s="32"/>
      <c r="W8" s="33">
        <f t="shared" si="0"/>
        <v>2.6326076506630764</v>
      </c>
      <c r="X8" s="36"/>
    </row>
    <row r="9" spans="1:24" s="34" customFormat="1" ht="17.25" customHeight="1">
      <c r="A9" s="316"/>
      <c r="B9" s="23" t="s">
        <v>43</v>
      </c>
      <c r="C9" s="24">
        <v>8</v>
      </c>
      <c r="D9" s="37">
        <f>G9/F9/E9/C9</f>
        <v>7.6447649572649574</v>
      </c>
      <c r="E9" s="26">
        <v>120</v>
      </c>
      <c r="F9" s="27">
        <v>39</v>
      </c>
      <c r="G9" s="28">
        <v>286220</v>
      </c>
      <c r="H9" s="28"/>
      <c r="I9" s="28">
        <f t="shared" si="1"/>
        <v>286220</v>
      </c>
      <c r="J9" s="35">
        <v>490000</v>
      </c>
      <c r="K9" s="35">
        <v>398320</v>
      </c>
      <c r="L9" s="28"/>
      <c r="M9" s="28"/>
      <c r="N9" s="28"/>
      <c r="O9" s="30"/>
      <c r="P9" s="28">
        <v>500000</v>
      </c>
      <c r="Q9" s="31">
        <f t="shared" si="2"/>
        <v>500000</v>
      </c>
      <c r="R9" s="28">
        <f t="shared" si="5"/>
        <v>500000</v>
      </c>
      <c r="S9" s="31">
        <f t="shared" si="3"/>
        <v>399138</v>
      </c>
      <c r="T9" s="32"/>
      <c r="U9" s="31">
        <f t="shared" si="4"/>
        <v>112918</v>
      </c>
      <c r="V9" s="32"/>
      <c r="W9" s="33">
        <f t="shared" si="0"/>
        <v>3.0159722222222221</v>
      </c>
    </row>
    <row r="10" spans="1:24" s="34" customFormat="1" ht="17.25" customHeight="1">
      <c r="A10" s="316"/>
      <c r="B10" s="38" t="s">
        <v>44</v>
      </c>
      <c r="C10" s="24">
        <v>8</v>
      </c>
      <c r="D10" s="39">
        <f>G10/F10/E10/C10</f>
        <v>7.6447649572649574</v>
      </c>
      <c r="E10" s="26">
        <v>120</v>
      </c>
      <c r="F10" s="27">
        <v>39</v>
      </c>
      <c r="G10" s="28">
        <v>286220</v>
      </c>
      <c r="H10" s="28"/>
      <c r="I10" s="28">
        <f t="shared" si="1"/>
        <v>286220</v>
      </c>
      <c r="J10" s="35">
        <v>535000</v>
      </c>
      <c r="K10" s="35">
        <v>313505</v>
      </c>
      <c r="L10" s="28"/>
      <c r="M10" s="28"/>
      <c r="N10" s="28"/>
      <c r="O10" s="30"/>
      <c r="P10" s="28">
        <v>500000</v>
      </c>
      <c r="Q10" s="31">
        <f t="shared" si="2"/>
        <v>500000</v>
      </c>
      <c r="R10" s="28">
        <f t="shared" si="5"/>
        <v>500000</v>
      </c>
      <c r="S10" s="31">
        <f t="shared" si="3"/>
        <v>387082</v>
      </c>
      <c r="T10" s="32"/>
      <c r="U10" s="31">
        <f t="shared" si="4"/>
        <v>100862</v>
      </c>
      <c r="V10" s="40"/>
      <c r="W10" s="41">
        <f t="shared" si="0"/>
        <v>2.6939636752136753</v>
      </c>
    </row>
    <row r="11" spans="1:24" s="42" customFormat="1" ht="17.25" customHeight="1">
      <c r="A11" s="316"/>
      <c r="B11" s="23" t="s">
        <v>45</v>
      </c>
      <c r="C11" s="24">
        <v>8</v>
      </c>
      <c r="D11" s="25">
        <v>14</v>
      </c>
      <c r="E11" s="26">
        <v>120</v>
      </c>
      <c r="F11" s="27">
        <v>39</v>
      </c>
      <c r="G11" s="28">
        <f t="shared" ref="G11:G16" si="6">C11*D11*E11*F11</f>
        <v>524160</v>
      </c>
      <c r="H11" s="28"/>
      <c r="I11" s="28">
        <f t="shared" si="1"/>
        <v>524160</v>
      </c>
      <c r="J11" s="35">
        <v>575000</v>
      </c>
      <c r="K11" s="35">
        <v>205284</v>
      </c>
      <c r="L11" s="28"/>
      <c r="M11" s="28"/>
      <c r="N11" s="28"/>
      <c r="O11" s="30"/>
      <c r="P11" s="28">
        <v>500000</v>
      </c>
      <c r="Q11" s="31">
        <f t="shared" si="2"/>
        <v>500000</v>
      </c>
      <c r="R11" s="28">
        <f t="shared" si="5"/>
        <v>500000</v>
      </c>
      <c r="S11" s="31">
        <f t="shared" si="3"/>
        <v>399138</v>
      </c>
      <c r="T11" s="32"/>
      <c r="U11" s="31">
        <f t="shared" si="4"/>
        <v>-125022</v>
      </c>
      <c r="V11" s="40"/>
      <c r="W11" s="41">
        <f t="shared" si="0"/>
        <v>-3.3392628205128201</v>
      </c>
    </row>
    <row r="12" spans="1:24" s="42" customFormat="1" ht="17.25" customHeight="1">
      <c r="A12" s="316"/>
      <c r="B12" s="23" t="s">
        <v>46</v>
      </c>
      <c r="C12" s="24">
        <v>8</v>
      </c>
      <c r="D12" s="25">
        <v>12</v>
      </c>
      <c r="E12" s="26">
        <v>120</v>
      </c>
      <c r="F12" s="27">
        <v>39</v>
      </c>
      <c r="G12" s="28">
        <f t="shared" si="6"/>
        <v>449280</v>
      </c>
      <c r="H12" s="28"/>
      <c r="I12" s="28">
        <f t="shared" si="1"/>
        <v>449280</v>
      </c>
      <c r="J12" s="35">
        <v>490000</v>
      </c>
      <c r="K12" s="35">
        <v>229586</v>
      </c>
      <c r="L12" s="28"/>
      <c r="M12" s="28"/>
      <c r="N12" s="28"/>
      <c r="O12" s="30"/>
      <c r="P12" s="28">
        <v>500000</v>
      </c>
      <c r="Q12" s="31">
        <f t="shared" si="2"/>
        <v>500000</v>
      </c>
      <c r="R12" s="28">
        <f t="shared" si="5"/>
        <v>500000</v>
      </c>
      <c r="S12" s="31">
        <f t="shared" si="3"/>
        <v>625022</v>
      </c>
      <c r="T12" s="32"/>
      <c r="U12" s="31">
        <f t="shared" si="4"/>
        <v>175742</v>
      </c>
      <c r="V12" s="40"/>
      <c r="W12" s="41">
        <f t="shared" si="0"/>
        <v>4.6939636752136753</v>
      </c>
      <c r="X12" s="42">
        <f>U12+S12</f>
        <v>800764</v>
      </c>
    </row>
    <row r="13" spans="1:24" s="42" customFormat="1" ht="17.25" customHeight="1">
      <c r="A13" s="316"/>
      <c r="B13" s="23" t="s">
        <v>47</v>
      </c>
      <c r="C13" s="24">
        <v>8</v>
      </c>
      <c r="D13" s="25">
        <v>13</v>
      </c>
      <c r="E13" s="26">
        <v>120</v>
      </c>
      <c r="F13" s="27">
        <v>39</v>
      </c>
      <c r="G13" s="28">
        <f t="shared" si="6"/>
        <v>486720</v>
      </c>
      <c r="H13" s="28"/>
      <c r="I13" s="28">
        <f t="shared" si="1"/>
        <v>486720</v>
      </c>
      <c r="J13" s="35">
        <v>535000</v>
      </c>
      <c r="K13" s="35">
        <v>125755</v>
      </c>
      <c r="L13" s="28"/>
      <c r="M13" s="28"/>
      <c r="N13" s="28"/>
      <c r="O13" s="30"/>
      <c r="P13" s="28">
        <v>500000</v>
      </c>
      <c r="Q13" s="31">
        <f t="shared" si="2"/>
        <v>500000</v>
      </c>
      <c r="R13" s="28">
        <f t="shared" si="5"/>
        <v>500000</v>
      </c>
      <c r="S13" s="31">
        <f t="shared" si="3"/>
        <v>324258</v>
      </c>
      <c r="T13" s="32"/>
      <c r="U13" s="31">
        <f t="shared" si="4"/>
        <v>-162462</v>
      </c>
      <c r="V13" s="40"/>
      <c r="W13" s="41">
        <f t="shared" si="0"/>
        <v>-4.3392628205128201</v>
      </c>
    </row>
    <row r="14" spans="1:24" s="42" customFormat="1" ht="17.25" customHeight="1">
      <c r="A14" s="316"/>
      <c r="B14" s="23" t="s">
        <v>48</v>
      </c>
      <c r="C14" s="24">
        <v>8</v>
      </c>
      <c r="D14" s="25">
        <v>14</v>
      </c>
      <c r="E14" s="26">
        <v>120</v>
      </c>
      <c r="F14" s="27">
        <v>39</v>
      </c>
      <c r="G14" s="28">
        <f t="shared" si="6"/>
        <v>524160</v>
      </c>
      <c r="H14" s="28"/>
      <c r="I14" s="28">
        <f t="shared" si="1"/>
        <v>524160</v>
      </c>
      <c r="J14" s="35">
        <v>575000</v>
      </c>
      <c r="K14" s="35">
        <v>45368</v>
      </c>
      <c r="L14" s="28"/>
      <c r="M14" s="28"/>
      <c r="N14" s="28"/>
      <c r="O14" s="30"/>
      <c r="P14" s="28">
        <v>500000</v>
      </c>
      <c r="Q14" s="31">
        <f t="shared" si="2"/>
        <v>500000</v>
      </c>
      <c r="R14" s="28">
        <f t="shared" si="5"/>
        <v>500000</v>
      </c>
      <c r="S14" s="31">
        <f t="shared" si="3"/>
        <v>662462</v>
      </c>
      <c r="T14" s="32"/>
      <c r="U14" s="31">
        <f t="shared" si="4"/>
        <v>138302</v>
      </c>
      <c r="V14" s="40">
        <v>43861</v>
      </c>
      <c r="W14" s="41">
        <f t="shared" si="0"/>
        <v>3.6939636752136753</v>
      </c>
    </row>
    <row r="15" spans="1:24" s="42" customFormat="1" ht="17.25" customHeight="1">
      <c r="A15" s="316"/>
      <c r="B15" s="23" t="s">
        <v>49</v>
      </c>
      <c r="C15" s="24">
        <v>8</v>
      </c>
      <c r="D15" s="43">
        <v>13</v>
      </c>
      <c r="E15" s="35">
        <v>120</v>
      </c>
      <c r="F15" s="27">
        <v>39</v>
      </c>
      <c r="G15" s="28">
        <f t="shared" si="6"/>
        <v>486720</v>
      </c>
      <c r="H15" s="28"/>
      <c r="I15" s="28">
        <f t="shared" si="1"/>
        <v>486720</v>
      </c>
      <c r="J15" s="35">
        <v>535000</v>
      </c>
      <c r="K15" s="35">
        <v>24407</v>
      </c>
      <c r="L15" s="28"/>
      <c r="M15" s="28"/>
      <c r="N15" s="28"/>
      <c r="O15" s="30"/>
      <c r="P15" s="28">
        <v>500000</v>
      </c>
      <c r="Q15" s="31">
        <f t="shared" si="2"/>
        <v>500000</v>
      </c>
      <c r="R15" s="28">
        <f t="shared" si="5"/>
        <v>500000</v>
      </c>
      <c r="S15" s="31">
        <f t="shared" si="3"/>
        <v>361698</v>
      </c>
      <c r="T15" s="32">
        <v>43861</v>
      </c>
      <c r="U15" s="31">
        <f t="shared" si="4"/>
        <v>-125022</v>
      </c>
      <c r="V15" s="40">
        <v>43876</v>
      </c>
      <c r="W15" s="41">
        <f t="shared" si="0"/>
        <v>-3.3392628205128201</v>
      </c>
    </row>
    <row r="16" spans="1:24" s="42" customFormat="1" ht="17.25" customHeight="1">
      <c r="A16" s="316"/>
      <c r="B16" s="23" t="s">
        <v>50</v>
      </c>
      <c r="C16" s="24">
        <v>8</v>
      </c>
      <c r="D16" s="43">
        <v>13</v>
      </c>
      <c r="E16" s="35">
        <v>120</v>
      </c>
      <c r="F16" s="27">
        <v>39</v>
      </c>
      <c r="G16" s="28">
        <f t="shared" si="6"/>
        <v>486720</v>
      </c>
      <c r="H16" s="28"/>
      <c r="I16" s="28">
        <f t="shared" si="1"/>
        <v>486720</v>
      </c>
      <c r="J16" s="35">
        <v>535000</v>
      </c>
      <c r="K16" s="35">
        <v>18257</v>
      </c>
      <c r="L16" s="28"/>
      <c r="M16" s="28"/>
      <c r="N16" s="28"/>
      <c r="O16" s="30"/>
      <c r="P16" s="28">
        <v>500000</v>
      </c>
      <c r="Q16" s="31">
        <f t="shared" si="2"/>
        <v>500000</v>
      </c>
      <c r="R16" s="28">
        <f t="shared" si="5"/>
        <v>500000</v>
      </c>
      <c r="S16" s="31">
        <f t="shared" si="3"/>
        <v>625022</v>
      </c>
      <c r="T16" s="40">
        <v>43876</v>
      </c>
      <c r="U16" s="31">
        <f t="shared" si="4"/>
        <v>138302</v>
      </c>
      <c r="V16" s="40">
        <v>43889</v>
      </c>
      <c r="W16" s="41">
        <f t="shared" si="0"/>
        <v>3.6939636752136753</v>
      </c>
    </row>
    <row r="17" spans="1:23" s="42" customFormat="1" ht="17.25" customHeight="1">
      <c r="A17" s="317" t="s">
        <v>51</v>
      </c>
      <c r="B17" s="318"/>
      <c r="C17" s="44"/>
      <c r="D17" s="45"/>
      <c r="E17" s="35"/>
      <c r="F17" s="45"/>
      <c r="G17" s="35">
        <f>SUM(G5:G16)</f>
        <v>5487118</v>
      </c>
      <c r="H17" s="35">
        <f>SUM(H5:H16)</f>
        <v>0</v>
      </c>
      <c r="I17" s="35">
        <f>SUM(I5:I16)</f>
        <v>5487118</v>
      </c>
      <c r="J17" s="35">
        <f>SUM(J5:J16)</f>
        <v>6315000</v>
      </c>
      <c r="K17" s="46">
        <f>SUM(K5:K16)</f>
        <v>3302441</v>
      </c>
      <c r="L17" s="46">
        <f t="shared" ref="L17:Q17" si="7">SUM(L5:L16)</f>
        <v>1820000</v>
      </c>
      <c r="M17" s="46"/>
      <c r="N17" s="46"/>
      <c r="O17" s="46"/>
      <c r="P17" s="46">
        <f t="shared" si="7"/>
        <v>4000000</v>
      </c>
      <c r="Q17" s="46">
        <f t="shared" si="7"/>
        <v>5890000</v>
      </c>
      <c r="R17" s="46"/>
      <c r="S17" s="47"/>
      <c r="T17" s="48"/>
      <c r="U17" s="49"/>
      <c r="V17" s="50"/>
      <c r="W17" s="51"/>
    </row>
    <row r="18" spans="1:23" s="60" customFormat="1" ht="17.25" customHeight="1">
      <c r="A18" s="319" t="s">
        <v>52</v>
      </c>
      <c r="B18" s="320"/>
      <c r="C18" s="320"/>
      <c r="D18" s="320"/>
      <c r="E18" s="320"/>
      <c r="F18" s="320" t="s">
        <v>53</v>
      </c>
      <c r="G18" s="320"/>
      <c r="H18" s="320"/>
      <c r="I18" s="320"/>
      <c r="J18" s="321"/>
      <c r="K18" s="52">
        <f>K17/J17</f>
        <v>0.52295186064924781</v>
      </c>
      <c r="L18" s="53">
        <f>L17/J17</f>
        <v>0.28820269200316706</v>
      </c>
      <c r="M18" s="53"/>
      <c r="N18" s="53"/>
      <c r="O18" s="53"/>
      <c r="P18" s="54">
        <f>P17/J17</f>
        <v>0.63341250989707043</v>
      </c>
      <c r="Q18" s="55">
        <f>Q17/J17</f>
        <v>0.93269992082343622</v>
      </c>
      <c r="R18" s="56"/>
      <c r="S18" s="57"/>
      <c r="T18" s="58"/>
      <c r="U18" s="59"/>
      <c r="V18" s="58"/>
      <c r="W18" s="59"/>
    </row>
    <row r="19" spans="1:23" s="60" customFormat="1" ht="17.25" hidden="1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2"/>
      <c r="M19" s="62"/>
      <c r="N19" s="62"/>
      <c r="O19" s="62"/>
      <c r="P19" s="63"/>
      <c r="Q19" s="64"/>
      <c r="R19" s="65"/>
      <c r="S19" s="66"/>
      <c r="T19" s="67"/>
      <c r="U19" s="66"/>
      <c r="V19" s="67"/>
      <c r="W19" s="66"/>
    </row>
    <row r="20" spans="1:23" s="60" customFormat="1" ht="17.25" hidden="1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62"/>
      <c r="N20" s="62"/>
      <c r="O20" s="62"/>
      <c r="P20" s="63"/>
      <c r="Q20" s="64"/>
      <c r="R20" s="65"/>
      <c r="S20" s="66"/>
      <c r="T20" s="67"/>
      <c r="U20" s="66"/>
      <c r="V20" s="67"/>
      <c r="W20" s="66"/>
    </row>
    <row r="21" spans="1:23">
      <c r="E21" s="68"/>
      <c r="P21" s="70"/>
      <c r="R21" s="70"/>
      <c r="S21" s="71">
        <f>S16-I16</f>
        <v>138302</v>
      </c>
    </row>
    <row r="22" spans="1:23">
      <c r="I22" s="73"/>
      <c r="R22" s="73"/>
      <c r="S22" s="73"/>
    </row>
    <row r="23" spans="1:23">
      <c r="I23" s="73">
        <f>SUM(I5:I15)</f>
        <v>5000398</v>
      </c>
      <c r="R23" s="71">
        <f>SUM(R6:R15)</f>
        <v>5390000</v>
      </c>
      <c r="S23" s="73">
        <f>I23-R23</f>
        <v>-389602</v>
      </c>
      <c r="U23" s="71">
        <f>U16-U15</f>
        <v>263324</v>
      </c>
    </row>
    <row r="24" spans="1:23">
      <c r="G24" s="61" t="s">
        <v>54</v>
      </c>
    </row>
    <row r="218" spans="9:9">
      <c r="I218" s="61">
        <v>2</v>
      </c>
    </row>
  </sheetData>
  <mergeCells count="6">
    <mergeCell ref="A18:J18"/>
    <mergeCell ref="L2:O2"/>
    <mergeCell ref="L3:M3"/>
    <mergeCell ref="N3:O3"/>
    <mergeCell ref="A5:A16"/>
    <mergeCell ref="A17:B17"/>
  </mergeCells>
  <phoneticPr fontId="3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FW20季Cold cement 調整工作天數0508 </vt:lpstr>
      <vt:lpstr>FW20 季Cold cement-0508</vt:lpstr>
      <vt:lpstr>SS21 季Cold cement </vt:lpstr>
      <vt:lpstr>SS21 季 Cold cement </vt:lpstr>
      <vt:lpstr>FW21 季 Cold cement</vt:lpstr>
      <vt:lpstr>SS22 季 Cold cement </vt:lpstr>
      <vt:lpstr>FW21 季 Cold cement(0805)</vt:lpstr>
      <vt:lpstr>SS22 季 Cold cement(0805)</vt:lpstr>
      <vt:lpstr>FW21 季 Cold cement(0815)</vt:lpstr>
      <vt:lpstr>SS22 季 Cold cement(0815)</vt:lpstr>
      <vt:lpstr>FW21 季 Cold cement(0831)</vt:lpstr>
      <vt:lpstr>SS22 季 Cold cement(0831)</vt:lpstr>
      <vt:lpstr>SS21 季Cold cement</vt:lpstr>
      <vt:lpstr>工作表1</vt:lpstr>
      <vt:lpstr>FW20 季Cold cement-0417</vt:lpstr>
      <vt:lpstr>FW20 季Cold cement-0411</vt:lpstr>
      <vt:lpstr>FW20 季Cold cement-0320</vt:lpstr>
      <vt:lpstr>FW20 季Cold cement-0307</vt:lpstr>
      <vt:lpstr>FW20 季Cold cement-0218</vt:lpstr>
      <vt:lpstr>SS21季Cold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(SHC-909) Curtis Wang</dc:creator>
  <cp:lastModifiedBy>(SHC-01A9) Yvonne Hsueh</cp:lastModifiedBy>
  <dcterms:created xsi:type="dcterms:W3CDTF">2020-05-15T06:26:27Z</dcterms:created>
  <dcterms:modified xsi:type="dcterms:W3CDTF">2021-09-28T03:54:25Z</dcterms:modified>
</cp:coreProperties>
</file>