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ctrlProps/ctrlProp147.xml" ContentType="application/vnd.ms-excel.controlpropertie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3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harts/chart30.xml" ContentType="application/vnd.openxmlformats-officedocument.drawingml.chart+xml"/>
  <Override PartName="/xl/drawings/drawing4.xml" ContentType="application/vnd.openxmlformats-officedocument.drawing+xml"/>
  <Override PartName="/xl/ctrlProps/ctrlProp152.xml" ContentType="application/vnd.ms-excel.controlproperties+xml"/>
  <Override PartName="/xl/drawings/drawing5.xml" ContentType="application/vnd.openxmlformats-officedocument.drawing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drawings/drawing7.xml" ContentType="application/vnd.openxmlformats-officedocument.drawing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drawings/drawing8.xml" ContentType="application/vnd.openxmlformats-officedocument.drawing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9.xml" ContentType="application/vnd.openxmlformats-officedocument.drawing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drawings/drawing10.xml" ContentType="application/vnd.openxmlformats-officedocument.drawing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1.xml" ContentType="application/vnd.openxmlformats-officedocument.drawing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tables/table11.xml" ContentType="application/vnd.openxmlformats-officedocument.spreadsheetml.tab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125" windowWidth="14805" windowHeight="6990" activeTab="6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MISSION SIMU" sheetId="14" r:id="rId7"/>
    <sheet name="LOOT" sheetId="15" r:id="rId8"/>
    <sheet name="MENU STUFF" sheetId="17" r:id="rId9"/>
    <sheet name="INCOMING DMG %" sheetId="8" r:id="rId10"/>
    <sheet name="weapon proto" sheetId="1" r:id="rId11"/>
    <sheet name="proto1" sheetId="3" r:id="rId12"/>
    <sheet name="proto2" sheetId="4" r:id="rId13"/>
    <sheet name="proto3" sheetId="5" r:id="rId14"/>
    <sheet name="(OLD - IGNORE) ITEM STATS" sheetId="2" state="hidden" r:id="rId15"/>
    <sheet name="proto4" sheetId="9" r:id="rId16"/>
    <sheet name="proto5" sheetId="16" r:id="rId17"/>
    <sheet name="PRESE1" sheetId="18" r:id="rId18"/>
    <sheet name="PRESE EXAMPLE" sheetId="20" r:id="rId19"/>
  </sheets>
  <calcPr calcId="145621"/>
</workbook>
</file>

<file path=xl/calcChain.xml><?xml version="1.0" encoding="utf-8"?>
<calcChain xmlns="http://schemas.openxmlformats.org/spreadsheetml/2006/main">
  <c r="T19" i="15" l="1"/>
  <c r="H85" i="14"/>
  <c r="D6" i="15"/>
  <c r="D7" i="15"/>
  <c r="D8" i="15"/>
  <c r="D9" i="15"/>
  <c r="D10" i="15"/>
  <c r="D11" i="15"/>
  <c r="D12" i="15"/>
  <c r="D13" i="15"/>
  <c r="D14" i="15"/>
  <c r="D15" i="15"/>
  <c r="D16" i="15"/>
  <c r="D17" i="15"/>
  <c r="D5" i="15"/>
  <c r="B10" i="7" l="1"/>
  <c r="B11" i="7"/>
  <c r="B8" i="7" l="1"/>
  <c r="G36" i="20" l="1"/>
  <c r="H36" i="20"/>
  <c r="I36" i="20"/>
  <c r="J36" i="20"/>
  <c r="K36" i="20"/>
  <c r="C4" i="20"/>
  <c r="D4" i="20"/>
  <c r="E4" i="20"/>
  <c r="F4" i="20"/>
  <c r="C5" i="20"/>
  <c r="C35" i="20" s="1"/>
  <c r="D5" i="20"/>
  <c r="E5" i="20"/>
  <c r="F5" i="20"/>
  <c r="C6" i="20"/>
  <c r="D6" i="20"/>
  <c r="E6" i="20"/>
  <c r="F6" i="20"/>
  <c r="C7" i="20"/>
  <c r="C37" i="20" s="1"/>
  <c r="C43" i="20" s="1"/>
  <c r="C49" i="20" s="1"/>
  <c r="D7" i="20"/>
  <c r="E7" i="20"/>
  <c r="F7" i="20"/>
  <c r="B34" i="20"/>
  <c r="B35" i="20"/>
  <c r="B36" i="20"/>
  <c r="B37" i="20"/>
  <c r="C41" i="20" l="1"/>
  <c r="C47" i="20" s="1"/>
  <c r="C36" i="20"/>
  <c r="C42" i="20" s="1"/>
  <c r="C48" i="20" s="1"/>
  <c r="C34" i="20"/>
  <c r="C40" i="20" s="1"/>
  <c r="C46" i="20" s="1"/>
  <c r="E100" i="15"/>
  <c r="F109" i="15"/>
  <c r="F122" i="15" s="1"/>
  <c r="F110" i="15"/>
  <c r="F111" i="15"/>
  <c r="F112" i="15"/>
  <c r="F113" i="15"/>
  <c r="F114" i="15"/>
  <c r="F123" i="15" s="1"/>
  <c r="F115" i="15"/>
  <c r="F116" i="15"/>
  <c r="F117" i="15"/>
  <c r="F118" i="15"/>
  <c r="F119" i="15"/>
  <c r="F120" i="15"/>
  <c r="F121" i="15"/>
  <c r="F108" i="15"/>
  <c r="F124" i="15" s="1"/>
  <c r="E124" i="15"/>
  <c r="E123" i="15"/>
  <c r="E122" i="15"/>
  <c r="E103" i="15"/>
  <c r="E102" i="15"/>
  <c r="E101" i="15"/>
  <c r="E66" i="15"/>
  <c r="E68" i="15"/>
  <c r="F41" i="15" s="1"/>
  <c r="E67" i="15"/>
  <c r="E65" i="15"/>
  <c r="E64" i="15"/>
  <c r="S106" i="15"/>
  <c r="R106" i="15"/>
  <c r="Q106" i="15"/>
  <c r="P106" i="15"/>
  <c r="O106" i="15"/>
  <c r="N106" i="15"/>
  <c r="M106" i="15"/>
  <c r="L106" i="15"/>
  <c r="K106" i="15"/>
  <c r="J106" i="15"/>
  <c r="J70" i="15"/>
  <c r="S70" i="15"/>
  <c r="R70" i="15"/>
  <c r="Q70" i="15"/>
  <c r="P70" i="15"/>
  <c r="O70" i="15"/>
  <c r="N70" i="15"/>
  <c r="M70" i="15"/>
  <c r="L70" i="15"/>
  <c r="K70" i="15"/>
  <c r="K33" i="15"/>
  <c r="L33" i="15"/>
  <c r="M33" i="15"/>
  <c r="N33" i="15"/>
  <c r="O33" i="15"/>
  <c r="P33" i="15"/>
  <c r="Q33" i="15"/>
  <c r="R33" i="15"/>
  <c r="S33" i="15"/>
  <c r="J33" i="15"/>
  <c r="T28" i="15"/>
  <c r="T29" i="15"/>
  <c r="T33" i="15" s="1"/>
  <c r="T30" i="15"/>
  <c r="T106" i="15" s="1"/>
  <c r="J109" i="15" s="1"/>
  <c r="T27" i="15"/>
  <c r="E104" i="15"/>
  <c r="F81" i="15" s="1"/>
  <c r="B28" i="14"/>
  <c r="O114" i="15" l="1"/>
  <c r="K120" i="15"/>
  <c r="R117" i="15"/>
  <c r="P118" i="15"/>
  <c r="O118" i="15"/>
  <c r="Q113" i="15"/>
  <c r="P108" i="15"/>
  <c r="R121" i="15"/>
  <c r="Q121" i="15"/>
  <c r="K112" i="15"/>
  <c r="S109" i="15"/>
  <c r="J121" i="15"/>
  <c r="Q117" i="15"/>
  <c r="M111" i="15"/>
  <c r="L120" i="15"/>
  <c r="J117" i="15"/>
  <c r="O110" i="15"/>
  <c r="L116" i="15"/>
  <c r="N119" i="15"/>
  <c r="K116" i="15"/>
  <c r="Q108" i="15"/>
  <c r="M119" i="15"/>
  <c r="M115" i="15"/>
  <c r="O108" i="15"/>
  <c r="P121" i="15"/>
  <c r="R120" i="15"/>
  <c r="J120" i="15"/>
  <c r="L119" i="15"/>
  <c r="N118" i="15"/>
  <c r="P117" i="15"/>
  <c r="R116" i="15"/>
  <c r="J116" i="15"/>
  <c r="L115" i="15"/>
  <c r="N114" i="15"/>
  <c r="P113" i="15"/>
  <c r="R112" i="15"/>
  <c r="J112" i="15"/>
  <c r="L111" i="15"/>
  <c r="N110" i="15"/>
  <c r="P109" i="15"/>
  <c r="N108" i="15"/>
  <c r="O121" i="15"/>
  <c r="Q120" i="15"/>
  <c r="S119" i="15"/>
  <c r="K119" i="15"/>
  <c r="M118" i="15"/>
  <c r="O117" i="15"/>
  <c r="Q116" i="15"/>
  <c r="S115" i="15"/>
  <c r="K115" i="15"/>
  <c r="M114" i="15"/>
  <c r="O113" i="15"/>
  <c r="Q112" i="15"/>
  <c r="S111" i="15"/>
  <c r="K111" i="15"/>
  <c r="M110" i="15"/>
  <c r="O109" i="15"/>
  <c r="S116" i="15"/>
  <c r="Q109" i="15"/>
  <c r="N121" i="15"/>
  <c r="R119" i="15"/>
  <c r="L118" i="15"/>
  <c r="N117" i="15"/>
  <c r="R115" i="15"/>
  <c r="J115" i="15"/>
  <c r="L114" i="15"/>
  <c r="N113" i="15"/>
  <c r="R111" i="15"/>
  <c r="J111" i="15"/>
  <c r="L110" i="15"/>
  <c r="N109" i="15"/>
  <c r="T70" i="15"/>
  <c r="M81" i="15" s="1"/>
  <c r="N41" i="15"/>
  <c r="S108" i="15"/>
  <c r="K108" i="15"/>
  <c r="L121" i="15"/>
  <c r="N120" i="15"/>
  <c r="P119" i="15"/>
  <c r="R118" i="15"/>
  <c r="J118" i="15"/>
  <c r="L117" i="15"/>
  <c r="N116" i="15"/>
  <c r="P115" i="15"/>
  <c r="R114" i="15"/>
  <c r="J114" i="15"/>
  <c r="L113" i="15"/>
  <c r="N112" i="15"/>
  <c r="P111" i="15"/>
  <c r="R110" i="15"/>
  <c r="J110" i="15"/>
  <c r="L109" i="15"/>
  <c r="S120" i="15"/>
  <c r="S112" i="15"/>
  <c r="M108" i="15"/>
  <c r="P120" i="15"/>
  <c r="J119" i="15"/>
  <c r="P116" i="15"/>
  <c r="P112" i="15"/>
  <c r="J108" i="15"/>
  <c r="L108" i="15"/>
  <c r="M121" i="15"/>
  <c r="O120" i="15"/>
  <c r="Q119" i="15"/>
  <c r="S118" i="15"/>
  <c r="K118" i="15"/>
  <c r="M117" i="15"/>
  <c r="O116" i="15"/>
  <c r="Q115" i="15"/>
  <c r="S114" i="15"/>
  <c r="K114" i="15"/>
  <c r="M113" i="15"/>
  <c r="O112" i="15"/>
  <c r="Q111" i="15"/>
  <c r="S110" i="15"/>
  <c r="K110" i="15"/>
  <c r="M109" i="15"/>
  <c r="R108" i="15"/>
  <c r="S121" i="15"/>
  <c r="K121" i="15"/>
  <c r="M120" i="15"/>
  <c r="O119" i="15"/>
  <c r="Q118" i="15"/>
  <c r="S117" i="15"/>
  <c r="K117" i="15"/>
  <c r="M116" i="15"/>
  <c r="O115" i="15"/>
  <c r="Q114" i="15"/>
  <c r="S113" i="15"/>
  <c r="K113" i="15"/>
  <c r="M112" i="15"/>
  <c r="O111" i="15"/>
  <c r="Q110" i="15"/>
  <c r="K109" i="15"/>
  <c r="N115" i="15"/>
  <c r="P114" i="15"/>
  <c r="R113" i="15"/>
  <c r="J113" i="15"/>
  <c r="L112" i="15"/>
  <c r="N111" i="15"/>
  <c r="P110" i="15"/>
  <c r="R109" i="15"/>
  <c r="F97" i="15"/>
  <c r="F96" i="15"/>
  <c r="F89" i="15"/>
  <c r="F86" i="15"/>
  <c r="F80" i="15"/>
  <c r="F78" i="15"/>
  <c r="F94" i="15"/>
  <c r="F77" i="15"/>
  <c r="F93" i="15"/>
  <c r="F73" i="15"/>
  <c r="F102" i="15"/>
  <c r="F85" i="15"/>
  <c r="F101" i="15"/>
  <c r="F74" i="15"/>
  <c r="F82" i="15"/>
  <c r="F90" i="15"/>
  <c r="F98" i="15"/>
  <c r="F92" i="15"/>
  <c r="F75" i="15"/>
  <c r="F83" i="15"/>
  <c r="F91" i="15"/>
  <c r="F99" i="15"/>
  <c r="F84" i="15"/>
  <c r="F100" i="15"/>
  <c r="F76" i="15"/>
  <c r="F79" i="15"/>
  <c r="F87" i="15"/>
  <c r="F95" i="15"/>
  <c r="F103" i="15"/>
  <c r="F72" i="15"/>
  <c r="F88" i="15"/>
  <c r="F51" i="15"/>
  <c r="P51" i="15" s="1"/>
  <c r="F44" i="15"/>
  <c r="R44" i="15" s="1"/>
  <c r="F40" i="15"/>
  <c r="P40" i="15" s="1"/>
  <c r="F62" i="15"/>
  <c r="R62" i="15" s="1"/>
  <c r="F55" i="15"/>
  <c r="S55" i="15" s="1"/>
  <c r="F54" i="15"/>
  <c r="M54" i="15" s="1"/>
  <c r="F43" i="15"/>
  <c r="K43" i="15" s="1"/>
  <c r="N40" i="15"/>
  <c r="F63" i="15"/>
  <c r="L63" i="15" s="1"/>
  <c r="F52" i="15"/>
  <c r="O52" i="15" s="1"/>
  <c r="F42" i="15"/>
  <c r="F60" i="15"/>
  <c r="R60" i="15" s="1"/>
  <c r="F39" i="15"/>
  <c r="Q39" i="15" s="1"/>
  <c r="K41" i="15"/>
  <c r="F48" i="15"/>
  <c r="M48" i="15" s="1"/>
  <c r="L51" i="15"/>
  <c r="F58" i="15"/>
  <c r="M58" i="15" s="1"/>
  <c r="F47" i="15"/>
  <c r="S47" i="15" s="1"/>
  <c r="F36" i="15"/>
  <c r="M36" i="15" s="1"/>
  <c r="F50" i="15"/>
  <c r="L50" i="15" s="1"/>
  <c r="F59" i="15"/>
  <c r="R59" i="15" s="1"/>
  <c r="F38" i="15"/>
  <c r="J38" i="15" s="1"/>
  <c r="F56" i="15"/>
  <c r="Q56" i="15" s="1"/>
  <c r="F46" i="15"/>
  <c r="L46" i="15" s="1"/>
  <c r="F35" i="15"/>
  <c r="Q35" i="15" s="1"/>
  <c r="S39" i="15"/>
  <c r="P55" i="15"/>
  <c r="Q55" i="15"/>
  <c r="L44" i="15"/>
  <c r="Q44" i="15"/>
  <c r="S44" i="15"/>
  <c r="K44" i="15"/>
  <c r="O44" i="15"/>
  <c r="N44" i="15"/>
  <c r="P44" i="15"/>
  <c r="R41" i="15"/>
  <c r="J41" i="15"/>
  <c r="Q41" i="15"/>
  <c r="P41" i="15"/>
  <c r="O41" i="15"/>
  <c r="M41" i="15"/>
  <c r="L41" i="15"/>
  <c r="P63" i="15"/>
  <c r="O63" i="15"/>
  <c r="M60" i="15"/>
  <c r="K60" i="15"/>
  <c r="P47" i="15"/>
  <c r="M47" i="15"/>
  <c r="O47" i="15"/>
  <c r="N47" i="15"/>
  <c r="R47" i="15"/>
  <c r="J47" i="15"/>
  <c r="L36" i="15"/>
  <c r="K36" i="15"/>
  <c r="Q36" i="15"/>
  <c r="R36" i="15"/>
  <c r="P36" i="15"/>
  <c r="S41" i="15"/>
  <c r="M44" i="15"/>
  <c r="Q59" i="15"/>
  <c r="N35" i="15"/>
  <c r="K46" i="15"/>
  <c r="F61" i="15"/>
  <c r="F53" i="15"/>
  <c r="F45" i="15"/>
  <c r="F37" i="15"/>
  <c r="M35" i="15"/>
  <c r="K51" i="15"/>
  <c r="S51" i="15"/>
  <c r="K59" i="15"/>
  <c r="M62" i="15"/>
  <c r="S35" i="15"/>
  <c r="R35" i="15"/>
  <c r="R40" i="15"/>
  <c r="O46" i="15"/>
  <c r="L48" i="15"/>
  <c r="P50" i="15"/>
  <c r="N51" i="15"/>
  <c r="P62" i="15"/>
  <c r="F57" i="15"/>
  <c r="F49" i="15"/>
  <c r="K40" i="15"/>
  <c r="S40" i="15"/>
  <c r="M43" i="15"/>
  <c r="P46" i="15"/>
  <c r="Q62" i="15"/>
  <c r="K35" i="15"/>
  <c r="J54" i="15"/>
  <c r="J62" i="15"/>
  <c r="N122" i="15" l="1"/>
  <c r="Q122" i="15"/>
  <c r="T115" i="15"/>
  <c r="P122" i="15"/>
  <c r="Q123" i="15"/>
  <c r="T117" i="15"/>
  <c r="O123" i="15"/>
  <c r="T109" i="15"/>
  <c r="T119" i="15"/>
  <c r="T116" i="15"/>
  <c r="T121" i="15"/>
  <c r="L97" i="15"/>
  <c r="Q89" i="15"/>
  <c r="T118" i="15"/>
  <c r="M89" i="15"/>
  <c r="J97" i="15"/>
  <c r="K93" i="15"/>
  <c r="Q81" i="15"/>
  <c r="O97" i="15"/>
  <c r="K97" i="15"/>
  <c r="M97" i="15"/>
  <c r="M86" i="15"/>
  <c r="O73" i="15"/>
  <c r="Q96" i="15"/>
  <c r="J81" i="15"/>
  <c r="S96" i="15"/>
  <c r="J94" i="15"/>
  <c r="L122" i="15"/>
  <c r="R123" i="15"/>
  <c r="T111" i="15"/>
  <c r="T112" i="15"/>
  <c r="N89" i="15"/>
  <c r="L73" i="15"/>
  <c r="S81" i="15"/>
  <c r="R96" i="15"/>
  <c r="O122" i="15"/>
  <c r="P73" i="15"/>
  <c r="L81" i="15"/>
  <c r="P97" i="15"/>
  <c r="K123" i="15"/>
  <c r="K73" i="15"/>
  <c r="O77" i="15"/>
  <c r="R122" i="15"/>
  <c r="P96" i="15"/>
  <c r="T108" i="15"/>
  <c r="J122" i="15"/>
  <c r="K122" i="15"/>
  <c r="R97" i="15"/>
  <c r="P123" i="15"/>
  <c r="S73" i="15"/>
  <c r="K81" i="15"/>
  <c r="J96" i="15"/>
  <c r="M122" i="15"/>
  <c r="Q97" i="15"/>
  <c r="R81" i="15"/>
  <c r="S123" i="15"/>
  <c r="T114" i="15"/>
  <c r="J123" i="15"/>
  <c r="M78" i="15"/>
  <c r="M73" i="15"/>
  <c r="O81" i="15"/>
  <c r="J78" i="15"/>
  <c r="M96" i="15"/>
  <c r="S89" i="15"/>
  <c r="O96" i="15"/>
  <c r="N81" i="15"/>
  <c r="L85" i="15"/>
  <c r="S80" i="15"/>
  <c r="T110" i="15"/>
  <c r="S122" i="15"/>
  <c r="M123" i="15"/>
  <c r="T120" i="15"/>
  <c r="S97" i="15"/>
  <c r="J89" i="15"/>
  <c r="P81" i="15"/>
  <c r="O86" i="15"/>
  <c r="T113" i="15"/>
  <c r="L123" i="15"/>
  <c r="N123" i="15"/>
  <c r="S86" i="15"/>
  <c r="K86" i="15"/>
  <c r="O89" i="15"/>
  <c r="N86" i="15"/>
  <c r="O85" i="15"/>
  <c r="O94" i="15"/>
  <c r="Q73" i="15"/>
  <c r="N73" i="15"/>
  <c r="N97" i="15"/>
  <c r="S85" i="15"/>
  <c r="L78" i="15"/>
  <c r="M80" i="15"/>
  <c r="O93" i="15"/>
  <c r="Q86" i="15"/>
  <c r="N93" i="15"/>
  <c r="N80" i="15"/>
  <c r="P80" i="15"/>
  <c r="R80" i="15"/>
  <c r="P86" i="15"/>
  <c r="Q78" i="15"/>
  <c r="R86" i="15"/>
  <c r="K89" i="15"/>
  <c r="R78" i="15"/>
  <c r="O80" i="15"/>
  <c r="L89" i="15"/>
  <c r="K96" i="15"/>
  <c r="L86" i="15"/>
  <c r="P78" i="15"/>
  <c r="K80" i="15"/>
  <c r="N96" i="15"/>
  <c r="R89" i="15"/>
  <c r="K94" i="15"/>
  <c r="L96" i="15"/>
  <c r="P89" i="15"/>
  <c r="S78" i="15"/>
  <c r="J80" i="15"/>
  <c r="K78" i="15"/>
  <c r="L80" i="15"/>
  <c r="J86" i="15"/>
  <c r="N78" i="15"/>
  <c r="O78" i="15"/>
  <c r="Q80" i="15"/>
  <c r="L77" i="15"/>
  <c r="P77" i="15"/>
  <c r="K77" i="15"/>
  <c r="L94" i="15"/>
  <c r="N94" i="15"/>
  <c r="L93" i="15"/>
  <c r="Q93" i="15"/>
  <c r="R93" i="15"/>
  <c r="N85" i="15"/>
  <c r="R73" i="15"/>
  <c r="R77" i="15"/>
  <c r="M94" i="15"/>
  <c r="J93" i="15"/>
  <c r="M85" i="15"/>
  <c r="J73" i="15"/>
  <c r="J77" i="15"/>
  <c r="S94" i="15"/>
  <c r="Q85" i="15"/>
  <c r="N77" i="15"/>
  <c r="M93" i="15"/>
  <c r="K85" i="15"/>
  <c r="Q94" i="15"/>
  <c r="R94" i="15"/>
  <c r="M77" i="15"/>
  <c r="P85" i="15"/>
  <c r="Q77" i="15"/>
  <c r="R85" i="15"/>
  <c r="P93" i="15"/>
  <c r="S93" i="15"/>
  <c r="J85" i="15"/>
  <c r="S77" i="15"/>
  <c r="P94" i="15"/>
  <c r="P72" i="15"/>
  <c r="Q72" i="15"/>
  <c r="R72" i="15"/>
  <c r="M72" i="15"/>
  <c r="J72" i="15"/>
  <c r="L72" i="15"/>
  <c r="K72" i="15"/>
  <c r="N72" i="15"/>
  <c r="O72" i="15"/>
  <c r="S72" i="15"/>
  <c r="Q99" i="15"/>
  <c r="S99" i="15"/>
  <c r="J99" i="15"/>
  <c r="R99" i="15"/>
  <c r="K99" i="15"/>
  <c r="N99" i="15"/>
  <c r="M99" i="15"/>
  <c r="O99" i="15"/>
  <c r="P99" i="15"/>
  <c r="L99" i="15"/>
  <c r="K74" i="15"/>
  <c r="S74" i="15"/>
  <c r="L74" i="15"/>
  <c r="M74" i="15"/>
  <c r="P74" i="15"/>
  <c r="Q74" i="15"/>
  <c r="O74" i="15"/>
  <c r="J74" i="15"/>
  <c r="N74" i="15"/>
  <c r="R74" i="15"/>
  <c r="Q91" i="15"/>
  <c r="J91" i="15"/>
  <c r="R91" i="15"/>
  <c r="S91" i="15"/>
  <c r="K91" i="15"/>
  <c r="N91" i="15"/>
  <c r="O91" i="15"/>
  <c r="P91" i="15"/>
  <c r="L91" i="15"/>
  <c r="M91" i="15"/>
  <c r="Q95" i="15"/>
  <c r="J95" i="15"/>
  <c r="R95" i="15"/>
  <c r="S95" i="15"/>
  <c r="K95" i="15"/>
  <c r="N95" i="15"/>
  <c r="L95" i="15"/>
  <c r="M95" i="15"/>
  <c r="O95" i="15"/>
  <c r="P95" i="15"/>
  <c r="Q83" i="15"/>
  <c r="J83" i="15"/>
  <c r="R83" i="15"/>
  <c r="K83" i="15"/>
  <c r="S83" i="15"/>
  <c r="N83" i="15"/>
  <c r="O83" i="15"/>
  <c r="L83" i="15"/>
  <c r="M83" i="15"/>
  <c r="P83" i="15"/>
  <c r="Q75" i="15"/>
  <c r="J75" i="15"/>
  <c r="R75" i="15"/>
  <c r="K75" i="15"/>
  <c r="S75" i="15"/>
  <c r="N75" i="15"/>
  <c r="O75" i="15"/>
  <c r="P75" i="15"/>
  <c r="L75" i="15"/>
  <c r="M75" i="15"/>
  <c r="Q79" i="15"/>
  <c r="J79" i="15"/>
  <c r="R79" i="15"/>
  <c r="S79" i="15"/>
  <c r="K79" i="15"/>
  <c r="N79" i="15"/>
  <c r="O79" i="15"/>
  <c r="L79" i="15"/>
  <c r="M79" i="15"/>
  <c r="P79" i="15"/>
  <c r="O76" i="15"/>
  <c r="P76" i="15"/>
  <c r="Q76" i="15"/>
  <c r="L76" i="15"/>
  <c r="M76" i="15"/>
  <c r="J76" i="15"/>
  <c r="K76" i="15"/>
  <c r="N76" i="15"/>
  <c r="R76" i="15"/>
  <c r="S76" i="15"/>
  <c r="K98" i="15"/>
  <c r="S98" i="15"/>
  <c r="L98" i="15"/>
  <c r="M98" i="15"/>
  <c r="P98" i="15"/>
  <c r="J98" i="15"/>
  <c r="N98" i="15"/>
  <c r="O98" i="15"/>
  <c r="Q98" i="15"/>
  <c r="R98" i="15"/>
  <c r="K90" i="15"/>
  <c r="S90" i="15"/>
  <c r="L90" i="15"/>
  <c r="M90" i="15"/>
  <c r="P90" i="15"/>
  <c r="Q90" i="15"/>
  <c r="O90" i="15"/>
  <c r="R90" i="15"/>
  <c r="J90" i="15"/>
  <c r="N90" i="15"/>
  <c r="Q87" i="15"/>
  <c r="J87" i="15"/>
  <c r="R87" i="15"/>
  <c r="S87" i="15"/>
  <c r="K87" i="15"/>
  <c r="N87" i="15"/>
  <c r="O87" i="15"/>
  <c r="L87" i="15"/>
  <c r="M87" i="15"/>
  <c r="P87" i="15"/>
  <c r="O92" i="15"/>
  <c r="P92" i="15"/>
  <c r="Q92" i="15"/>
  <c r="L92" i="15"/>
  <c r="M92" i="15"/>
  <c r="R92" i="15"/>
  <c r="S92" i="15"/>
  <c r="J92" i="15"/>
  <c r="K92" i="15"/>
  <c r="N92" i="15"/>
  <c r="O88" i="15"/>
  <c r="P88" i="15"/>
  <c r="Q88" i="15"/>
  <c r="L88" i="15"/>
  <c r="M88" i="15"/>
  <c r="N88" i="15"/>
  <c r="R88" i="15"/>
  <c r="S88" i="15"/>
  <c r="J88" i="15"/>
  <c r="K88" i="15"/>
  <c r="O84" i="15"/>
  <c r="P84" i="15"/>
  <c r="Q84" i="15"/>
  <c r="L84" i="15"/>
  <c r="M84" i="15"/>
  <c r="K84" i="15"/>
  <c r="N84" i="15"/>
  <c r="R84" i="15"/>
  <c r="S84" i="15"/>
  <c r="J84" i="15"/>
  <c r="K82" i="15"/>
  <c r="S82" i="15"/>
  <c r="L82" i="15"/>
  <c r="M82" i="15"/>
  <c r="P82" i="15"/>
  <c r="Q82" i="15"/>
  <c r="J82" i="15"/>
  <c r="N82" i="15"/>
  <c r="O82" i="15"/>
  <c r="R82" i="15"/>
  <c r="P56" i="15"/>
  <c r="O51" i="15"/>
  <c r="L54" i="15"/>
  <c r="N36" i="15"/>
  <c r="K47" i="15"/>
  <c r="Q63" i="15"/>
  <c r="J44" i="15"/>
  <c r="Q40" i="15"/>
  <c r="Q50" i="15"/>
  <c r="M59" i="15"/>
  <c r="J40" i="15"/>
  <c r="O40" i="15"/>
  <c r="P48" i="15"/>
  <c r="O36" i="15"/>
  <c r="J63" i="15"/>
  <c r="N39" i="15"/>
  <c r="Q51" i="15"/>
  <c r="O59" i="15"/>
  <c r="R63" i="15"/>
  <c r="N59" i="15"/>
  <c r="N63" i="15"/>
  <c r="J39" i="15"/>
  <c r="P52" i="15"/>
  <c r="M55" i="15"/>
  <c r="K62" i="15"/>
  <c r="L56" i="15"/>
  <c r="L62" i="15"/>
  <c r="R38" i="15"/>
  <c r="P60" i="15"/>
  <c r="S52" i="15"/>
  <c r="N55" i="15"/>
  <c r="S62" i="15"/>
  <c r="Q54" i="15"/>
  <c r="P54" i="15"/>
  <c r="S43" i="15"/>
  <c r="Q43" i="15"/>
  <c r="J36" i="15"/>
  <c r="Q60" i="15"/>
  <c r="M52" i="15"/>
  <c r="J60" i="15"/>
  <c r="O55" i="15"/>
  <c r="N62" i="15"/>
  <c r="J55" i="15"/>
  <c r="F64" i="15"/>
  <c r="G64" i="15" s="1"/>
  <c r="R51" i="15"/>
  <c r="N60" i="15"/>
  <c r="R55" i="15"/>
  <c r="L39" i="15"/>
  <c r="L40" i="15"/>
  <c r="M40" i="15"/>
  <c r="M51" i="15"/>
  <c r="J51" i="15"/>
  <c r="S36" i="15"/>
  <c r="L55" i="15"/>
  <c r="M63" i="15"/>
  <c r="K55" i="15"/>
  <c r="M39" i="15"/>
  <c r="O62" i="15"/>
  <c r="P42" i="15"/>
  <c r="L42" i="15"/>
  <c r="J42" i="15"/>
  <c r="R42" i="15"/>
  <c r="Q42" i="15"/>
  <c r="M42" i="15"/>
  <c r="P38" i="15"/>
  <c r="Q38" i="15"/>
  <c r="M38" i="15"/>
  <c r="L38" i="15"/>
  <c r="J52" i="15"/>
  <c r="R52" i="15"/>
  <c r="N38" i="15"/>
  <c r="S42" i="15"/>
  <c r="O60" i="15"/>
  <c r="N52" i="15"/>
  <c r="K39" i="15"/>
  <c r="P59" i="15"/>
  <c r="L59" i="15"/>
  <c r="N48" i="15"/>
  <c r="R48" i="15"/>
  <c r="K48" i="15"/>
  <c r="S48" i="15"/>
  <c r="O48" i="15"/>
  <c r="J48" i="15"/>
  <c r="R58" i="15"/>
  <c r="N58" i="15"/>
  <c r="S58" i="15"/>
  <c r="O58" i="15"/>
  <c r="K58" i="15"/>
  <c r="Q58" i="15"/>
  <c r="K38" i="15"/>
  <c r="S60" i="15"/>
  <c r="K52" i="15"/>
  <c r="K63" i="15"/>
  <c r="P39" i="15"/>
  <c r="P35" i="15"/>
  <c r="L35" i="15"/>
  <c r="O35" i="15"/>
  <c r="J35" i="15"/>
  <c r="R54" i="15"/>
  <c r="S54" i="15"/>
  <c r="O54" i="15"/>
  <c r="N54" i="15"/>
  <c r="K54" i="15"/>
  <c r="N56" i="15"/>
  <c r="O56" i="15"/>
  <c r="J56" i="15"/>
  <c r="K56" i="15"/>
  <c r="S56" i="15"/>
  <c r="R56" i="15"/>
  <c r="K42" i="15"/>
  <c r="R50" i="15"/>
  <c r="O50" i="15"/>
  <c r="S50" i="15"/>
  <c r="N50" i="15"/>
  <c r="K50" i="15"/>
  <c r="O42" i="15"/>
  <c r="J58" i="15"/>
  <c r="M56" i="15"/>
  <c r="S38" i="15"/>
  <c r="R39" i="15"/>
  <c r="Q52" i="15"/>
  <c r="N43" i="15"/>
  <c r="O43" i="15"/>
  <c r="J43" i="15"/>
  <c r="R43" i="15"/>
  <c r="L43" i="15"/>
  <c r="M50" i="15"/>
  <c r="J59" i="15"/>
  <c r="J50" i="15"/>
  <c r="O38" i="15"/>
  <c r="P58" i="15"/>
  <c r="N42" i="15"/>
  <c r="S59" i="15"/>
  <c r="Q48" i="15"/>
  <c r="L58" i="15"/>
  <c r="P43" i="15"/>
  <c r="O39" i="15"/>
  <c r="L60" i="15"/>
  <c r="L52" i="15"/>
  <c r="S63" i="15"/>
  <c r="R46" i="15"/>
  <c r="M46" i="15"/>
  <c r="Q46" i="15"/>
  <c r="J46" i="15"/>
  <c r="S46" i="15"/>
  <c r="N46" i="15"/>
  <c r="Q47" i="15"/>
  <c r="L47" i="15"/>
  <c r="L57" i="15"/>
  <c r="Q57" i="15"/>
  <c r="S57" i="15"/>
  <c r="K57" i="15"/>
  <c r="R57" i="15"/>
  <c r="J57" i="15"/>
  <c r="O57" i="15"/>
  <c r="N57" i="15"/>
  <c r="M57" i="15"/>
  <c r="P57" i="15"/>
  <c r="S45" i="15"/>
  <c r="J45" i="15"/>
  <c r="R45" i="15"/>
  <c r="Q45" i="15"/>
  <c r="P45" i="15"/>
  <c r="M45" i="15"/>
  <c r="L45" i="15"/>
  <c r="O45" i="15"/>
  <c r="N45" i="15"/>
  <c r="K45" i="15"/>
  <c r="F68" i="15"/>
  <c r="L53" i="15"/>
  <c r="S53" i="15"/>
  <c r="K53" i="15"/>
  <c r="R53" i="15"/>
  <c r="J53" i="15"/>
  <c r="Q53" i="15"/>
  <c r="O53" i="15"/>
  <c r="N53" i="15"/>
  <c r="M53" i="15"/>
  <c r="P53" i="15"/>
  <c r="L61" i="15"/>
  <c r="S61" i="15"/>
  <c r="K61" i="15"/>
  <c r="R61" i="15"/>
  <c r="J61" i="15"/>
  <c r="Q61" i="15"/>
  <c r="O61" i="15"/>
  <c r="N61" i="15"/>
  <c r="M61" i="15"/>
  <c r="P61" i="15"/>
  <c r="F65" i="15"/>
  <c r="G65" i="15" s="1"/>
  <c r="L49" i="15"/>
  <c r="S49" i="15"/>
  <c r="K49" i="15"/>
  <c r="R49" i="15"/>
  <c r="J49" i="15"/>
  <c r="Q49" i="15"/>
  <c r="O49" i="15"/>
  <c r="N49" i="15"/>
  <c r="P49" i="15"/>
  <c r="M49" i="15"/>
  <c r="F66" i="15"/>
  <c r="G66" i="15" s="1"/>
  <c r="R37" i="15"/>
  <c r="J37" i="15"/>
  <c r="O37" i="15"/>
  <c r="Q37" i="15"/>
  <c r="P37" i="15"/>
  <c r="M37" i="15"/>
  <c r="L37" i="15"/>
  <c r="K37" i="15"/>
  <c r="S37" i="15"/>
  <c r="N37" i="15"/>
  <c r="F67" i="15"/>
  <c r="H69" i="14"/>
  <c r="T81" i="15" l="1"/>
  <c r="T97" i="15"/>
  <c r="T123" i="15"/>
  <c r="T73" i="15"/>
  <c r="T122" i="15"/>
  <c r="T62" i="15"/>
  <c r="T93" i="15"/>
  <c r="T86" i="15"/>
  <c r="T78" i="15"/>
  <c r="T89" i="15"/>
  <c r="Q101" i="15"/>
  <c r="T77" i="15"/>
  <c r="T80" i="15"/>
  <c r="T96" i="15"/>
  <c r="P102" i="15"/>
  <c r="Q102" i="15"/>
  <c r="T85" i="15"/>
  <c r="R101" i="15"/>
  <c r="P101" i="15"/>
  <c r="O101" i="15"/>
  <c r="Q103" i="15"/>
  <c r="L101" i="15"/>
  <c r="R102" i="15"/>
  <c r="N101" i="15"/>
  <c r="L102" i="15"/>
  <c r="K101" i="15"/>
  <c r="T94" i="15"/>
  <c r="M101" i="15"/>
  <c r="M102" i="15"/>
  <c r="T98" i="15"/>
  <c r="S101" i="15"/>
  <c r="S102" i="15"/>
  <c r="M103" i="15"/>
  <c r="N102" i="15"/>
  <c r="K102" i="15"/>
  <c r="O103" i="15"/>
  <c r="N100" i="15"/>
  <c r="K100" i="15"/>
  <c r="T92" i="15"/>
  <c r="P103" i="15"/>
  <c r="T76" i="15"/>
  <c r="L100" i="15"/>
  <c r="T84" i="15"/>
  <c r="T87" i="15"/>
  <c r="J102" i="15"/>
  <c r="T79" i="15"/>
  <c r="J101" i="15"/>
  <c r="T83" i="15"/>
  <c r="T82" i="15"/>
  <c r="L103" i="15"/>
  <c r="S103" i="15"/>
  <c r="T75" i="15"/>
  <c r="R100" i="15"/>
  <c r="J100" i="15"/>
  <c r="T72" i="15"/>
  <c r="T91" i="15"/>
  <c r="T74" i="15"/>
  <c r="M100" i="15"/>
  <c r="N103" i="15"/>
  <c r="T95" i="15"/>
  <c r="T88" i="15"/>
  <c r="O102" i="15"/>
  <c r="T90" i="15"/>
  <c r="J103" i="15"/>
  <c r="K103" i="15"/>
  <c r="S100" i="15"/>
  <c r="Q100" i="15"/>
  <c r="T99" i="15"/>
  <c r="R103" i="15"/>
  <c r="O100" i="15"/>
  <c r="P100" i="15"/>
  <c r="J66" i="15"/>
  <c r="R64" i="15"/>
  <c r="J64" i="15"/>
  <c r="M64" i="15"/>
  <c r="T35" i="15"/>
  <c r="G67" i="15"/>
  <c r="G68" i="15" s="1"/>
  <c r="R65" i="15"/>
  <c r="P66" i="15"/>
  <c r="S64" i="15"/>
  <c r="M65" i="15"/>
  <c r="O66" i="15"/>
  <c r="O64" i="15"/>
  <c r="N64" i="15"/>
  <c r="L65" i="15"/>
  <c r="N66" i="15"/>
  <c r="L64" i="15"/>
  <c r="L66" i="15"/>
  <c r="J67" i="15"/>
  <c r="P64" i="15"/>
  <c r="K64" i="15"/>
  <c r="O65" i="15"/>
  <c r="K65" i="15"/>
  <c r="M66" i="15"/>
  <c r="Q65" i="15"/>
  <c r="K66" i="15"/>
  <c r="Q64" i="15"/>
  <c r="P65" i="15"/>
  <c r="Q66" i="15"/>
  <c r="N65" i="15"/>
  <c r="S66" i="15"/>
  <c r="S65" i="15"/>
  <c r="J65" i="15"/>
  <c r="R66" i="15"/>
  <c r="S67" i="15"/>
  <c r="K67" i="15"/>
  <c r="L67" i="15"/>
  <c r="R67" i="15"/>
  <c r="T63" i="15"/>
  <c r="T37" i="15"/>
  <c r="O67" i="15"/>
  <c r="T40" i="15"/>
  <c r="T39" i="15"/>
  <c r="T54" i="15"/>
  <c r="T53" i="15"/>
  <c r="T43" i="15"/>
  <c r="T49" i="15"/>
  <c r="T46" i="15"/>
  <c r="T57" i="15"/>
  <c r="T60" i="15"/>
  <c r="T51" i="15"/>
  <c r="T45" i="15"/>
  <c r="Q67" i="15"/>
  <c r="T61" i="15"/>
  <c r="T50" i="15"/>
  <c r="T41" i="15"/>
  <c r="T38" i="15"/>
  <c r="T47" i="15"/>
  <c r="P67" i="15"/>
  <c r="T58" i="15"/>
  <c r="T55" i="15"/>
  <c r="N67" i="15"/>
  <c r="T42" i="15"/>
  <c r="T48" i="15"/>
  <c r="T56" i="15"/>
  <c r="T44" i="15"/>
  <c r="T59" i="15"/>
  <c r="T52" i="15"/>
  <c r="M67" i="15"/>
  <c r="T36" i="15"/>
  <c r="I104" i="14"/>
  <c r="U108" i="14"/>
  <c r="N105" i="14"/>
  <c r="O105" i="14"/>
  <c r="N106" i="14" s="1"/>
  <c r="O104" i="14"/>
  <c r="G105" i="14"/>
  <c r="H105" i="14"/>
  <c r="H104" i="14"/>
  <c r="G104" i="14"/>
  <c r="V104" i="14"/>
  <c r="I101" i="14"/>
  <c r="N72" i="14"/>
  <c r="M73" i="14" s="1"/>
  <c r="N69" i="14"/>
  <c r="G69" i="14"/>
  <c r="I66" i="14"/>
  <c r="U69" i="14"/>
  <c r="T70" i="14"/>
  <c r="U70" i="14" s="1"/>
  <c r="X19" i="14"/>
  <c r="W19" i="14"/>
  <c r="V19" i="14"/>
  <c r="V47" i="14"/>
  <c r="V46" i="14"/>
  <c r="B27" i="14"/>
  <c r="Q19" i="14"/>
  <c r="T124" i="15" l="1"/>
  <c r="T101" i="15"/>
  <c r="T102" i="15"/>
  <c r="T103" i="15"/>
  <c r="T100" i="15"/>
  <c r="T64" i="15"/>
  <c r="T66" i="15"/>
  <c r="T67" i="15"/>
  <c r="T65" i="15"/>
  <c r="I88" i="14"/>
  <c r="I69" i="14"/>
  <c r="O72" i="14"/>
  <c r="I74" i="14"/>
  <c r="I83" i="14"/>
  <c r="I91" i="14"/>
  <c r="I75" i="14"/>
  <c r="I84" i="14"/>
  <c r="I92" i="14"/>
  <c r="J69" i="14"/>
  <c r="I76" i="14"/>
  <c r="I85" i="14"/>
  <c r="I93" i="14"/>
  <c r="I77" i="14"/>
  <c r="I78" i="14"/>
  <c r="I86" i="14"/>
  <c r="I94" i="14"/>
  <c r="I70" i="14"/>
  <c r="I79" i="14"/>
  <c r="I87" i="14"/>
  <c r="I71" i="14"/>
  <c r="I80" i="14"/>
  <c r="I72" i="14"/>
  <c r="I81" i="14"/>
  <c r="I89" i="14"/>
  <c r="I73" i="14"/>
  <c r="I82" i="14"/>
  <c r="I90" i="14"/>
  <c r="I105" i="14"/>
  <c r="J104" i="14"/>
  <c r="P104" i="14"/>
  <c r="Q104" i="14" s="1"/>
  <c r="I106" i="14"/>
  <c r="P105" i="14"/>
  <c r="W105" i="14"/>
  <c r="W104" i="14"/>
  <c r="X104" i="14" s="1"/>
  <c r="V105" i="14"/>
  <c r="G106" i="14"/>
  <c r="H106" i="14" s="1"/>
  <c r="G70" i="14"/>
  <c r="O69" i="14"/>
  <c r="P69" i="14" s="1"/>
  <c r="M70" i="14"/>
  <c r="T72" i="14"/>
  <c r="U72" i="14" s="1"/>
  <c r="T71" i="14"/>
  <c r="U71" i="14" s="1"/>
  <c r="S19" i="14"/>
  <c r="U22" i="14" s="1"/>
  <c r="R19" i="14"/>
  <c r="L32" i="14"/>
  <c r="L33" i="14"/>
  <c r="L36" i="14"/>
  <c r="L37" i="14"/>
  <c r="L38" i="14"/>
  <c r="L31" i="14"/>
  <c r="K32" i="14"/>
  <c r="K33" i="14"/>
  <c r="K34" i="14"/>
  <c r="K35" i="14"/>
  <c r="K36" i="14"/>
  <c r="K37" i="14"/>
  <c r="K38" i="14"/>
  <c r="K31" i="14"/>
  <c r="C38" i="14"/>
  <c r="C37" i="14"/>
  <c r="C36" i="14"/>
  <c r="C35" i="14"/>
  <c r="C34" i="14"/>
  <c r="C33" i="14"/>
  <c r="C32" i="14"/>
  <c r="C31" i="14"/>
  <c r="H32" i="14"/>
  <c r="H33" i="14"/>
  <c r="H34" i="14"/>
  <c r="H35" i="14"/>
  <c r="H36" i="14"/>
  <c r="H37" i="14"/>
  <c r="H38" i="14"/>
  <c r="H31" i="14"/>
  <c r="D32" i="14"/>
  <c r="D33" i="14"/>
  <c r="D34" i="14"/>
  <c r="D35" i="14"/>
  <c r="D36" i="14"/>
  <c r="D37" i="14"/>
  <c r="D38" i="14"/>
  <c r="F31" i="14"/>
  <c r="D31" i="14"/>
  <c r="B16" i="14"/>
  <c r="B17" i="14"/>
  <c r="B18" i="14"/>
  <c r="B15" i="14"/>
  <c r="C15" i="15"/>
  <c r="C16" i="15"/>
  <c r="C17" i="15"/>
  <c r="H8" i="15"/>
  <c r="C6" i="15"/>
  <c r="C7" i="15"/>
  <c r="C8" i="15"/>
  <c r="C9" i="15"/>
  <c r="C10" i="15"/>
  <c r="C11" i="15"/>
  <c r="C12" i="15"/>
  <c r="C13" i="15"/>
  <c r="C14" i="15"/>
  <c r="C5" i="15"/>
  <c r="G32" i="14"/>
  <c r="G33" i="14"/>
  <c r="G34" i="14"/>
  <c r="G35" i="14"/>
  <c r="G36" i="14"/>
  <c r="G37" i="14"/>
  <c r="G38" i="14"/>
  <c r="G31" i="14"/>
  <c r="F38" i="14"/>
  <c r="F32" i="14"/>
  <c r="F33" i="14"/>
  <c r="F34" i="14"/>
  <c r="F35" i="14"/>
  <c r="F36" i="14"/>
  <c r="F37" i="14"/>
  <c r="I58" i="6"/>
  <c r="I60" i="6"/>
  <c r="I79" i="6"/>
  <c r="I81" i="6"/>
  <c r="I100" i="6"/>
  <c r="I102" i="6"/>
  <c r="I121" i="6"/>
  <c r="I123" i="6"/>
  <c r="I142" i="6"/>
  <c r="I144" i="6"/>
  <c r="I165" i="6"/>
  <c r="I163" i="6"/>
  <c r="T68" i="15" l="1"/>
  <c r="T104" i="15"/>
  <c r="H9" i="15"/>
  <c r="K9" i="15" s="1"/>
  <c r="H11" i="15"/>
  <c r="J11" i="15" s="1"/>
  <c r="K8" i="15"/>
  <c r="H5" i="15"/>
  <c r="N5" i="15" s="1"/>
  <c r="H10" i="15"/>
  <c r="M10" i="15" s="1"/>
  <c r="H12" i="15"/>
  <c r="L12" i="15" s="1"/>
  <c r="J8" i="15"/>
  <c r="O8" i="15"/>
  <c r="M8" i="15"/>
  <c r="P8" i="15"/>
  <c r="L8" i="15"/>
  <c r="N8" i="15"/>
  <c r="H17" i="15"/>
  <c r="R17" i="15" s="1"/>
  <c r="L17" i="15"/>
  <c r="H14" i="15"/>
  <c r="M14" i="15" s="1"/>
  <c r="H6" i="15"/>
  <c r="L6" i="15" s="1"/>
  <c r="L14" i="15"/>
  <c r="O11" i="15"/>
  <c r="R8" i="15"/>
  <c r="S11" i="15"/>
  <c r="H13" i="15"/>
  <c r="O13" i="15" s="1"/>
  <c r="S14" i="15"/>
  <c r="K14" i="15"/>
  <c r="N11" i="15"/>
  <c r="Q8" i="15"/>
  <c r="K6" i="15"/>
  <c r="J14" i="15"/>
  <c r="R11" i="15"/>
  <c r="H16" i="15"/>
  <c r="Q16" i="15" s="1"/>
  <c r="Q11" i="15"/>
  <c r="H15" i="15"/>
  <c r="L15" i="15" s="1"/>
  <c r="H7" i="15"/>
  <c r="L7" i="15" s="1"/>
  <c r="S8" i="15"/>
  <c r="X105" i="14"/>
  <c r="U106" i="14"/>
  <c r="B69" i="14"/>
  <c r="C69" i="14" s="1"/>
  <c r="O106" i="14"/>
  <c r="N107" i="14" s="1"/>
  <c r="P106" i="14"/>
  <c r="B104" i="14"/>
  <c r="C104" i="14" s="1"/>
  <c r="Q105" i="14"/>
  <c r="J105" i="14"/>
  <c r="N70" i="14"/>
  <c r="M71" i="14" s="1"/>
  <c r="O70" i="14"/>
  <c r="H70" i="14"/>
  <c r="G71" i="14" s="1"/>
  <c r="T73" i="14"/>
  <c r="U73" i="14" s="1"/>
  <c r="T74" i="14"/>
  <c r="U74" i="14" s="1"/>
  <c r="P72" i="14"/>
  <c r="U41" i="14"/>
  <c r="U37" i="14"/>
  <c r="U33" i="14"/>
  <c r="U29" i="14"/>
  <c r="U25" i="14"/>
  <c r="U21" i="14"/>
  <c r="U44" i="14"/>
  <c r="U40" i="14"/>
  <c r="U36" i="14"/>
  <c r="U32" i="14"/>
  <c r="U28" i="14"/>
  <c r="U24" i="14"/>
  <c r="U43" i="14"/>
  <c r="U39" i="14"/>
  <c r="U35" i="14"/>
  <c r="U31" i="14"/>
  <c r="U27" i="14"/>
  <c r="U23" i="14"/>
  <c r="U42" i="14"/>
  <c r="U38" i="14"/>
  <c r="U34" i="14"/>
  <c r="U30" i="14"/>
  <c r="U26" i="14"/>
  <c r="M37" i="14"/>
  <c r="M35" i="14"/>
  <c r="A46" i="14" s="1"/>
  <c r="M33" i="14"/>
  <c r="A44" i="14" s="1"/>
  <c r="M31" i="14"/>
  <c r="A42" i="14" s="1"/>
  <c r="Q59" i="14"/>
  <c r="R59" i="14" s="1"/>
  <c r="R58" i="14"/>
  <c r="O60" i="14"/>
  <c r="O61" i="14" s="1"/>
  <c r="Q61" i="14" s="1"/>
  <c r="J59" i="14"/>
  <c r="L59" i="14" s="1"/>
  <c r="M59" i="14" s="1"/>
  <c r="L58" i="14"/>
  <c r="M58" i="14" s="1"/>
  <c r="B55" i="14"/>
  <c r="E58" i="14" s="1"/>
  <c r="G58" i="14" s="1"/>
  <c r="V5" i="14"/>
  <c r="V6" i="14"/>
  <c r="V7" i="14"/>
  <c r="V8" i="14"/>
  <c r="V9" i="14"/>
  <c r="V10" i="14"/>
  <c r="V11" i="14"/>
  <c r="V4" i="14"/>
  <c r="Q6" i="15" l="1"/>
  <c r="R14" i="15"/>
  <c r="K11" i="15"/>
  <c r="K17" i="15"/>
  <c r="L5" i="15"/>
  <c r="S17" i="15"/>
  <c r="N14" i="15"/>
  <c r="P12" i="15"/>
  <c r="P17" i="15"/>
  <c r="Q17" i="15"/>
  <c r="Q14" i="15"/>
  <c r="Q9" i="15"/>
  <c r="K10" i="15"/>
  <c r="S9" i="15"/>
  <c r="O14" i="15"/>
  <c r="O9" i="15"/>
  <c r="P9" i="15"/>
  <c r="M12" i="15"/>
  <c r="P5" i="15"/>
  <c r="Q10" i="15"/>
  <c r="L9" i="15"/>
  <c r="M9" i="15"/>
  <c r="S10" i="15"/>
  <c r="K5" i="15"/>
  <c r="M5" i="15"/>
  <c r="R10" i="15"/>
  <c r="N9" i="15"/>
  <c r="R9" i="15"/>
  <c r="O10" i="15"/>
  <c r="N6" i="15"/>
  <c r="Q5" i="15"/>
  <c r="J9" i="15"/>
  <c r="P11" i="15"/>
  <c r="K15" i="15"/>
  <c r="S6" i="15"/>
  <c r="R6" i="15"/>
  <c r="J5" i="15"/>
  <c r="O5" i="15"/>
  <c r="O12" i="15"/>
  <c r="S12" i="15"/>
  <c r="P14" i="15"/>
  <c r="N12" i="15"/>
  <c r="R12" i="15"/>
  <c r="S5" i="15"/>
  <c r="S16" i="15"/>
  <c r="L16" i="15"/>
  <c r="R16" i="15"/>
  <c r="Q12" i="15"/>
  <c r="R5" i="15"/>
  <c r="L11" i="15"/>
  <c r="M11" i="15"/>
  <c r="J12" i="15"/>
  <c r="J10" i="15"/>
  <c r="L10" i="15"/>
  <c r="P10" i="15"/>
  <c r="M6" i="15"/>
  <c r="N10" i="15"/>
  <c r="K12" i="15"/>
  <c r="S7" i="15"/>
  <c r="P13" i="15"/>
  <c r="S15" i="15"/>
  <c r="R7" i="15"/>
  <c r="K7" i="15"/>
  <c r="P6" i="15"/>
  <c r="K13" i="15"/>
  <c r="S13" i="15"/>
  <c r="Q13" i="15"/>
  <c r="M7" i="15"/>
  <c r="Q7" i="15"/>
  <c r="P7" i="15"/>
  <c r="O7" i="15"/>
  <c r="N7" i="15"/>
  <c r="J7" i="15"/>
  <c r="N13" i="15"/>
  <c r="J6" i="15"/>
  <c r="Q15" i="15"/>
  <c r="P15" i="15"/>
  <c r="R15" i="15"/>
  <c r="N15" i="15"/>
  <c r="J15" i="15"/>
  <c r="M15" i="15"/>
  <c r="O15" i="15"/>
  <c r="L13" i="15"/>
  <c r="J13" i="15"/>
  <c r="M16" i="15"/>
  <c r="O16" i="15"/>
  <c r="J16" i="15"/>
  <c r="N16" i="15"/>
  <c r="P16" i="15"/>
  <c r="R13" i="15"/>
  <c r="O6" i="15"/>
  <c r="M13" i="15"/>
  <c r="M17" i="15"/>
  <c r="J17" i="15"/>
  <c r="O17" i="15"/>
  <c r="N17" i="15"/>
  <c r="K16" i="15"/>
  <c r="B105" i="14"/>
  <c r="C105" i="14" s="1"/>
  <c r="V106" i="14"/>
  <c r="U107" i="14" s="1"/>
  <c r="W106" i="14"/>
  <c r="X106" i="14" s="1"/>
  <c r="O107" i="14"/>
  <c r="N108" i="14" s="1"/>
  <c r="P107" i="14"/>
  <c r="Q106" i="14"/>
  <c r="G107" i="14"/>
  <c r="N71" i="14"/>
  <c r="O71" i="14"/>
  <c r="P70" i="14"/>
  <c r="N73" i="14"/>
  <c r="M74" i="14" s="1"/>
  <c r="O73" i="14"/>
  <c r="H71" i="14"/>
  <c r="G72" i="14" s="1"/>
  <c r="J71" i="14"/>
  <c r="J70" i="14"/>
  <c r="U46" i="14"/>
  <c r="U48" i="14" s="1"/>
  <c r="U47" i="14"/>
  <c r="U49" i="14" s="1"/>
  <c r="T23" i="14"/>
  <c r="T22" i="14"/>
  <c r="T28" i="14"/>
  <c r="T34" i="14"/>
  <c r="T43" i="14"/>
  <c r="T21" i="14"/>
  <c r="T30" i="14"/>
  <c r="T37" i="14"/>
  <c r="T42" i="14"/>
  <c r="T33" i="14"/>
  <c r="T39" i="14"/>
  <c r="T29" i="14"/>
  <c r="T44" i="14"/>
  <c r="T38" i="14"/>
  <c r="T25" i="14"/>
  <c r="T40" i="14"/>
  <c r="T35" i="14"/>
  <c r="T36" i="14"/>
  <c r="T26" i="14"/>
  <c r="T32" i="14"/>
  <c r="T31" i="14"/>
  <c r="T41" i="14"/>
  <c r="T24" i="14"/>
  <c r="T27" i="14"/>
  <c r="G48" i="14"/>
  <c r="H48" i="14"/>
  <c r="F48" i="14"/>
  <c r="C48" i="14"/>
  <c r="D48" i="14"/>
  <c r="A48" i="14"/>
  <c r="H46" i="14"/>
  <c r="D46" i="14"/>
  <c r="G46" i="14"/>
  <c r="F46" i="14"/>
  <c r="C46" i="14"/>
  <c r="H44" i="14"/>
  <c r="G44" i="14"/>
  <c r="F44" i="14"/>
  <c r="D44" i="14"/>
  <c r="C44" i="14"/>
  <c r="H42" i="14"/>
  <c r="F42" i="14"/>
  <c r="G42" i="14"/>
  <c r="D42" i="14"/>
  <c r="C42" i="14"/>
  <c r="I12" i="14"/>
  <c r="Q60" i="14"/>
  <c r="R60" i="14" s="1"/>
  <c r="R61" i="14"/>
  <c r="O62" i="14"/>
  <c r="J60" i="14"/>
  <c r="H58" i="14"/>
  <c r="B58" i="14" s="1"/>
  <c r="E59" i="14"/>
  <c r="G59" i="14" s="1"/>
  <c r="R19" i="15" l="1"/>
  <c r="M19" i="15"/>
  <c r="L19" i="15"/>
  <c r="O19" i="15"/>
  <c r="P19" i="15"/>
  <c r="Q19" i="15"/>
  <c r="S19" i="15"/>
  <c r="J19" i="15"/>
  <c r="N19" i="15"/>
  <c r="K19" i="15"/>
  <c r="V107" i="14"/>
  <c r="W107" i="14"/>
  <c r="X107" i="14" s="1"/>
  <c r="Q107" i="14"/>
  <c r="H107" i="14"/>
  <c r="I107" i="14"/>
  <c r="O108" i="14"/>
  <c r="P108" i="14"/>
  <c r="J106" i="14"/>
  <c r="N74" i="14"/>
  <c r="O74" i="14"/>
  <c r="P73" i="14"/>
  <c r="P71" i="14"/>
  <c r="B71" i="14" s="1"/>
  <c r="B70" i="14"/>
  <c r="C70" i="14" s="1"/>
  <c r="H72" i="14"/>
  <c r="T47" i="14"/>
  <c r="T49" i="14" s="1"/>
  <c r="T46" i="14"/>
  <c r="T48" i="14" s="1"/>
  <c r="H50" i="14"/>
  <c r="Q62" i="14"/>
  <c r="R62" i="14" s="1"/>
  <c r="O63" i="14"/>
  <c r="Q63" i="14" s="1"/>
  <c r="R63" i="14" s="1"/>
  <c r="L60" i="14"/>
  <c r="M60" i="14" s="1"/>
  <c r="J61" i="14"/>
  <c r="E60" i="14"/>
  <c r="J21" i="15" l="1"/>
  <c r="B20" i="14" s="1"/>
  <c r="H22" i="14" s="1"/>
  <c r="J23" i="15"/>
  <c r="B22" i="14" s="1"/>
  <c r="K24" i="14" s="1"/>
  <c r="J22" i="15"/>
  <c r="B21" i="14" s="1"/>
  <c r="K23" i="14" s="1"/>
  <c r="F104" i="15"/>
  <c r="V108" i="14"/>
  <c r="U109" i="14" s="1"/>
  <c r="W108" i="14"/>
  <c r="X108" i="14" s="1"/>
  <c r="Q108" i="14"/>
  <c r="N109" i="14"/>
  <c r="P109" i="14" s="1"/>
  <c r="J72" i="14"/>
  <c r="B72" i="14" s="1"/>
  <c r="C71" i="14"/>
  <c r="B106" i="14"/>
  <c r="C106" i="14" s="1"/>
  <c r="G108" i="14"/>
  <c r="P74" i="14"/>
  <c r="M75" i="14"/>
  <c r="G73" i="14"/>
  <c r="H73" i="14" s="1"/>
  <c r="G74" i="14" s="1"/>
  <c r="J62" i="14"/>
  <c r="L62" i="14" s="1"/>
  <c r="M62" i="14" s="1"/>
  <c r="L61" i="14"/>
  <c r="M61" i="14" s="1"/>
  <c r="E61" i="14"/>
  <c r="G60" i="14"/>
  <c r="H59" i="14"/>
  <c r="B59" i="14" s="1"/>
  <c r="I31" i="6"/>
  <c r="I41" i="6" s="1"/>
  <c r="I49" i="6" l="1"/>
  <c r="J8" i="12" s="1"/>
  <c r="I47" i="6"/>
  <c r="J6" i="12" s="1"/>
  <c r="I50" i="6"/>
  <c r="J9" i="12" s="1"/>
  <c r="I51" i="6"/>
  <c r="J10" i="12" s="1"/>
  <c r="I44" i="6"/>
  <c r="J3" i="12" s="1"/>
  <c r="I52" i="6"/>
  <c r="J11" i="12" s="1"/>
  <c r="I48" i="6"/>
  <c r="J7" i="12" s="1"/>
  <c r="I45" i="6"/>
  <c r="J4" i="12" s="1"/>
  <c r="I53" i="6"/>
  <c r="J12" i="12" s="1"/>
  <c r="I46" i="6"/>
  <c r="J5" i="12" s="1"/>
  <c r="I167" i="6"/>
  <c r="I62" i="6"/>
  <c r="I83" i="6"/>
  <c r="I104" i="6"/>
  <c r="I125" i="6"/>
  <c r="I146" i="6"/>
  <c r="J22" i="14"/>
  <c r="K22" i="14"/>
  <c r="I22" i="14"/>
  <c r="H24" i="14"/>
  <c r="J24" i="14"/>
  <c r="E38" i="14"/>
  <c r="B38" i="14" s="1"/>
  <c r="I38" i="14" s="1"/>
  <c r="E35" i="14"/>
  <c r="B35" i="14" s="1"/>
  <c r="E36" i="14"/>
  <c r="B36" i="14" s="1"/>
  <c r="I36" i="14" s="1"/>
  <c r="I24" i="14"/>
  <c r="E32" i="14"/>
  <c r="B32" i="14" s="1"/>
  <c r="E34" i="14"/>
  <c r="B34" i="14" s="1"/>
  <c r="I34" i="14" s="1"/>
  <c r="I23" i="14"/>
  <c r="J23" i="14"/>
  <c r="E37" i="14"/>
  <c r="B37" i="14" s="1"/>
  <c r="I37" i="14" s="1"/>
  <c r="E33" i="14"/>
  <c r="B33" i="14" s="1"/>
  <c r="E31" i="14"/>
  <c r="B31" i="14" s="1"/>
  <c r="I31" i="14" s="1"/>
  <c r="H23" i="14"/>
  <c r="C72" i="14"/>
  <c r="V109" i="14"/>
  <c r="U110" i="14"/>
  <c r="W109" i="14"/>
  <c r="X109" i="14" s="1"/>
  <c r="H108" i="14"/>
  <c r="I108" i="14"/>
  <c r="O109" i="14"/>
  <c r="Q109" i="14" s="1"/>
  <c r="J107" i="14"/>
  <c r="N75" i="14"/>
  <c r="O75" i="14"/>
  <c r="H74" i="14"/>
  <c r="G75" i="14" s="1"/>
  <c r="J73" i="14"/>
  <c r="B73" i="14" s="1"/>
  <c r="C73" i="14" s="1"/>
  <c r="H75" i="14"/>
  <c r="G76" i="14" s="1"/>
  <c r="L11" i="14"/>
  <c r="K11" i="14" s="1"/>
  <c r="L10" i="14"/>
  <c r="K10" i="14" s="1"/>
  <c r="E62" i="14"/>
  <c r="G62" i="14" s="1"/>
  <c r="H62" i="14" s="1"/>
  <c r="B62" i="14" s="1"/>
  <c r="G61" i="14"/>
  <c r="H61" i="14" s="1"/>
  <c r="B61" i="14" s="1"/>
  <c r="H60" i="14"/>
  <c r="B60" i="14" s="1"/>
  <c r="I133" i="6" l="1"/>
  <c r="J48" i="12" s="1"/>
  <c r="I128" i="6"/>
  <c r="J43" i="12" s="1"/>
  <c r="I136" i="6"/>
  <c r="J51" i="12" s="1"/>
  <c r="I130" i="6"/>
  <c r="J45" i="12" s="1"/>
  <c r="I131" i="6"/>
  <c r="J46" i="12" s="1"/>
  <c r="I132" i="6"/>
  <c r="J47" i="12" s="1"/>
  <c r="I134" i="6"/>
  <c r="J49" i="12" s="1"/>
  <c r="I135" i="6"/>
  <c r="J50" i="12" s="1"/>
  <c r="I137" i="6"/>
  <c r="J52" i="12" s="1"/>
  <c r="I129" i="6"/>
  <c r="J44" i="12" s="1"/>
  <c r="I110" i="6"/>
  <c r="J36" i="12" s="1"/>
  <c r="I116" i="6"/>
  <c r="J42" i="12" s="1"/>
  <c r="I108" i="6"/>
  <c r="J34" i="12" s="1"/>
  <c r="I109" i="6"/>
  <c r="J35" i="12" s="1"/>
  <c r="I113" i="6"/>
  <c r="J39" i="12" s="1"/>
  <c r="I107" i="6"/>
  <c r="J33" i="12" s="1"/>
  <c r="I115" i="6"/>
  <c r="J41" i="12" s="1"/>
  <c r="I111" i="6"/>
  <c r="J37" i="12" s="1"/>
  <c r="I112" i="6"/>
  <c r="J38" i="12" s="1"/>
  <c r="I114" i="6"/>
  <c r="J40" i="12" s="1"/>
  <c r="I155" i="6"/>
  <c r="J59" i="12" s="1"/>
  <c r="I153" i="6"/>
  <c r="J57" i="12" s="1"/>
  <c r="I157" i="6"/>
  <c r="J61" i="12" s="1"/>
  <c r="I149" i="6"/>
  <c r="J53" i="12" s="1"/>
  <c r="I156" i="6"/>
  <c r="J60" i="12" s="1"/>
  <c r="I151" i="6"/>
  <c r="J55" i="12" s="1"/>
  <c r="I150" i="6"/>
  <c r="J54" i="12" s="1"/>
  <c r="I154" i="6"/>
  <c r="J58" i="12" s="1"/>
  <c r="I158" i="6"/>
  <c r="J62" i="12" s="1"/>
  <c r="I152" i="6"/>
  <c r="J56" i="12" s="1"/>
  <c r="I177" i="6"/>
  <c r="J70" i="12" s="1"/>
  <c r="I178" i="6"/>
  <c r="J71" i="12" s="1"/>
  <c r="I170" i="6"/>
  <c r="J63" i="12" s="1"/>
  <c r="I175" i="6"/>
  <c r="J68" i="12" s="1"/>
  <c r="I171" i="6"/>
  <c r="J64" i="12" s="1"/>
  <c r="I176" i="6"/>
  <c r="J69" i="12" s="1"/>
  <c r="I174" i="6"/>
  <c r="J67" i="12" s="1"/>
  <c r="I173" i="6"/>
  <c r="J66" i="12" s="1"/>
  <c r="I179" i="6"/>
  <c r="J72" i="12" s="1"/>
  <c r="I172" i="6"/>
  <c r="J65" i="12" s="1"/>
  <c r="I93" i="6"/>
  <c r="J30" i="12" s="1"/>
  <c r="I86" i="6"/>
  <c r="J23" i="12" s="1"/>
  <c r="I94" i="6"/>
  <c r="J31" i="12" s="1"/>
  <c r="I89" i="6"/>
  <c r="J26" i="12" s="1"/>
  <c r="I88" i="6"/>
  <c r="J25" i="12" s="1"/>
  <c r="I95" i="6"/>
  <c r="J32" i="12" s="1"/>
  <c r="I92" i="6"/>
  <c r="J29" i="12" s="1"/>
  <c r="I87" i="6"/>
  <c r="J24" i="12" s="1"/>
  <c r="I91" i="6"/>
  <c r="J28" i="12" s="1"/>
  <c r="I90" i="6"/>
  <c r="J27" i="12" s="1"/>
  <c r="I71" i="6"/>
  <c r="J19" i="12" s="1"/>
  <c r="I69" i="6"/>
  <c r="J17" i="12" s="1"/>
  <c r="I68" i="6"/>
  <c r="J16" i="12" s="1"/>
  <c r="I67" i="6"/>
  <c r="J15" i="12" s="1"/>
  <c r="I70" i="6"/>
  <c r="J18" i="12" s="1"/>
  <c r="I74" i="6"/>
  <c r="J22" i="12" s="1"/>
  <c r="I66" i="6"/>
  <c r="J14" i="12" s="1"/>
  <c r="I72" i="6"/>
  <c r="J20" i="12" s="1"/>
  <c r="I73" i="6"/>
  <c r="J21" i="12" s="1"/>
  <c r="I65" i="6"/>
  <c r="J13" i="12" s="1"/>
  <c r="L4" i="14"/>
  <c r="K4" i="14" s="1"/>
  <c r="L6" i="14"/>
  <c r="K6" i="14" s="1"/>
  <c r="L9" i="14"/>
  <c r="K9" i="14" s="1"/>
  <c r="L7" i="14"/>
  <c r="K7" i="14" s="1"/>
  <c r="B44" i="14"/>
  <c r="E42" i="14"/>
  <c r="B48" i="14"/>
  <c r="I33" i="14"/>
  <c r="I44" i="14" s="1"/>
  <c r="E44" i="14"/>
  <c r="E48" i="14"/>
  <c r="E46" i="14"/>
  <c r="L5" i="14"/>
  <c r="K5" i="14" s="1"/>
  <c r="L8" i="14"/>
  <c r="K8" i="14" s="1"/>
  <c r="I35" i="14"/>
  <c r="I46" i="14" s="1"/>
  <c r="B46" i="14"/>
  <c r="B42" i="14"/>
  <c r="I32" i="14"/>
  <c r="I42" i="14" s="1"/>
  <c r="V110" i="14"/>
  <c r="U111" i="14"/>
  <c r="W110" i="14"/>
  <c r="N110" i="14"/>
  <c r="B107" i="14"/>
  <c r="C107" i="14" s="1"/>
  <c r="G109" i="14"/>
  <c r="M76" i="14"/>
  <c r="P75" i="14"/>
  <c r="J75" i="14"/>
  <c r="J74" i="14"/>
  <c r="B74" i="14" s="1"/>
  <c r="C74" i="14" s="1"/>
  <c r="H76" i="14"/>
  <c r="G77" i="14" s="1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L16" i="14" l="1"/>
  <c r="L12" i="14"/>
  <c r="L15" i="14"/>
  <c r="L17" i="14"/>
  <c r="L14" i="14"/>
  <c r="I48" i="14"/>
  <c r="I50" i="14" s="1"/>
  <c r="B52" i="14"/>
  <c r="B50" i="14"/>
  <c r="G50" i="14"/>
  <c r="C52" i="14"/>
  <c r="B51" i="14"/>
  <c r="W111" i="14"/>
  <c r="V111" i="14"/>
  <c r="U112" i="14" s="1"/>
  <c r="X110" i="14"/>
  <c r="H109" i="14"/>
  <c r="G110" i="14" s="1"/>
  <c r="I109" i="14"/>
  <c r="O110" i="14"/>
  <c r="N111" i="14" s="1"/>
  <c r="P110" i="14"/>
  <c r="J108" i="14"/>
  <c r="N76" i="14"/>
  <c r="O76" i="14"/>
  <c r="M77" i="14"/>
  <c r="B75" i="14"/>
  <c r="C75" i="14" s="1"/>
  <c r="J76" i="14"/>
  <c r="H77" i="14"/>
  <c r="G78" i="14" s="1"/>
  <c r="L221" i="6"/>
  <c r="Q3" i="12"/>
  <c r="Q4" i="12"/>
  <c r="P4" i="12"/>
  <c r="P3" i="12"/>
  <c r="O4" i="12"/>
  <c r="O3" i="12"/>
  <c r="M3" i="12"/>
  <c r="D19" i="13" s="1"/>
  <c r="B16" i="11"/>
  <c r="B221" i="6"/>
  <c r="L206" i="6"/>
  <c r="B206" i="6"/>
  <c r="D183" i="6"/>
  <c r="B236" i="6" s="1"/>
  <c r="B209" i="6" l="1"/>
  <c r="P25" i="12" s="1"/>
  <c r="B213" i="6"/>
  <c r="P29" i="12" s="1"/>
  <c r="B243" i="6"/>
  <c r="U50" i="12" s="1"/>
  <c r="B239" i="6"/>
  <c r="U46" i="12" s="1"/>
  <c r="B240" i="6"/>
  <c r="U47" i="12" s="1"/>
  <c r="B241" i="6"/>
  <c r="U48" i="12" s="1"/>
  <c r="B242" i="6"/>
  <c r="U49" i="12" s="1"/>
  <c r="B191" i="6"/>
  <c r="L191" i="6"/>
  <c r="L196" i="6" s="1"/>
  <c r="O22" i="12" s="1"/>
  <c r="W112" i="14"/>
  <c r="V112" i="14"/>
  <c r="X112" i="14" s="1"/>
  <c r="U113" i="14"/>
  <c r="X111" i="14"/>
  <c r="H110" i="14"/>
  <c r="I110" i="14"/>
  <c r="P111" i="14"/>
  <c r="O111" i="14"/>
  <c r="N112" i="14" s="1"/>
  <c r="Q110" i="14"/>
  <c r="B108" i="14"/>
  <c r="C108" i="14" s="1"/>
  <c r="J109" i="14"/>
  <c r="B109" i="14" s="1"/>
  <c r="N77" i="14"/>
  <c r="O77" i="14"/>
  <c r="P76" i="14"/>
  <c r="B76" i="14" s="1"/>
  <c r="C76" i="14" s="1"/>
  <c r="J77" i="14"/>
  <c r="H78" i="14"/>
  <c r="G79" i="14"/>
  <c r="L198" i="6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B210" i="6"/>
  <c r="P26" i="12" s="1"/>
  <c r="B212" i="6"/>
  <c r="P28" i="12" s="1"/>
  <c r="B211" i="6"/>
  <c r="P27" i="12" s="1"/>
  <c r="B198" i="6" l="1"/>
  <c r="N19" i="12" s="1"/>
  <c r="B194" i="6"/>
  <c r="N15" i="12" s="1"/>
  <c r="B196" i="6"/>
  <c r="N17" i="12" s="1"/>
  <c r="B195" i="6"/>
  <c r="N16" i="12" s="1"/>
  <c r="B197" i="6"/>
  <c r="N18" i="12" s="1"/>
  <c r="L197" i="6"/>
  <c r="O23" i="12" s="1"/>
  <c r="J110" i="14"/>
  <c r="B110" i="14" s="1"/>
  <c r="V113" i="14"/>
  <c r="W113" i="14"/>
  <c r="Q111" i="14"/>
  <c r="P77" i="14"/>
  <c r="B77" i="14" s="1"/>
  <c r="C77" i="14" s="1"/>
  <c r="O112" i="14"/>
  <c r="P112" i="14"/>
  <c r="G111" i="14"/>
  <c r="C109" i="14"/>
  <c r="M78" i="14"/>
  <c r="J78" i="14"/>
  <c r="H79" i="14"/>
  <c r="G80" i="14"/>
  <c r="J110" i="2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C10" i="7"/>
  <c r="B9" i="7"/>
  <c r="B5" i="7"/>
  <c r="E106" i="10"/>
  <c r="E93" i="10"/>
  <c r="E80" i="10"/>
  <c r="E125" i="6"/>
  <c r="D125" i="6"/>
  <c r="C125" i="6"/>
  <c r="B125" i="6"/>
  <c r="E104" i="6"/>
  <c r="D104" i="6"/>
  <c r="C104" i="6"/>
  <c r="B104" i="6"/>
  <c r="B107" i="6" s="1"/>
  <c r="G83" i="6"/>
  <c r="E83" i="6"/>
  <c r="D83" i="6"/>
  <c r="C83" i="6"/>
  <c r="B83" i="6"/>
  <c r="E62" i="6"/>
  <c r="G41" i="6"/>
  <c r="E41" i="6"/>
  <c r="C41" i="6"/>
  <c r="B41" i="6"/>
  <c r="H31" i="6"/>
  <c r="H104" i="6" s="1"/>
  <c r="G31" i="6"/>
  <c r="G167" i="6" s="1"/>
  <c r="F31" i="6"/>
  <c r="F62" i="6" s="1"/>
  <c r="E31" i="6"/>
  <c r="E167" i="6" s="1"/>
  <c r="D31" i="6"/>
  <c r="D62" i="6" s="1"/>
  <c r="C31" i="6"/>
  <c r="C167" i="6" s="1"/>
  <c r="B31" i="6"/>
  <c r="B167" i="6" s="1"/>
  <c r="M14" i="6"/>
  <c r="N14" i="6" s="1"/>
  <c r="L18" i="6" s="1"/>
  <c r="H14" i="6"/>
  <c r="I14" i="6" s="1"/>
  <c r="C14" i="6"/>
  <c r="D14" i="6" s="1"/>
  <c r="N4" i="12"/>
  <c r="M4" i="12"/>
  <c r="N3" i="12"/>
  <c r="E19" i="13" s="1"/>
  <c r="D41" i="6" l="1"/>
  <c r="E177" i="6"/>
  <c r="E172" i="6"/>
  <c r="E176" i="6"/>
  <c r="E170" i="6"/>
  <c r="E173" i="6"/>
  <c r="F66" i="12" s="1"/>
  <c r="E174" i="6"/>
  <c r="E178" i="6"/>
  <c r="E171" i="6"/>
  <c r="E175" i="6"/>
  <c r="E179" i="6"/>
  <c r="B26" i="6"/>
  <c r="B23" i="6"/>
  <c r="B18" i="6"/>
  <c r="B19" i="6"/>
  <c r="B25" i="6"/>
  <c r="B21" i="6"/>
  <c r="B24" i="6"/>
  <c r="B20" i="6"/>
  <c r="B27" i="6"/>
  <c r="B22" i="6"/>
  <c r="G19" i="6"/>
  <c r="G18" i="6"/>
  <c r="G27" i="6"/>
  <c r="G26" i="6"/>
  <c r="G25" i="6"/>
  <c r="G21" i="6"/>
  <c r="G24" i="6"/>
  <c r="G20" i="6"/>
  <c r="G23" i="6"/>
  <c r="G22" i="6"/>
  <c r="F146" i="6"/>
  <c r="F149" i="6" s="1"/>
  <c r="B170" i="6"/>
  <c r="B171" i="6"/>
  <c r="B177" i="6"/>
  <c r="B176" i="6"/>
  <c r="B175" i="6"/>
  <c r="B174" i="6"/>
  <c r="C67" i="12" s="1"/>
  <c r="B173" i="6"/>
  <c r="B172" i="6"/>
  <c r="B178" i="6"/>
  <c r="H12" i="10" s="1"/>
  <c r="B179" i="6"/>
  <c r="E116" i="6"/>
  <c r="F42" i="12" s="1"/>
  <c r="E111" i="6"/>
  <c r="F37" i="12" s="1"/>
  <c r="E109" i="6"/>
  <c r="F35" i="12" s="1"/>
  <c r="E110" i="6"/>
  <c r="F36" i="12" s="1"/>
  <c r="E113" i="6"/>
  <c r="F39" i="12" s="1"/>
  <c r="E114" i="6"/>
  <c r="F40" i="12" s="1"/>
  <c r="E107" i="6"/>
  <c r="F33" i="12" s="1"/>
  <c r="E115" i="6"/>
  <c r="F41" i="12" s="1"/>
  <c r="E108" i="6"/>
  <c r="F34" i="12" s="1"/>
  <c r="E112" i="6"/>
  <c r="F38" i="12" s="1"/>
  <c r="B146" i="6"/>
  <c r="B149" i="6" s="1"/>
  <c r="C173" i="6"/>
  <c r="C172" i="6"/>
  <c r="C176" i="6"/>
  <c r="C171" i="6"/>
  <c r="C170" i="6"/>
  <c r="C175" i="6"/>
  <c r="C179" i="6"/>
  <c r="C174" i="6"/>
  <c r="C178" i="6"/>
  <c r="C177" i="6"/>
  <c r="B62" i="6"/>
  <c r="B74" i="6" s="1"/>
  <c r="F104" i="6"/>
  <c r="F110" i="6" s="1"/>
  <c r="E135" i="6"/>
  <c r="F50" i="12" s="1"/>
  <c r="E132" i="6"/>
  <c r="F47" i="12" s="1"/>
  <c r="G7" i="13" s="1" a="1"/>
  <c r="G7" i="13" s="1"/>
  <c r="E133" i="6"/>
  <c r="F48" i="12" s="1"/>
  <c r="E128" i="6"/>
  <c r="F43" i="12" s="1"/>
  <c r="E136" i="6"/>
  <c r="F51" i="12" s="1"/>
  <c r="E129" i="6"/>
  <c r="F44" i="12" s="1"/>
  <c r="E137" i="6"/>
  <c r="F52" i="12" s="1"/>
  <c r="E130" i="6"/>
  <c r="F45" i="12" s="1"/>
  <c r="E131" i="6"/>
  <c r="F46" i="12" s="1"/>
  <c r="E134" i="6"/>
  <c r="F49" i="12" s="1"/>
  <c r="C146" i="6"/>
  <c r="C154" i="6" s="1"/>
  <c r="E50" i="6"/>
  <c r="F9" i="12" s="1"/>
  <c r="E51" i="6"/>
  <c r="F10" i="12" s="1"/>
  <c r="E45" i="6"/>
  <c r="F4" i="12" s="1"/>
  <c r="E52" i="6"/>
  <c r="F11" i="12" s="1"/>
  <c r="E46" i="6"/>
  <c r="F5" i="12" s="1"/>
  <c r="E47" i="6"/>
  <c r="F6" i="12" s="1"/>
  <c r="E48" i="6"/>
  <c r="F7" i="12" s="1"/>
  <c r="E49" i="6"/>
  <c r="F8" i="12" s="1"/>
  <c r="E53" i="6"/>
  <c r="F12" i="12" s="1"/>
  <c r="E44" i="6"/>
  <c r="F3" i="12" s="1"/>
  <c r="C62" i="6"/>
  <c r="C67" i="6" s="1"/>
  <c r="G104" i="6"/>
  <c r="G115" i="6" s="1"/>
  <c r="H41" i="12" s="1"/>
  <c r="F125" i="6"/>
  <c r="F131" i="6" s="1"/>
  <c r="D146" i="6"/>
  <c r="D153" i="6" s="1"/>
  <c r="E57" i="12" s="1"/>
  <c r="D167" i="6"/>
  <c r="D171" i="6" s="1"/>
  <c r="E64" i="12" s="1"/>
  <c r="F41" i="6"/>
  <c r="F52" i="6" s="1"/>
  <c r="G11" i="12" s="1"/>
  <c r="F83" i="6"/>
  <c r="F92" i="6" s="1"/>
  <c r="G29" i="12" s="1"/>
  <c r="G125" i="6"/>
  <c r="G128" i="6" s="1"/>
  <c r="H43" i="12" s="1"/>
  <c r="E146" i="6"/>
  <c r="E67" i="6"/>
  <c r="E73" i="6"/>
  <c r="E68" i="6"/>
  <c r="E65" i="6"/>
  <c r="E74" i="6"/>
  <c r="E66" i="6"/>
  <c r="E69" i="6"/>
  <c r="E70" i="6"/>
  <c r="E71" i="6"/>
  <c r="E72" i="6"/>
  <c r="G62" i="6"/>
  <c r="F167" i="6"/>
  <c r="G146" i="6"/>
  <c r="G152" i="6" s="1"/>
  <c r="H56" i="12" s="1"/>
  <c r="H167" i="6"/>
  <c r="H170" i="6" s="1"/>
  <c r="I63" i="12" s="1"/>
  <c r="H41" i="6"/>
  <c r="H44" i="6" s="1"/>
  <c r="I3" i="12" s="1"/>
  <c r="D155" i="6"/>
  <c r="E59" i="12" s="1"/>
  <c r="D149" i="6"/>
  <c r="E53" i="12" s="1"/>
  <c r="D156" i="6"/>
  <c r="E60" i="12" s="1"/>
  <c r="D150" i="6"/>
  <c r="E54" i="12" s="1"/>
  <c r="D158" i="6"/>
  <c r="E62" i="12" s="1"/>
  <c r="X113" i="14"/>
  <c r="U114" i="14"/>
  <c r="C110" i="14"/>
  <c r="H111" i="14"/>
  <c r="G112" i="14" s="1"/>
  <c r="I111" i="14"/>
  <c r="N113" i="14"/>
  <c r="Q112" i="14"/>
  <c r="N78" i="14"/>
  <c r="O78" i="14"/>
  <c r="J79" i="14"/>
  <c r="H80" i="14"/>
  <c r="G81" i="14" s="1"/>
  <c r="H171" i="6"/>
  <c r="I64" i="12" s="1"/>
  <c r="H179" i="6"/>
  <c r="I72" i="12" s="1"/>
  <c r="H177" i="6"/>
  <c r="I70" i="12" s="1"/>
  <c r="H172" i="6"/>
  <c r="I65" i="12" s="1"/>
  <c r="H173" i="6"/>
  <c r="I66" i="12" s="1"/>
  <c r="H146" i="6"/>
  <c r="H83" i="6"/>
  <c r="H125" i="6"/>
  <c r="H111" i="6"/>
  <c r="I37" i="12" s="1"/>
  <c r="H108" i="6"/>
  <c r="I34" i="12" s="1"/>
  <c r="H112" i="6"/>
  <c r="I38" i="12" s="1"/>
  <c r="H116" i="6"/>
  <c r="I42" i="12" s="1"/>
  <c r="H115" i="6"/>
  <c r="I41" i="12" s="1"/>
  <c r="H107" i="6"/>
  <c r="I33" i="12" s="1"/>
  <c r="H109" i="6"/>
  <c r="I35" i="12" s="1"/>
  <c r="H113" i="6"/>
  <c r="I39" i="12" s="1"/>
  <c r="H110" i="6"/>
  <c r="I36" i="12" s="1"/>
  <c r="H114" i="6"/>
  <c r="I40" i="12" s="1"/>
  <c r="H49" i="6"/>
  <c r="I8" i="12" s="1"/>
  <c r="H46" i="6"/>
  <c r="I5" i="12" s="1"/>
  <c r="H62" i="6"/>
  <c r="G149" i="6"/>
  <c r="H53" i="12" s="1"/>
  <c r="G173" i="6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G130" i="6"/>
  <c r="H45" i="12" s="1"/>
  <c r="G136" i="6"/>
  <c r="H51" i="12" s="1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C134" i="6"/>
  <c r="C130" i="6"/>
  <c r="C137" i="6"/>
  <c r="C129" i="6"/>
  <c r="C128" i="6"/>
  <c r="C133" i="6"/>
  <c r="C136" i="6"/>
  <c r="C132" i="6"/>
  <c r="C131" i="6"/>
  <c r="B133" i="6"/>
  <c r="B131" i="6"/>
  <c r="B128" i="6"/>
  <c r="C43" i="12" s="1"/>
  <c r="B129" i="6"/>
  <c r="B130" i="6"/>
  <c r="B137" i="6"/>
  <c r="C52" i="12" s="1"/>
  <c r="B136" i="6"/>
  <c r="B135" i="6"/>
  <c r="B134" i="6"/>
  <c r="C49" i="12" s="1"/>
  <c r="B132" i="6"/>
  <c r="F8" i="10" s="1"/>
  <c r="F115" i="6"/>
  <c r="D108" i="6"/>
  <c r="D116" i="6"/>
  <c r="D113" i="6"/>
  <c r="D110" i="6"/>
  <c r="D115" i="6"/>
  <c r="D112" i="6"/>
  <c r="D109" i="6"/>
  <c r="K35" i="7" s="1"/>
  <c r="D107" i="6"/>
  <c r="D114" i="6"/>
  <c r="D111" i="6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C107" i="6"/>
  <c r="D33" i="12" s="1"/>
  <c r="B108" i="6"/>
  <c r="B114" i="6"/>
  <c r="B113" i="6"/>
  <c r="B115" i="6"/>
  <c r="B112" i="6"/>
  <c r="B111" i="6"/>
  <c r="E8" i="10" s="1"/>
  <c r="B110" i="6"/>
  <c r="B109" i="6"/>
  <c r="B116" i="6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C90" i="6"/>
  <c r="C88" i="6"/>
  <c r="C92" i="6"/>
  <c r="C86" i="6"/>
  <c r="C95" i="6"/>
  <c r="B87" i="6"/>
  <c r="B94" i="6"/>
  <c r="B93" i="6"/>
  <c r="B92" i="6"/>
  <c r="B91" i="6"/>
  <c r="B90" i="6"/>
  <c r="B86" i="6"/>
  <c r="B89" i="6"/>
  <c r="B88" i="6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F74" i="6"/>
  <c r="G22" i="12" s="1"/>
  <c r="F73" i="6"/>
  <c r="G21" i="12" s="1"/>
  <c r="D70" i="6"/>
  <c r="D67" i="6"/>
  <c r="D65" i="6"/>
  <c r="D71" i="6"/>
  <c r="D73" i="6"/>
  <c r="D72" i="6"/>
  <c r="D69" i="6"/>
  <c r="D66" i="6"/>
  <c r="D74" i="6"/>
  <c r="D68" i="6"/>
  <c r="B66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49" i="6"/>
  <c r="B48" i="6"/>
  <c r="B8" i="10" s="1"/>
  <c r="B47" i="6"/>
  <c r="B53" i="6"/>
  <c r="B51" i="6"/>
  <c r="B46" i="6"/>
  <c r="C4" i="12"/>
  <c r="C12" i="12"/>
  <c r="C8" i="12"/>
  <c r="L22" i="6"/>
  <c r="L24" i="6"/>
  <c r="L21" i="6"/>
  <c r="L26" i="6"/>
  <c r="L25" i="6"/>
  <c r="L27" i="6"/>
  <c r="L23" i="6"/>
  <c r="L19" i="6"/>
  <c r="L20" i="6"/>
  <c r="F63" i="12"/>
  <c r="F67" i="12"/>
  <c r="F71" i="12"/>
  <c r="F18" i="12"/>
  <c r="G3" i="13" s="1" a="1"/>
  <c r="G3" i="13" s="1"/>
  <c r="G150" i="6" l="1"/>
  <c r="H54" i="12" s="1"/>
  <c r="G158" i="6"/>
  <c r="H62" i="12" s="1"/>
  <c r="G157" i="6"/>
  <c r="H61" i="12" s="1"/>
  <c r="G153" i="6"/>
  <c r="H57" i="12" s="1"/>
  <c r="G151" i="6"/>
  <c r="H55" i="12" s="1"/>
  <c r="G156" i="6"/>
  <c r="H60" i="12" s="1"/>
  <c r="G154" i="6"/>
  <c r="H58" i="12" s="1"/>
  <c r="G114" i="6"/>
  <c r="H40" i="12" s="1"/>
  <c r="G111" i="6"/>
  <c r="H37" i="12" s="1"/>
  <c r="G107" i="6"/>
  <c r="H33" i="12" s="1"/>
  <c r="G116" i="6"/>
  <c r="H42" i="12" s="1"/>
  <c r="G112" i="6"/>
  <c r="H38" i="12" s="1"/>
  <c r="F88" i="6"/>
  <c r="F91" i="6"/>
  <c r="G28" i="12" s="1"/>
  <c r="F86" i="6"/>
  <c r="G23" i="12" s="1"/>
  <c r="F95" i="6"/>
  <c r="G32" i="12" s="1"/>
  <c r="F90" i="6"/>
  <c r="G27" i="12" s="1"/>
  <c r="F89" i="6"/>
  <c r="G26" i="12" s="1"/>
  <c r="H11" i="13" s="1" a="1"/>
  <c r="H11" i="13" s="1"/>
  <c r="F87" i="6"/>
  <c r="G24" i="12" s="1"/>
  <c r="B68" i="6"/>
  <c r="C33" i="10" s="1"/>
  <c r="C46" i="10" s="1"/>
  <c r="B69" i="6"/>
  <c r="B65" i="6"/>
  <c r="C56" i="10" s="1"/>
  <c r="B71" i="6"/>
  <c r="C19" i="12" s="1"/>
  <c r="B73" i="6"/>
  <c r="C21" i="12" s="1"/>
  <c r="F129" i="6"/>
  <c r="F153" i="6"/>
  <c r="G57" i="12" s="1"/>
  <c r="G30" i="10"/>
  <c r="F158" i="6"/>
  <c r="G62" i="12" s="1"/>
  <c r="F157" i="6"/>
  <c r="G61" i="12" s="1"/>
  <c r="F150" i="6"/>
  <c r="G18" i="10" s="1"/>
  <c r="F152" i="6"/>
  <c r="G20" i="10" s="1"/>
  <c r="B155" i="6"/>
  <c r="B151" i="6"/>
  <c r="B153" i="6"/>
  <c r="G34" i="10" s="1"/>
  <c r="B154" i="6"/>
  <c r="B158" i="6"/>
  <c r="G65" i="10" s="1"/>
  <c r="B150" i="6"/>
  <c r="C54" i="12" s="1"/>
  <c r="B157" i="6"/>
  <c r="G12" i="10" s="1"/>
  <c r="C31" i="10"/>
  <c r="C44" i="10" s="1"/>
  <c r="F47" i="6"/>
  <c r="G6" i="12" s="1"/>
  <c r="F49" i="6"/>
  <c r="B35" i="10" s="1"/>
  <c r="B48" i="10" s="1"/>
  <c r="F45" i="6"/>
  <c r="B18" i="10" s="1"/>
  <c r="F50" i="6"/>
  <c r="G9" i="12" s="1"/>
  <c r="F48" i="6"/>
  <c r="G7" i="12" s="1"/>
  <c r="F46" i="6"/>
  <c r="B19" i="10" s="1"/>
  <c r="F53" i="6"/>
  <c r="B26" i="10" s="1"/>
  <c r="F51" i="6"/>
  <c r="B24" i="10" s="1"/>
  <c r="F44" i="6"/>
  <c r="B17" i="10" s="1"/>
  <c r="B12" i="10"/>
  <c r="D157" i="6"/>
  <c r="E61" i="12" s="1"/>
  <c r="D152" i="6"/>
  <c r="E56" i="12" s="1"/>
  <c r="E16" i="12"/>
  <c r="E15" i="12"/>
  <c r="I35" i="7"/>
  <c r="E20" i="12"/>
  <c r="E13" i="12"/>
  <c r="E18" i="12"/>
  <c r="F3" i="13" s="1" a="1"/>
  <c r="F3" i="13" s="1"/>
  <c r="E14" i="12"/>
  <c r="E21" i="12"/>
  <c r="E19" i="12"/>
  <c r="E22" i="12"/>
  <c r="E17" i="12"/>
  <c r="K38" i="7"/>
  <c r="K33" i="7"/>
  <c r="K41" i="7"/>
  <c r="K36" i="7"/>
  <c r="K42" i="7"/>
  <c r="K39" i="7"/>
  <c r="K37" i="7"/>
  <c r="K40" i="7"/>
  <c r="K34" i="7"/>
  <c r="D175" i="6"/>
  <c r="E68" i="12" s="1"/>
  <c r="F15" i="13" s="1" a="1"/>
  <c r="F15" i="13" s="1"/>
  <c r="D179" i="6"/>
  <c r="E72" i="12" s="1"/>
  <c r="D177" i="6"/>
  <c r="E70" i="12" s="1"/>
  <c r="D178" i="6"/>
  <c r="E71" i="12" s="1"/>
  <c r="C150" i="6"/>
  <c r="D54" i="12" s="1"/>
  <c r="C158" i="6"/>
  <c r="D62" i="12" s="1"/>
  <c r="C149" i="6"/>
  <c r="D53" i="12" s="1"/>
  <c r="C155" i="6"/>
  <c r="C151" i="6"/>
  <c r="D55" i="12" s="1"/>
  <c r="C156" i="6"/>
  <c r="D60" i="12" s="1"/>
  <c r="D58" i="12"/>
  <c r="C152" i="6"/>
  <c r="C153" i="6"/>
  <c r="H5" i="10"/>
  <c r="D23" i="12"/>
  <c r="J33" i="7"/>
  <c r="J86" i="6"/>
  <c r="J87" i="6"/>
  <c r="J34" i="7"/>
  <c r="J39" i="7"/>
  <c r="J92" i="6"/>
  <c r="D27" i="12"/>
  <c r="J90" i="6"/>
  <c r="J37" i="7"/>
  <c r="D30" i="12"/>
  <c r="J40" i="7"/>
  <c r="J93" i="6"/>
  <c r="J89" i="6"/>
  <c r="J36" i="7"/>
  <c r="J35" i="7"/>
  <c r="J88" i="6"/>
  <c r="J41" i="7"/>
  <c r="J94" i="6"/>
  <c r="J42" i="7"/>
  <c r="J95" i="6"/>
  <c r="J91" i="6"/>
  <c r="J38" i="7"/>
  <c r="D173" i="6"/>
  <c r="E66" i="12" s="1"/>
  <c r="D172" i="6"/>
  <c r="E65" i="12" s="1"/>
  <c r="D70" i="12"/>
  <c r="D65" i="12"/>
  <c r="D71" i="12"/>
  <c r="D66" i="12"/>
  <c r="D69" i="12"/>
  <c r="D67" i="12"/>
  <c r="D72" i="12"/>
  <c r="D64" i="12"/>
  <c r="M34" i="7"/>
  <c r="D68" i="12"/>
  <c r="E15" i="13" s="1" a="1"/>
  <c r="E15" i="13" s="1"/>
  <c r="D63" i="12"/>
  <c r="D45" i="12"/>
  <c r="L35" i="7"/>
  <c r="D46" i="12"/>
  <c r="L36" i="7"/>
  <c r="D49" i="12"/>
  <c r="L39" i="7"/>
  <c r="D47" i="12"/>
  <c r="E7" i="13" s="1" a="1"/>
  <c r="E7" i="13" s="1"/>
  <c r="M7" i="13" s="1"/>
  <c r="L37" i="7"/>
  <c r="D50" i="12"/>
  <c r="L40" i="7"/>
  <c r="D48" i="12"/>
  <c r="L38" i="7"/>
  <c r="D43" i="12"/>
  <c r="L33" i="7"/>
  <c r="D51" i="12"/>
  <c r="L41" i="7"/>
  <c r="D44" i="12"/>
  <c r="L34" i="7"/>
  <c r="D52" i="12"/>
  <c r="L42" i="7"/>
  <c r="J67" i="6"/>
  <c r="E35" i="12"/>
  <c r="J109" i="6"/>
  <c r="E38" i="12"/>
  <c r="J112" i="6"/>
  <c r="E41" i="12"/>
  <c r="J115" i="6"/>
  <c r="E36" i="12"/>
  <c r="J110" i="6"/>
  <c r="E40" i="12"/>
  <c r="J114" i="6"/>
  <c r="E34" i="12"/>
  <c r="J108" i="6"/>
  <c r="E33" i="12"/>
  <c r="J107" i="6"/>
  <c r="E39" i="12"/>
  <c r="J113" i="6"/>
  <c r="E37" i="12"/>
  <c r="J111" i="6"/>
  <c r="E42" i="12"/>
  <c r="J116" i="6"/>
  <c r="E11" i="10"/>
  <c r="E76" i="10" s="1"/>
  <c r="E102" i="10" s="1"/>
  <c r="C72" i="6"/>
  <c r="J72" i="6" s="1"/>
  <c r="C71" i="6"/>
  <c r="J71" i="6" s="1"/>
  <c r="C74" i="6"/>
  <c r="J74" i="6" s="1"/>
  <c r="C69" i="6"/>
  <c r="J69" i="6" s="1"/>
  <c r="C73" i="6"/>
  <c r="J73" i="6" s="1"/>
  <c r="C68" i="6"/>
  <c r="J68" i="6" s="1"/>
  <c r="C70" i="6"/>
  <c r="J70" i="6" s="1"/>
  <c r="C66" i="6"/>
  <c r="J66" i="6" s="1"/>
  <c r="C65" i="6"/>
  <c r="J65" i="6" s="1"/>
  <c r="H70" i="10"/>
  <c r="H96" i="10" s="1"/>
  <c r="F116" i="6"/>
  <c r="G42" i="12" s="1"/>
  <c r="F137" i="6"/>
  <c r="F26" i="10" s="1"/>
  <c r="G131" i="6"/>
  <c r="H46" i="12" s="1"/>
  <c r="H51" i="6"/>
  <c r="I10" i="12" s="1"/>
  <c r="B70" i="6"/>
  <c r="D32" i="10"/>
  <c r="D45" i="10" s="1"/>
  <c r="F93" i="6"/>
  <c r="G30" i="12" s="1"/>
  <c r="F107" i="6"/>
  <c r="E17" i="10" s="1"/>
  <c r="F112" i="6"/>
  <c r="E61" i="10" s="1"/>
  <c r="G109" i="6"/>
  <c r="H35" i="12" s="1"/>
  <c r="F135" i="6"/>
  <c r="F63" i="10" s="1"/>
  <c r="G133" i="6"/>
  <c r="H48" i="12" s="1"/>
  <c r="B152" i="6"/>
  <c r="C56" i="12" s="1"/>
  <c r="C157" i="6"/>
  <c r="F155" i="6"/>
  <c r="G62" i="10" s="1"/>
  <c r="D170" i="6"/>
  <c r="E63" i="12" s="1"/>
  <c r="G155" i="6"/>
  <c r="H59" i="12" s="1"/>
  <c r="H53" i="6"/>
  <c r="I12" i="12" s="1"/>
  <c r="H174" i="6"/>
  <c r="I67" i="12" s="1"/>
  <c r="D154" i="6"/>
  <c r="E58" i="12" s="1"/>
  <c r="D151" i="6"/>
  <c r="E55" i="12" s="1"/>
  <c r="E155" i="6"/>
  <c r="F59" i="12" s="1"/>
  <c r="E156" i="6"/>
  <c r="F60" i="12" s="1"/>
  <c r="E150" i="6"/>
  <c r="F54" i="12" s="1"/>
  <c r="E157" i="6"/>
  <c r="F61" i="12" s="1"/>
  <c r="E158" i="6"/>
  <c r="F62" i="12" s="1"/>
  <c r="E149" i="6"/>
  <c r="F53" i="12" s="1"/>
  <c r="E152" i="6"/>
  <c r="F56" i="12" s="1"/>
  <c r="E153" i="6"/>
  <c r="E154" i="6"/>
  <c r="F58" i="12" s="1"/>
  <c r="E151" i="6"/>
  <c r="F55" i="12" s="1"/>
  <c r="H45" i="6"/>
  <c r="I4" i="12" s="1"/>
  <c r="B72" i="6"/>
  <c r="C20" i="12" s="1"/>
  <c r="F94" i="6"/>
  <c r="G31" i="12" s="1"/>
  <c r="F109" i="6"/>
  <c r="G108" i="6"/>
  <c r="H34" i="12" s="1"/>
  <c r="G113" i="6"/>
  <c r="H39" i="12" s="1"/>
  <c r="F136" i="6"/>
  <c r="G51" i="12" s="1"/>
  <c r="F130" i="6"/>
  <c r="G132" i="6"/>
  <c r="H47" i="12" s="1"/>
  <c r="I7" i="13" s="1" a="1"/>
  <c r="I7" i="13" s="1"/>
  <c r="F151" i="6"/>
  <c r="G55" i="12" s="1"/>
  <c r="F156" i="6"/>
  <c r="D176" i="6"/>
  <c r="E69" i="12" s="1"/>
  <c r="H47" i="6"/>
  <c r="I6" i="12" s="1"/>
  <c r="H52" i="6"/>
  <c r="I11" i="12" s="1"/>
  <c r="H178" i="6"/>
  <c r="I71" i="12" s="1"/>
  <c r="H176" i="6"/>
  <c r="I69" i="12" s="1"/>
  <c r="D33" i="10"/>
  <c r="D46" i="10" s="1"/>
  <c r="F113" i="6"/>
  <c r="G39" i="12" s="1"/>
  <c r="F108" i="6"/>
  <c r="G34" i="12" s="1"/>
  <c r="F111" i="6"/>
  <c r="G37" i="12" s="1"/>
  <c r="F128" i="6"/>
  <c r="G43" i="12" s="1"/>
  <c r="G135" i="6"/>
  <c r="H50" i="12" s="1"/>
  <c r="D18" i="10"/>
  <c r="F114" i="6"/>
  <c r="G40" i="12" s="1"/>
  <c r="G110" i="6"/>
  <c r="H36" i="12" s="1"/>
  <c r="F33" i="10"/>
  <c r="F46" i="10" s="1"/>
  <c r="F134" i="6"/>
  <c r="G137" i="6"/>
  <c r="H52" i="12" s="1"/>
  <c r="G129" i="6"/>
  <c r="H44" i="12" s="1"/>
  <c r="F154" i="6"/>
  <c r="G58" i="12" s="1"/>
  <c r="H48" i="6"/>
  <c r="I7" i="12" s="1"/>
  <c r="H175" i="6"/>
  <c r="I68" i="12" s="1"/>
  <c r="J15" i="13" s="1" a="1"/>
  <c r="J15" i="13" s="1"/>
  <c r="F177" i="6"/>
  <c r="G70" i="12" s="1"/>
  <c r="F172" i="6"/>
  <c r="G65" i="12" s="1"/>
  <c r="F176" i="6"/>
  <c r="G69" i="12" s="1"/>
  <c r="F170" i="6"/>
  <c r="F173" i="6"/>
  <c r="H59" i="10" s="1"/>
  <c r="F174" i="6"/>
  <c r="F178" i="6"/>
  <c r="H64" i="10" s="1"/>
  <c r="F171" i="6"/>
  <c r="G64" i="12" s="1"/>
  <c r="F175" i="6"/>
  <c r="G68" i="12" s="1"/>
  <c r="H15" i="13" s="1" a="1"/>
  <c r="H15" i="13" s="1"/>
  <c r="F179" i="6"/>
  <c r="H39" i="10" s="1"/>
  <c r="H52" i="10" s="1"/>
  <c r="D19" i="10"/>
  <c r="F133" i="6"/>
  <c r="F61" i="10" s="1"/>
  <c r="H8" i="10"/>
  <c r="F132" i="6"/>
  <c r="F34" i="10" s="1"/>
  <c r="F47" i="10" s="1"/>
  <c r="B67" i="6"/>
  <c r="C6" i="10" s="1"/>
  <c r="C71" i="10" s="1"/>
  <c r="D36" i="10"/>
  <c r="D49" i="10" s="1"/>
  <c r="G134" i="6"/>
  <c r="H49" i="12" s="1"/>
  <c r="B156" i="6"/>
  <c r="G37" i="10" s="1"/>
  <c r="G50" i="10" s="1"/>
  <c r="D174" i="6"/>
  <c r="E67" i="12" s="1"/>
  <c r="H50" i="6"/>
  <c r="I9" i="12" s="1"/>
  <c r="D20" i="12"/>
  <c r="I3" i="13" a="1"/>
  <c r="I3" i="13" s="1"/>
  <c r="D15" i="12"/>
  <c r="C22" i="10"/>
  <c r="E21" i="10"/>
  <c r="W114" i="14"/>
  <c r="V114" i="14"/>
  <c r="H112" i="14"/>
  <c r="G113" i="14" s="1"/>
  <c r="I112" i="14"/>
  <c r="P78" i="14"/>
  <c r="O113" i="14"/>
  <c r="P113" i="14"/>
  <c r="J111" i="14"/>
  <c r="M79" i="14"/>
  <c r="J80" i="14"/>
  <c r="B78" i="14"/>
  <c r="C78" i="14" s="1"/>
  <c r="H81" i="14"/>
  <c r="G82" i="14" s="1"/>
  <c r="J81" i="14"/>
  <c r="H90" i="6"/>
  <c r="I27" i="12" s="1"/>
  <c r="H91" i="6"/>
  <c r="I28" i="12" s="1"/>
  <c r="H95" i="6"/>
  <c r="I32" i="12" s="1"/>
  <c r="H86" i="6"/>
  <c r="I23" i="12" s="1"/>
  <c r="H92" i="6"/>
  <c r="I29" i="12" s="1"/>
  <c r="H88" i="6"/>
  <c r="I25" i="12" s="1"/>
  <c r="H89" i="6"/>
  <c r="I26" i="12" s="1"/>
  <c r="J11" i="13" s="1" a="1"/>
  <c r="J11" i="13" s="1"/>
  <c r="H93" i="6"/>
  <c r="I30" i="12" s="1"/>
  <c r="H94" i="6"/>
  <c r="I31" i="12" s="1"/>
  <c r="H87" i="6"/>
  <c r="I24" i="12" s="1"/>
  <c r="H134" i="6"/>
  <c r="I49" i="12" s="1"/>
  <c r="H130" i="6"/>
  <c r="I45" i="12" s="1"/>
  <c r="H133" i="6"/>
  <c r="I48" i="12" s="1"/>
  <c r="H135" i="6"/>
  <c r="I50" i="12" s="1"/>
  <c r="H132" i="6"/>
  <c r="I47" i="12" s="1"/>
  <c r="J7" i="13" s="1" a="1"/>
  <c r="J7" i="13" s="1"/>
  <c r="H131" i="6"/>
  <c r="I46" i="12" s="1"/>
  <c r="H128" i="6"/>
  <c r="I43" i="12" s="1"/>
  <c r="H136" i="6"/>
  <c r="I51" i="12" s="1"/>
  <c r="H137" i="6"/>
  <c r="I52" i="12" s="1"/>
  <c r="H129" i="6"/>
  <c r="I44" i="12" s="1"/>
  <c r="H153" i="6"/>
  <c r="I57" i="12" s="1"/>
  <c r="H156" i="6"/>
  <c r="I60" i="12" s="1"/>
  <c r="H150" i="6"/>
  <c r="I54" i="12" s="1"/>
  <c r="H151" i="6"/>
  <c r="I55" i="12" s="1"/>
  <c r="H149" i="6"/>
  <c r="I53" i="12" s="1"/>
  <c r="H155" i="6"/>
  <c r="I59" i="12" s="1"/>
  <c r="H158" i="6"/>
  <c r="I62" i="12" s="1"/>
  <c r="H154" i="6"/>
  <c r="I58" i="12" s="1"/>
  <c r="H157" i="6"/>
  <c r="I61" i="12" s="1"/>
  <c r="H152" i="6"/>
  <c r="I56" i="12" s="1"/>
  <c r="H66" i="6"/>
  <c r="I14" i="12" s="1"/>
  <c r="H65" i="6"/>
  <c r="I13" i="12" s="1"/>
  <c r="H67" i="6"/>
  <c r="I15" i="12" s="1"/>
  <c r="H71" i="6"/>
  <c r="I19" i="12" s="1"/>
  <c r="H74" i="6"/>
  <c r="I22" i="12" s="1"/>
  <c r="H69" i="6"/>
  <c r="I17" i="12" s="1"/>
  <c r="H68" i="6"/>
  <c r="I16" i="12" s="1"/>
  <c r="H72" i="6"/>
  <c r="I20" i="12" s="1"/>
  <c r="H73" i="6"/>
  <c r="I21" i="12" s="1"/>
  <c r="H70" i="6"/>
  <c r="I18" i="12" s="1"/>
  <c r="J3" i="13" s="1" a="1"/>
  <c r="J3" i="13" s="1"/>
  <c r="G53" i="12"/>
  <c r="F10" i="10"/>
  <c r="F75" i="10" s="1"/>
  <c r="F101" i="10" s="1"/>
  <c r="C40" i="12"/>
  <c r="C55" i="12"/>
  <c r="C53" i="12"/>
  <c r="G56" i="10"/>
  <c r="C58" i="12"/>
  <c r="C59" i="12"/>
  <c r="C60" i="12"/>
  <c r="F73" i="10"/>
  <c r="F99" i="10" s="1"/>
  <c r="F32" i="10"/>
  <c r="F45" i="10" s="1"/>
  <c r="F7" i="10"/>
  <c r="F72" i="10" s="1"/>
  <c r="F98" i="10" s="1"/>
  <c r="C46" i="12"/>
  <c r="F11" i="10"/>
  <c r="F76" i="10" s="1"/>
  <c r="F102" i="10" s="1"/>
  <c r="J40" i="11" s="1"/>
  <c r="C50" i="12"/>
  <c r="F12" i="10"/>
  <c r="F77" i="10" s="1"/>
  <c r="F103" i="10" s="1"/>
  <c r="C51" i="12"/>
  <c r="C47" i="12"/>
  <c r="D7" i="13" s="1" a="1"/>
  <c r="D7" i="13" s="1"/>
  <c r="C45" i="12"/>
  <c r="F6" i="10"/>
  <c r="F71" i="10" s="1"/>
  <c r="F97" i="10" s="1"/>
  <c r="J35" i="11" s="1"/>
  <c r="F4" i="10"/>
  <c r="F69" i="10" s="1"/>
  <c r="F95" i="10" s="1"/>
  <c r="F5" i="10"/>
  <c r="F70" i="10" s="1"/>
  <c r="F96" i="10" s="1"/>
  <c r="C44" i="12"/>
  <c r="F13" i="10"/>
  <c r="F78" i="10" s="1"/>
  <c r="F104" i="10" s="1"/>
  <c r="C48" i="12"/>
  <c r="F9" i="10"/>
  <c r="F74" i="10" s="1"/>
  <c r="F100" i="10" s="1"/>
  <c r="G25" i="12"/>
  <c r="D22" i="10"/>
  <c r="D23" i="10"/>
  <c r="F29" i="12"/>
  <c r="D20" i="10"/>
  <c r="F31" i="12"/>
  <c r="D4" i="10"/>
  <c r="D69" i="10" s="1"/>
  <c r="D95" i="10" s="1"/>
  <c r="H33" i="11" s="1"/>
  <c r="F32" i="12"/>
  <c r="D9" i="10"/>
  <c r="D74" i="10" s="1"/>
  <c r="D100" i="10" s="1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D59" i="10"/>
  <c r="C30" i="12"/>
  <c r="C31" i="12"/>
  <c r="D12" i="10"/>
  <c r="D77" i="10" s="1"/>
  <c r="D62" i="10"/>
  <c r="D30" i="10"/>
  <c r="D43" i="10" s="1"/>
  <c r="C23" i="12"/>
  <c r="D56" i="10"/>
  <c r="D10" i="10"/>
  <c r="D75" i="10" s="1"/>
  <c r="C29" i="12"/>
  <c r="C27" i="12"/>
  <c r="D61" i="10"/>
  <c r="C28" i="12"/>
  <c r="D35" i="10"/>
  <c r="D48" i="10" s="1"/>
  <c r="D11" i="10"/>
  <c r="D76" i="10" s="1"/>
  <c r="D65" i="10"/>
  <c r="C32" i="12"/>
  <c r="D5" i="10"/>
  <c r="D70" i="10" s="1"/>
  <c r="C24" i="12"/>
  <c r="G20" i="12"/>
  <c r="C34" i="10"/>
  <c r="C47" i="10" s="1"/>
  <c r="C65" i="10"/>
  <c r="C59" i="10"/>
  <c r="C17" i="12"/>
  <c r="C60" i="10"/>
  <c r="C22" i="12"/>
  <c r="C39" i="10"/>
  <c r="C52" i="10" s="1"/>
  <c r="C13" i="12"/>
  <c r="C16" i="12"/>
  <c r="C14" i="12"/>
  <c r="C57" i="10"/>
  <c r="G4" i="12"/>
  <c r="B25" i="10"/>
  <c r="B73" i="10"/>
  <c r="B99" i="10" s="1"/>
  <c r="B77" i="10"/>
  <c r="B13" i="10"/>
  <c r="B78" i="10" s="1"/>
  <c r="C3" i="12"/>
  <c r="B6" i="10"/>
  <c r="B71" i="10" s="1"/>
  <c r="B97" i="10" s="1"/>
  <c r="F35" i="11" s="1"/>
  <c r="C9" i="12"/>
  <c r="B7" i="10"/>
  <c r="B72" i="10" s="1"/>
  <c r="C6" i="12"/>
  <c r="B10" i="10"/>
  <c r="B75" i="10" s="1"/>
  <c r="B101" i="10" s="1"/>
  <c r="C5" i="12"/>
  <c r="B4" i="10"/>
  <c r="B69" i="10" s="1"/>
  <c r="B95" i="10" s="1"/>
  <c r="F33" i="11" s="1"/>
  <c r="B11" i="10"/>
  <c r="B76" i="10" s="1"/>
  <c r="C10" i="12"/>
  <c r="B64" i="10"/>
  <c r="C7" i="12"/>
  <c r="B9" i="10"/>
  <c r="B74" i="10" s="1"/>
  <c r="B38" i="10"/>
  <c r="B51" i="10" s="1"/>
  <c r="C11" i="12"/>
  <c r="B5" i="10"/>
  <c r="B70" i="10" s="1"/>
  <c r="H13" i="10"/>
  <c r="H4" i="10"/>
  <c r="C63" i="12"/>
  <c r="C72" i="12"/>
  <c r="C64" i="12"/>
  <c r="F64" i="12"/>
  <c r="F70" i="12"/>
  <c r="F69" i="12"/>
  <c r="H23" i="10"/>
  <c r="F65" i="12"/>
  <c r="F72" i="12"/>
  <c r="F68" i="12"/>
  <c r="G15" i="13" s="1" a="1"/>
  <c r="G15" i="13" s="1"/>
  <c r="C17" i="10"/>
  <c r="F13" i="12"/>
  <c r="C24" i="10"/>
  <c r="F20" i="12"/>
  <c r="F17" i="12"/>
  <c r="C8" i="10"/>
  <c r="C21" i="10"/>
  <c r="C13" i="10"/>
  <c r="F22" i="12"/>
  <c r="C26" i="10"/>
  <c r="F19" i="12"/>
  <c r="C23" i="10"/>
  <c r="F15" i="12"/>
  <c r="C19" i="10"/>
  <c r="C7" i="10"/>
  <c r="C20" i="10"/>
  <c r="F16" i="12"/>
  <c r="C5" i="10"/>
  <c r="F14" i="12"/>
  <c r="C18" i="10"/>
  <c r="C25" i="10"/>
  <c r="F21" i="12"/>
  <c r="G41" i="12"/>
  <c r="G35" i="12"/>
  <c r="H3" i="13" s="1" a="1"/>
  <c r="H3" i="13" s="1"/>
  <c r="E19" i="10"/>
  <c r="E25" i="10"/>
  <c r="E37" i="10"/>
  <c r="E50" i="10" s="1"/>
  <c r="E24" i="10"/>
  <c r="E20" i="10"/>
  <c r="G36" i="12"/>
  <c r="C71" i="12"/>
  <c r="H56" i="10"/>
  <c r="C70" i="12"/>
  <c r="H11" i="10"/>
  <c r="H62" i="10"/>
  <c r="H10" i="10"/>
  <c r="C69" i="12"/>
  <c r="H9" i="10"/>
  <c r="C68" i="12"/>
  <c r="D15" i="13" s="1" a="1"/>
  <c r="D15" i="13" s="1"/>
  <c r="H6" i="10"/>
  <c r="C65" i="12"/>
  <c r="C66" i="12"/>
  <c r="H7" i="10"/>
  <c r="G48" i="12"/>
  <c r="F59" i="10"/>
  <c r="F20" i="10"/>
  <c r="G46" i="12"/>
  <c r="F62" i="10"/>
  <c r="F36" i="10"/>
  <c r="F49" i="10" s="1"/>
  <c r="F23" i="10"/>
  <c r="G49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104" i="10" s="1"/>
  <c r="H42" i="11" s="1"/>
  <c r="D32" i="12"/>
  <c r="D24" i="12"/>
  <c r="E73" i="10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C34" i="12"/>
  <c r="E5" i="10"/>
  <c r="E70" i="10" s="1"/>
  <c r="E36" i="10"/>
  <c r="E49" i="10" s="1"/>
  <c r="C39" i="12"/>
  <c r="E10" i="10"/>
  <c r="E75" i="10" s="1"/>
  <c r="C38" i="12"/>
  <c r="E9" i="10"/>
  <c r="E74" i="10" s="1"/>
  <c r="E58" i="10"/>
  <c r="E32" i="10"/>
  <c r="E45" i="10" s="1"/>
  <c r="C35" i="12"/>
  <c r="E6" i="10"/>
  <c r="E71" i="10" s="1"/>
  <c r="C42" i="12"/>
  <c r="E13" i="10"/>
  <c r="E78" i="10" s="1"/>
  <c r="E59" i="10"/>
  <c r="E33" i="10"/>
  <c r="E46" i="10" s="1"/>
  <c r="C36" i="12"/>
  <c r="E7" i="10"/>
  <c r="E72" i="10" s="1"/>
  <c r="D21" i="10" l="1"/>
  <c r="D63" i="10"/>
  <c r="D37" i="10"/>
  <c r="D50" i="10" s="1"/>
  <c r="D24" i="10"/>
  <c r="D89" i="10" s="1"/>
  <c r="D60" i="10"/>
  <c r="D31" i="10"/>
  <c r="D44" i="10" s="1"/>
  <c r="L11" i="13"/>
  <c r="D57" i="10"/>
  <c r="D26" i="10"/>
  <c r="D39" i="10"/>
  <c r="D52" i="10" s="1"/>
  <c r="D34" i="10"/>
  <c r="D47" i="10" s="1"/>
  <c r="D17" i="10"/>
  <c r="D82" i="10" s="1"/>
  <c r="G8" i="12"/>
  <c r="B22" i="10"/>
  <c r="B33" i="10"/>
  <c r="B46" i="10" s="1"/>
  <c r="B61" i="10"/>
  <c r="B20" i="10"/>
  <c r="B85" i="10" s="1"/>
  <c r="B59" i="10"/>
  <c r="C38" i="10"/>
  <c r="C51" i="10" s="1"/>
  <c r="C37" i="10"/>
  <c r="C50" i="10" s="1"/>
  <c r="C12" i="10"/>
  <c r="C77" i="10" s="1"/>
  <c r="C103" i="10" s="1"/>
  <c r="G41" i="11" s="1"/>
  <c r="C64" i="10"/>
  <c r="C10" i="10"/>
  <c r="C62" i="10"/>
  <c r="C9" i="10"/>
  <c r="C74" i="10" s="1"/>
  <c r="C100" i="10" s="1"/>
  <c r="G38" i="11" s="1"/>
  <c r="C61" i="10"/>
  <c r="C36" i="10"/>
  <c r="C49" i="10" s="1"/>
  <c r="C32" i="10"/>
  <c r="C45" i="10" s="1"/>
  <c r="C30" i="10"/>
  <c r="C43" i="10" s="1"/>
  <c r="C4" i="10"/>
  <c r="C69" i="10" s="1"/>
  <c r="C58" i="10"/>
  <c r="F17" i="10"/>
  <c r="F82" i="10" s="1"/>
  <c r="F30" i="10"/>
  <c r="F43" i="10" s="1"/>
  <c r="F56" i="10"/>
  <c r="I56" i="10" s="1"/>
  <c r="F35" i="10"/>
  <c r="F48" i="10" s="1"/>
  <c r="F38" i="10"/>
  <c r="F51" i="10" s="1"/>
  <c r="F22" i="10"/>
  <c r="F65" i="10"/>
  <c r="F39" i="10"/>
  <c r="F52" i="10" s="1"/>
  <c r="F64" i="10"/>
  <c r="G52" i="12"/>
  <c r="G47" i="12"/>
  <c r="H7" i="13" s="1" a="1"/>
  <c r="H7" i="13" s="1"/>
  <c r="L7" i="13" s="1"/>
  <c r="P7" i="13" s="1"/>
  <c r="F25" i="10"/>
  <c r="F90" i="10" s="1"/>
  <c r="F21" i="10"/>
  <c r="F86" i="10" s="1"/>
  <c r="H36" i="10"/>
  <c r="H49" i="10" s="1"/>
  <c r="H38" i="10"/>
  <c r="H51" i="10" s="1"/>
  <c r="H32" i="10"/>
  <c r="H45" i="10" s="1"/>
  <c r="H58" i="10"/>
  <c r="H26" i="10"/>
  <c r="H19" i="10"/>
  <c r="G60" i="10"/>
  <c r="G25" i="10"/>
  <c r="G56" i="12"/>
  <c r="G54" i="12"/>
  <c r="G61" i="10"/>
  <c r="C62" i="12"/>
  <c r="G38" i="10"/>
  <c r="G51" i="10" s="1"/>
  <c r="G13" i="10"/>
  <c r="C61" i="12"/>
  <c r="G7" i="10"/>
  <c r="G72" i="10" s="1"/>
  <c r="G85" i="10" s="1"/>
  <c r="G9" i="10"/>
  <c r="G74" i="10" s="1"/>
  <c r="G100" i="10" s="1"/>
  <c r="K20" i="11" s="1"/>
  <c r="C57" i="12"/>
  <c r="G31" i="10"/>
  <c r="G44" i="10" s="1"/>
  <c r="G64" i="10"/>
  <c r="G33" i="10"/>
  <c r="G46" i="10" s="1"/>
  <c r="G39" i="10"/>
  <c r="G52" i="10" s="1"/>
  <c r="G35" i="10"/>
  <c r="G48" i="10" s="1"/>
  <c r="G57" i="10"/>
  <c r="G63" i="10"/>
  <c r="B23" i="10"/>
  <c r="B37" i="10"/>
  <c r="B50" i="10" s="1"/>
  <c r="B31" i="10"/>
  <c r="B44" i="10" s="1"/>
  <c r="B57" i="10"/>
  <c r="B21" i="10"/>
  <c r="B86" i="10" s="1"/>
  <c r="B36" i="10"/>
  <c r="B49" i="10" s="1"/>
  <c r="B62" i="10"/>
  <c r="B32" i="10"/>
  <c r="B45" i="10" s="1"/>
  <c r="G10" i="12"/>
  <c r="B34" i="10"/>
  <c r="B47" i="10" s="1"/>
  <c r="B58" i="10"/>
  <c r="B60" i="10"/>
  <c r="G12" i="12"/>
  <c r="G5" i="12"/>
  <c r="B65" i="10"/>
  <c r="B39" i="10"/>
  <c r="B52" i="10" s="1"/>
  <c r="B63" i="10"/>
  <c r="G3" i="12"/>
  <c r="B30" i="10"/>
  <c r="B43" i="10" s="1"/>
  <c r="B91" i="10"/>
  <c r="B56" i="10"/>
  <c r="H78" i="10"/>
  <c r="H104" i="10" s="1"/>
  <c r="H117" i="10" s="1"/>
  <c r="M42" i="7"/>
  <c r="K43" i="7"/>
  <c r="L43" i="7"/>
  <c r="J43" i="7"/>
  <c r="C75" i="10"/>
  <c r="C101" i="10" s="1"/>
  <c r="G39" i="11" s="1"/>
  <c r="D19" i="12"/>
  <c r="I33" i="7"/>
  <c r="I39" i="7"/>
  <c r="I40" i="7"/>
  <c r="D22" i="12"/>
  <c r="I37" i="7"/>
  <c r="I34" i="7"/>
  <c r="N34" i="7" s="1"/>
  <c r="I41" i="7"/>
  <c r="I42" i="7"/>
  <c r="I38" i="7"/>
  <c r="I36" i="7"/>
  <c r="H76" i="10"/>
  <c r="H102" i="10" s="1"/>
  <c r="L40" i="11" s="1"/>
  <c r="H74" i="10"/>
  <c r="H100" i="10" s="1"/>
  <c r="L38" i="11" s="1"/>
  <c r="H77" i="10"/>
  <c r="H103" i="10" s="1"/>
  <c r="L23" i="11" s="1"/>
  <c r="M40" i="7"/>
  <c r="M38" i="7"/>
  <c r="M15" i="13"/>
  <c r="N15" i="13" s="1"/>
  <c r="H71" i="10"/>
  <c r="H97" i="10" s="1"/>
  <c r="L35" i="11" s="1"/>
  <c r="M41" i="7"/>
  <c r="H72" i="10"/>
  <c r="M36" i="7"/>
  <c r="G78" i="10"/>
  <c r="G104" i="10" s="1"/>
  <c r="K42" i="11" s="1"/>
  <c r="D59" i="12"/>
  <c r="D57" i="12"/>
  <c r="D56" i="12"/>
  <c r="D61" i="12"/>
  <c r="M35" i="7"/>
  <c r="N35" i="7" s="1"/>
  <c r="H73" i="10"/>
  <c r="H99" i="10" s="1"/>
  <c r="L37" i="11" s="1"/>
  <c r="H69" i="10"/>
  <c r="H95" i="10" s="1"/>
  <c r="L33" i="11" s="1"/>
  <c r="M33" i="7"/>
  <c r="M37" i="7"/>
  <c r="H75" i="10"/>
  <c r="H101" i="10" s="1"/>
  <c r="L39" i="11" s="1"/>
  <c r="M39" i="7"/>
  <c r="E22" i="10"/>
  <c r="G33" i="12"/>
  <c r="E63" i="10"/>
  <c r="E35" i="10"/>
  <c r="E48" i="10" s="1"/>
  <c r="G38" i="12"/>
  <c r="E26" i="10"/>
  <c r="C78" i="10"/>
  <c r="C91" i="10" s="1"/>
  <c r="D16" i="12"/>
  <c r="C72" i="10"/>
  <c r="D17" i="12"/>
  <c r="C73" i="10"/>
  <c r="C86" i="10" s="1"/>
  <c r="D21" i="12"/>
  <c r="D13" i="12"/>
  <c r="C70" i="10"/>
  <c r="C83" i="10" s="1"/>
  <c r="D14" i="12"/>
  <c r="D18" i="12"/>
  <c r="E3" i="13" s="1" a="1"/>
  <c r="E3" i="13" s="1"/>
  <c r="M3" i="13" s="1"/>
  <c r="C15" i="12"/>
  <c r="C18" i="12"/>
  <c r="D3" i="13" s="1" a="1"/>
  <c r="D3" i="13" s="1"/>
  <c r="C35" i="10"/>
  <c r="C48" i="10" s="1"/>
  <c r="F57" i="12"/>
  <c r="G8" i="10"/>
  <c r="G73" i="10" s="1"/>
  <c r="G99" i="10" s="1"/>
  <c r="G112" i="10" s="1"/>
  <c r="E62" i="10"/>
  <c r="F60" i="10"/>
  <c r="C11" i="10"/>
  <c r="C76" i="10" s="1"/>
  <c r="H24" i="10"/>
  <c r="G32" i="10"/>
  <c r="G45" i="10" s="1"/>
  <c r="G71" i="12"/>
  <c r="H25" i="10"/>
  <c r="E57" i="10"/>
  <c r="H57" i="10"/>
  <c r="G45" i="12"/>
  <c r="F19" i="10"/>
  <c r="F84" i="10" s="1"/>
  <c r="G50" i="12"/>
  <c r="F24" i="10"/>
  <c r="F89" i="10" s="1"/>
  <c r="G17" i="10"/>
  <c r="H18" i="10"/>
  <c r="H83" i="10" s="1"/>
  <c r="G21" i="10"/>
  <c r="G66" i="12"/>
  <c r="H20" i="10"/>
  <c r="G10" i="10"/>
  <c r="G75" i="10" s="1"/>
  <c r="E65" i="10"/>
  <c r="H31" i="10"/>
  <c r="H44" i="10" s="1"/>
  <c r="D64" i="10"/>
  <c r="G59" i="10"/>
  <c r="I59" i="10" s="1"/>
  <c r="G47" i="10"/>
  <c r="F58" i="10"/>
  <c r="G63" i="12"/>
  <c r="H17" i="10"/>
  <c r="H30" i="10"/>
  <c r="H43" i="10" s="1"/>
  <c r="G6" i="10"/>
  <c r="G71" i="10" s="1"/>
  <c r="G97" i="10" s="1"/>
  <c r="G110" i="10" s="1"/>
  <c r="G5" i="10"/>
  <c r="G70" i="10" s="1"/>
  <c r="G96" i="10" s="1"/>
  <c r="K34" i="11" s="1"/>
  <c r="G60" i="12"/>
  <c r="G24" i="10"/>
  <c r="H22" i="10"/>
  <c r="G77" i="10"/>
  <c r="G103" i="10" s="1"/>
  <c r="K41" i="11" s="1"/>
  <c r="L15" i="13"/>
  <c r="D38" i="10"/>
  <c r="D51" i="10" s="1"/>
  <c r="G11" i="10"/>
  <c r="G76" i="10" s="1"/>
  <c r="G102" i="10" s="1"/>
  <c r="G115" i="10" s="1"/>
  <c r="E39" i="10"/>
  <c r="E52" i="10" s="1"/>
  <c r="E31" i="10"/>
  <c r="E44" i="10" s="1"/>
  <c r="H33" i="10"/>
  <c r="H46" i="10" s="1"/>
  <c r="H35" i="10"/>
  <c r="H48" i="10" s="1"/>
  <c r="H37" i="10"/>
  <c r="H50" i="10" s="1"/>
  <c r="E18" i="10"/>
  <c r="E83" i="10" s="1"/>
  <c r="E23" i="10"/>
  <c r="D25" i="10"/>
  <c r="D90" i="10" s="1"/>
  <c r="G4" i="10"/>
  <c r="G69" i="10" s="1"/>
  <c r="G82" i="10" s="1"/>
  <c r="G22" i="10"/>
  <c r="F37" i="10"/>
  <c r="F50" i="10" s="1"/>
  <c r="G43" i="10"/>
  <c r="E86" i="10"/>
  <c r="G67" i="12"/>
  <c r="H21" i="10"/>
  <c r="H60" i="10"/>
  <c r="H61" i="10"/>
  <c r="H63" i="10"/>
  <c r="G58" i="10"/>
  <c r="G26" i="10"/>
  <c r="G19" i="10"/>
  <c r="C63" i="10"/>
  <c r="G72" i="12"/>
  <c r="H65" i="10"/>
  <c r="G36" i="10"/>
  <c r="G49" i="10" s="1"/>
  <c r="G59" i="12"/>
  <c r="G23" i="10"/>
  <c r="H34" i="10"/>
  <c r="H47" i="10" s="1"/>
  <c r="E115" i="10"/>
  <c r="I40" i="11"/>
  <c r="B112" i="10"/>
  <c r="F37" i="11"/>
  <c r="J20" i="11"/>
  <c r="J38" i="11"/>
  <c r="J19" i="11"/>
  <c r="J37" i="11"/>
  <c r="J23" i="11"/>
  <c r="J41" i="11"/>
  <c r="J16" i="11"/>
  <c r="J34" i="11"/>
  <c r="B114" i="10"/>
  <c r="F39" i="11"/>
  <c r="J21" i="11"/>
  <c r="J39" i="11"/>
  <c r="L16" i="11"/>
  <c r="L34" i="11"/>
  <c r="D113" i="10"/>
  <c r="H38" i="11"/>
  <c r="J15" i="11"/>
  <c r="J33" i="11"/>
  <c r="J24" i="11"/>
  <c r="J42" i="11"/>
  <c r="J18" i="11"/>
  <c r="J36" i="11"/>
  <c r="X114" i="14"/>
  <c r="U115" i="14"/>
  <c r="H113" i="14"/>
  <c r="I113" i="14"/>
  <c r="B111" i="14"/>
  <c r="C111" i="14" s="1"/>
  <c r="N114" i="14"/>
  <c r="Q113" i="14"/>
  <c r="J112" i="14"/>
  <c r="N79" i="14"/>
  <c r="O79" i="14"/>
  <c r="H82" i="14"/>
  <c r="G83" i="14" s="1"/>
  <c r="F83" i="10"/>
  <c r="N7" i="13"/>
  <c r="Q7" i="13" s="1"/>
  <c r="F88" i="10"/>
  <c r="F114" i="10"/>
  <c r="F117" i="10"/>
  <c r="F109" i="10"/>
  <c r="F112" i="10"/>
  <c r="F85" i="10"/>
  <c r="F116" i="10"/>
  <c r="F111" i="10"/>
  <c r="F108" i="10"/>
  <c r="F91" i="10"/>
  <c r="F110" i="10"/>
  <c r="J17" i="11"/>
  <c r="F87" i="10"/>
  <c r="F113" i="10"/>
  <c r="F115" i="10"/>
  <c r="J22" i="11"/>
  <c r="D102" i="10"/>
  <c r="D86" i="10"/>
  <c r="D99" i="10"/>
  <c r="D87" i="10"/>
  <c r="N11" i="13"/>
  <c r="O11" i="13" s="1"/>
  <c r="R11" i="13" s="1"/>
  <c r="D103" i="10"/>
  <c r="B90" i="10"/>
  <c r="B103" i="10"/>
  <c r="B82" i="10"/>
  <c r="B104" i="10"/>
  <c r="B84" i="10"/>
  <c r="B98" i="10"/>
  <c r="F36" i="11" s="1"/>
  <c r="F21" i="11"/>
  <c r="B102" i="10"/>
  <c r="F40" i="11" s="1"/>
  <c r="B89" i="10"/>
  <c r="B88" i="10"/>
  <c r="B100" i="10"/>
  <c r="F38" i="11" s="1"/>
  <c r="B87" i="10"/>
  <c r="B108" i="10"/>
  <c r="F15" i="11"/>
  <c r="F17" i="11"/>
  <c r="B110" i="10"/>
  <c r="B96" i="10"/>
  <c r="F34" i="11" s="1"/>
  <c r="B83" i="10"/>
  <c r="F19" i="11"/>
  <c r="H20" i="11"/>
  <c r="H109" i="10"/>
  <c r="C84" i="10"/>
  <c r="C97" i="10"/>
  <c r="G35" i="11" s="1"/>
  <c r="D84" i="10"/>
  <c r="D97" i="10"/>
  <c r="D88" i="10"/>
  <c r="D101" i="10"/>
  <c r="D85" i="10"/>
  <c r="D98" i="10"/>
  <c r="P11" i="13"/>
  <c r="D108" i="10"/>
  <c r="H15" i="11"/>
  <c r="D83" i="10"/>
  <c r="D96" i="10"/>
  <c r="H34" i="11" s="1"/>
  <c r="D91" i="10"/>
  <c r="D117" i="10"/>
  <c r="E89" i="10"/>
  <c r="E99" i="10"/>
  <c r="E84" i="10"/>
  <c r="E97" i="10"/>
  <c r="E96" i="10"/>
  <c r="I34" i="11" s="1"/>
  <c r="I22" i="11"/>
  <c r="E85" i="10"/>
  <c r="E98" i="10"/>
  <c r="E88" i="10"/>
  <c r="E101" i="10"/>
  <c r="E90" i="10"/>
  <c r="E103" i="10"/>
  <c r="E95" i="10"/>
  <c r="I33" i="11" s="1"/>
  <c r="E82" i="10"/>
  <c r="E87" i="10"/>
  <c r="E100" i="10"/>
  <c r="E91" i="10"/>
  <c r="E104" i="10"/>
  <c r="N42" i="7" l="1"/>
  <c r="H91" i="10"/>
  <c r="I62" i="10"/>
  <c r="H85" i="10"/>
  <c r="I57" i="10"/>
  <c r="I64" i="10"/>
  <c r="I58" i="10"/>
  <c r="L24" i="11"/>
  <c r="K38" i="11"/>
  <c r="G113" i="10"/>
  <c r="L42" i="11"/>
  <c r="G87" i="10"/>
  <c r="I61" i="10"/>
  <c r="I63" i="10"/>
  <c r="H87" i="10"/>
  <c r="N36" i="7"/>
  <c r="N39" i="7"/>
  <c r="N40" i="7"/>
  <c r="C88" i="10"/>
  <c r="H89" i="10"/>
  <c r="N37" i="7"/>
  <c r="N38" i="7"/>
  <c r="I43" i="7"/>
  <c r="N33" i="7"/>
  <c r="N41" i="7"/>
  <c r="M43" i="7"/>
  <c r="H90" i="10"/>
  <c r="H116" i="10"/>
  <c r="H84" i="10"/>
  <c r="L41" i="11"/>
  <c r="P15" i="13"/>
  <c r="H82" i="10"/>
  <c r="H98" i="10"/>
  <c r="L36" i="11" s="1"/>
  <c r="L15" i="11"/>
  <c r="H112" i="10"/>
  <c r="H86" i="10"/>
  <c r="K24" i="11"/>
  <c r="G91" i="10"/>
  <c r="I91" i="10" s="1"/>
  <c r="G117" i="10"/>
  <c r="I69" i="10"/>
  <c r="K17" i="11"/>
  <c r="K16" i="11"/>
  <c r="K35" i="11"/>
  <c r="G83" i="10"/>
  <c r="I83" i="10" s="1"/>
  <c r="G95" i="10"/>
  <c r="K33" i="11" s="1"/>
  <c r="I72" i="10"/>
  <c r="K19" i="11"/>
  <c r="I76" i="10"/>
  <c r="G98" i="10"/>
  <c r="K18" i="11" s="1"/>
  <c r="K23" i="11"/>
  <c r="I71" i="10"/>
  <c r="K37" i="11"/>
  <c r="G84" i="10"/>
  <c r="G86" i="10"/>
  <c r="G116" i="10"/>
  <c r="L19" i="11"/>
  <c r="H108" i="10"/>
  <c r="H88" i="10"/>
  <c r="I65" i="10"/>
  <c r="I60" i="10"/>
  <c r="I75" i="10"/>
  <c r="C98" i="10"/>
  <c r="G36" i="11" s="1"/>
  <c r="C85" i="10"/>
  <c r="I78" i="10"/>
  <c r="C89" i="10"/>
  <c r="C104" i="10"/>
  <c r="C117" i="10" s="1"/>
  <c r="C90" i="10"/>
  <c r="I73" i="10"/>
  <c r="C99" i="10"/>
  <c r="G37" i="11" s="1"/>
  <c r="C96" i="10"/>
  <c r="G34" i="11" s="1"/>
  <c r="M34" i="11" s="1"/>
  <c r="C95" i="10"/>
  <c r="C108" i="10" s="1"/>
  <c r="C82" i="10"/>
  <c r="I74" i="10"/>
  <c r="C87" i="10"/>
  <c r="C113" i="10"/>
  <c r="G20" i="11"/>
  <c r="N3" i="13"/>
  <c r="O3" i="13" s="1"/>
  <c r="L3" i="13"/>
  <c r="P3" i="13" s="1"/>
  <c r="I70" i="10"/>
  <c r="C102" i="10"/>
  <c r="G40" i="11" s="1"/>
  <c r="K22" i="11"/>
  <c r="I77" i="10"/>
  <c r="G90" i="10"/>
  <c r="G89" i="10"/>
  <c r="G109" i="10"/>
  <c r="K40" i="11"/>
  <c r="G101" i="10"/>
  <c r="G88" i="10"/>
  <c r="E111" i="10"/>
  <c r="I36" i="11"/>
  <c r="D110" i="10"/>
  <c r="H35" i="11"/>
  <c r="B117" i="10"/>
  <c r="F42" i="11"/>
  <c r="D112" i="10"/>
  <c r="H37" i="11"/>
  <c r="D114" i="10"/>
  <c r="H39" i="11"/>
  <c r="E117" i="10"/>
  <c r="I42" i="11"/>
  <c r="E110" i="10"/>
  <c r="I35" i="11"/>
  <c r="E112" i="10"/>
  <c r="I37" i="11"/>
  <c r="F23" i="11"/>
  <c r="F41" i="11"/>
  <c r="E114" i="10"/>
  <c r="I39" i="11"/>
  <c r="D111" i="10"/>
  <c r="H36" i="11"/>
  <c r="E116" i="10"/>
  <c r="I41" i="11"/>
  <c r="E113" i="10"/>
  <c r="I38" i="11"/>
  <c r="M38" i="11" s="1"/>
  <c r="D115" i="10"/>
  <c r="H40" i="11"/>
  <c r="D116" i="10"/>
  <c r="H41" i="11"/>
  <c r="V115" i="14"/>
  <c r="W115" i="14"/>
  <c r="U116" i="14"/>
  <c r="O114" i="14"/>
  <c r="P114" i="14"/>
  <c r="B112" i="14"/>
  <c r="C112" i="14" s="1"/>
  <c r="G114" i="14"/>
  <c r="M80" i="14"/>
  <c r="P79" i="14"/>
  <c r="B79" i="14"/>
  <c r="C79" i="14" s="1"/>
  <c r="J82" i="14"/>
  <c r="H83" i="14"/>
  <c r="G84" i="14" s="1"/>
  <c r="O7" i="13"/>
  <c r="R7" i="13" s="1"/>
  <c r="H22" i="11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G21" i="11"/>
  <c r="C114" i="10"/>
  <c r="C110" i="10"/>
  <c r="G17" i="11"/>
  <c r="C116" i="10"/>
  <c r="G23" i="11"/>
  <c r="O15" i="13"/>
  <c r="R15" i="13" s="1"/>
  <c r="Q15" i="13"/>
  <c r="L20" i="11"/>
  <c r="H113" i="10"/>
  <c r="L17" i="11"/>
  <c r="H110" i="10"/>
  <c r="H114" i="10"/>
  <c r="L21" i="11"/>
  <c r="H115" i="10"/>
  <c r="L22" i="11"/>
  <c r="H18" i="11"/>
  <c r="H17" i="11"/>
  <c r="H21" i="11"/>
  <c r="H24" i="11"/>
  <c r="H16" i="11"/>
  <c r="D109" i="10"/>
  <c r="I19" i="11"/>
  <c r="I15" i="11"/>
  <c r="E108" i="10"/>
  <c r="I16" i="11"/>
  <c r="E109" i="10"/>
  <c r="I24" i="11"/>
  <c r="I18" i="11"/>
  <c r="I23" i="11"/>
  <c r="I17" i="11"/>
  <c r="I21" i="11"/>
  <c r="I20" i="11"/>
  <c r="I85" i="10" l="1"/>
  <c r="I82" i="10"/>
  <c r="I87" i="10"/>
  <c r="I84" i="10"/>
  <c r="P17" i="13"/>
  <c r="H111" i="10"/>
  <c r="L18" i="11"/>
  <c r="I86" i="10"/>
  <c r="I88" i="10"/>
  <c r="G108" i="10"/>
  <c r="K15" i="11"/>
  <c r="G111" i="10"/>
  <c r="K36" i="11"/>
  <c r="I89" i="10"/>
  <c r="G42" i="11"/>
  <c r="M42" i="11" s="1"/>
  <c r="G24" i="11"/>
  <c r="M24" i="11" s="1"/>
  <c r="C112" i="10"/>
  <c r="C111" i="10"/>
  <c r="G19" i="11"/>
  <c r="M19" i="11" s="1"/>
  <c r="G18" i="11"/>
  <c r="C109" i="10"/>
  <c r="G16" i="11"/>
  <c r="M16" i="11" s="1"/>
  <c r="I90" i="10"/>
  <c r="G15" i="11"/>
  <c r="G22" i="11"/>
  <c r="M22" i="11" s="1"/>
  <c r="Q3" i="13"/>
  <c r="N17" i="13"/>
  <c r="G33" i="11"/>
  <c r="M33" i="11" s="1"/>
  <c r="M40" i="11"/>
  <c r="C115" i="10"/>
  <c r="K39" i="11"/>
  <c r="K21" i="11"/>
  <c r="M21" i="11" s="1"/>
  <c r="G114" i="10"/>
  <c r="M36" i="11"/>
  <c r="M35" i="11"/>
  <c r="M41" i="11"/>
  <c r="M37" i="11"/>
  <c r="M39" i="11"/>
  <c r="V116" i="14"/>
  <c r="W116" i="14"/>
  <c r="U117" i="14"/>
  <c r="X115" i="14"/>
  <c r="H114" i="14"/>
  <c r="G115" i="14" s="1"/>
  <c r="I114" i="14"/>
  <c r="N115" i="14"/>
  <c r="Q114" i="14"/>
  <c r="J113" i="14"/>
  <c r="J83" i="14"/>
  <c r="O80" i="14"/>
  <c r="N80" i="14"/>
  <c r="H84" i="14"/>
  <c r="G85" i="14"/>
  <c r="M23" i="11"/>
  <c r="M20" i="11"/>
  <c r="M17" i="11"/>
  <c r="R3" i="13"/>
  <c r="O17" i="13"/>
  <c r="M18" i="11" l="1"/>
  <c r="M15" i="11"/>
  <c r="V117" i="14"/>
  <c r="W117" i="14"/>
  <c r="U118" i="14"/>
  <c r="X116" i="14"/>
  <c r="H115" i="14"/>
  <c r="G116" i="14" s="1"/>
  <c r="I115" i="14"/>
  <c r="O115" i="14"/>
  <c r="P115" i="14"/>
  <c r="B113" i="14"/>
  <c r="C113" i="14" s="1"/>
  <c r="J114" i="14"/>
  <c r="P80" i="14"/>
  <c r="B80" i="14"/>
  <c r="C80" i="14" s="1"/>
  <c r="M81" i="14"/>
  <c r="G86" i="14"/>
  <c r="J85" i="14"/>
  <c r="J84" i="14"/>
  <c r="V118" i="14" l="1"/>
  <c r="U119" i="14" s="1"/>
  <c r="W118" i="14"/>
  <c r="X117" i="14"/>
  <c r="H116" i="14"/>
  <c r="I116" i="14"/>
  <c r="B114" i="14"/>
  <c r="C114" i="14" s="1"/>
  <c r="Q115" i="14"/>
  <c r="N116" i="14"/>
  <c r="J115" i="14"/>
  <c r="N81" i="14"/>
  <c r="O81" i="14"/>
  <c r="M82" i="14"/>
  <c r="H86" i="14"/>
  <c r="G87" i="14" s="1"/>
  <c r="J86" i="14"/>
  <c r="W119" i="14" l="1"/>
  <c r="V119" i="14"/>
  <c r="U120" i="14"/>
  <c r="X118" i="14"/>
  <c r="O116" i="14"/>
  <c r="P116" i="14"/>
  <c r="B115" i="14"/>
  <c r="C115" i="14" s="1"/>
  <c r="G117" i="14"/>
  <c r="N82" i="14"/>
  <c r="O82" i="14"/>
  <c r="M83" i="14"/>
  <c r="P81" i="14"/>
  <c r="B81" i="14"/>
  <c r="C81" i="14" s="1"/>
  <c r="H87" i="14"/>
  <c r="G88" i="14" s="1"/>
  <c r="J87" i="14"/>
  <c r="X119" i="14" l="1"/>
  <c r="V120" i="14"/>
  <c r="W120" i="14"/>
  <c r="U121" i="14"/>
  <c r="H117" i="14"/>
  <c r="I117" i="14"/>
  <c r="N117" i="14"/>
  <c r="Q116" i="14"/>
  <c r="J116" i="14"/>
  <c r="N83" i="14"/>
  <c r="O83" i="14"/>
  <c r="M84" i="14"/>
  <c r="P82" i="14"/>
  <c r="B82" i="14"/>
  <c r="C82" i="14" s="1"/>
  <c r="H88" i="14"/>
  <c r="G89" i="14" s="1"/>
  <c r="J88" i="14"/>
  <c r="W121" i="14" l="1"/>
  <c r="V121" i="14"/>
  <c r="U122" i="14"/>
  <c r="X120" i="14"/>
  <c r="J117" i="14"/>
  <c r="O117" i="14"/>
  <c r="P117" i="14"/>
  <c r="B116" i="14"/>
  <c r="C116" i="14" s="1"/>
  <c r="G118" i="14"/>
  <c r="O84" i="14"/>
  <c r="N84" i="14"/>
  <c r="M85" i="14" s="1"/>
  <c r="P83" i="14"/>
  <c r="B83" i="14"/>
  <c r="C83" i="14" s="1"/>
  <c r="H89" i="14"/>
  <c r="G90" i="14" s="1"/>
  <c r="X121" i="14" l="1"/>
  <c r="W122" i="14"/>
  <c r="V122" i="14"/>
  <c r="H118" i="14"/>
  <c r="G119" i="14" s="1"/>
  <c r="I118" i="14"/>
  <c r="Q117" i="14"/>
  <c r="B117" i="14" s="1"/>
  <c r="C117" i="14" s="1"/>
  <c r="N118" i="14"/>
  <c r="H90" i="14"/>
  <c r="O85" i="14"/>
  <c r="N85" i="14"/>
  <c r="P84" i="14"/>
  <c r="B84" i="14"/>
  <c r="C84" i="14" s="1"/>
  <c r="J89" i="14"/>
  <c r="U123" i="14" l="1"/>
  <c r="X122" i="14"/>
  <c r="H119" i="14"/>
  <c r="I119" i="14"/>
  <c r="O118" i="14"/>
  <c r="P118" i="14"/>
  <c r="J118" i="14"/>
  <c r="P85" i="14"/>
  <c r="B85" i="14"/>
  <c r="C85" i="14" s="1"/>
  <c r="M86" i="14"/>
  <c r="J90" i="14"/>
  <c r="G91" i="14"/>
  <c r="W123" i="14" l="1"/>
  <c r="V123" i="14"/>
  <c r="N119" i="14"/>
  <c r="Q118" i="14"/>
  <c r="B118" i="14" s="1"/>
  <c r="C118" i="14" s="1"/>
  <c r="G120" i="14"/>
  <c r="H91" i="14"/>
  <c r="G92" i="14"/>
  <c r="O86" i="14"/>
  <c r="N86" i="14"/>
  <c r="M87" i="14"/>
  <c r="X123" i="14" l="1"/>
  <c r="U124" i="14"/>
  <c r="H120" i="14"/>
  <c r="I120" i="14"/>
  <c r="O119" i="14"/>
  <c r="P119" i="14"/>
  <c r="J119" i="14"/>
  <c r="P86" i="14"/>
  <c r="B86" i="14"/>
  <c r="C86" i="14" s="1"/>
  <c r="H92" i="14"/>
  <c r="G93" i="14"/>
  <c r="N87" i="14"/>
  <c r="O87" i="14"/>
  <c r="M88" i="14"/>
  <c r="J91" i="14"/>
  <c r="V124" i="14" l="1"/>
  <c r="W124" i="14"/>
  <c r="U125" i="14"/>
  <c r="Q119" i="14"/>
  <c r="B119" i="14" s="1"/>
  <c r="C119" i="14" s="1"/>
  <c r="N120" i="14"/>
  <c r="G121" i="14"/>
  <c r="O88" i="14"/>
  <c r="N88" i="14"/>
  <c r="M89" i="14" s="1"/>
  <c r="H93" i="14"/>
  <c r="G94" i="14"/>
  <c r="J92" i="14"/>
  <c r="P87" i="14"/>
  <c r="B87" i="14"/>
  <c r="C87" i="14" s="1"/>
  <c r="W125" i="14" l="1"/>
  <c r="V125" i="14"/>
  <c r="X124" i="14"/>
  <c r="H121" i="14"/>
  <c r="I121" i="14"/>
  <c r="O120" i="14"/>
  <c r="N121" i="14" s="1"/>
  <c r="P120" i="14"/>
  <c r="Q120" i="14" s="1"/>
  <c r="J120" i="14"/>
  <c r="O89" i="14"/>
  <c r="N89" i="14"/>
  <c r="P88" i="14"/>
  <c r="B88" i="14"/>
  <c r="C88" i="14" s="1"/>
  <c r="H94" i="14"/>
  <c r="J93" i="14"/>
  <c r="X125" i="14" l="1"/>
  <c r="U126" i="14"/>
  <c r="J121" i="14"/>
  <c r="O121" i="14"/>
  <c r="P121" i="14"/>
  <c r="B120" i="14"/>
  <c r="C120" i="14" s="1"/>
  <c r="G122" i="14"/>
  <c r="P89" i="14"/>
  <c r="B89" i="14"/>
  <c r="C89" i="14" s="1"/>
  <c r="J94" i="14"/>
  <c r="J66" i="14"/>
  <c r="M90" i="14"/>
  <c r="W126" i="14" l="1"/>
  <c r="V126" i="14"/>
  <c r="H122" i="14"/>
  <c r="G123" i="14" s="1"/>
  <c r="I122" i="14"/>
  <c r="Q121" i="14"/>
  <c r="B121" i="14" s="1"/>
  <c r="C121" i="14" s="1"/>
  <c r="N122" i="14"/>
  <c r="O90" i="14"/>
  <c r="N90" i="14"/>
  <c r="X126" i="14" l="1"/>
  <c r="U127" i="14"/>
  <c r="H123" i="14"/>
  <c r="I123" i="14"/>
  <c r="P122" i="14"/>
  <c r="O122" i="14"/>
  <c r="J122" i="14"/>
  <c r="P90" i="14"/>
  <c r="B90" i="14"/>
  <c r="C90" i="14" s="1"/>
  <c r="M91" i="14"/>
  <c r="V127" i="14" l="1"/>
  <c r="W127" i="14"/>
  <c r="U128" i="14"/>
  <c r="J123" i="14"/>
  <c r="N123" i="14"/>
  <c r="Q122" i="14"/>
  <c r="B122" i="14" s="1"/>
  <c r="C122" i="14" s="1"/>
  <c r="G124" i="14"/>
  <c r="N91" i="14"/>
  <c r="B91" i="14" s="1"/>
  <c r="C91" i="14" s="1"/>
  <c r="O91" i="14"/>
  <c r="P91" i="14" s="1"/>
  <c r="M92" i="14"/>
  <c r="V128" i="14" l="1"/>
  <c r="W128" i="14"/>
  <c r="X127" i="14"/>
  <c r="H124" i="14"/>
  <c r="I124" i="14"/>
  <c r="O123" i="14"/>
  <c r="P123" i="14"/>
  <c r="O92" i="14"/>
  <c r="N92" i="14"/>
  <c r="X128" i="14" l="1"/>
  <c r="U129" i="14"/>
  <c r="J124" i="14"/>
  <c r="G125" i="14"/>
  <c r="I125" i="14" s="1"/>
  <c r="H125" i="14"/>
  <c r="J125" i="14" s="1"/>
  <c r="N124" i="14"/>
  <c r="Q123" i="14"/>
  <c r="B123" i="14" s="1"/>
  <c r="C123" i="14" s="1"/>
  <c r="P92" i="14"/>
  <c r="B92" i="14"/>
  <c r="C92" i="14" s="1"/>
  <c r="M93" i="14"/>
  <c r="W129" i="14" l="1"/>
  <c r="V129" i="14"/>
  <c r="O124" i="14"/>
  <c r="P124" i="14"/>
  <c r="G126" i="14"/>
  <c r="N93" i="14"/>
  <c r="O93" i="14"/>
  <c r="M94" i="14"/>
  <c r="X129" i="14" l="1"/>
  <c r="X101" i="14" s="1"/>
  <c r="H126" i="14"/>
  <c r="I126" i="14"/>
  <c r="Q124" i="14"/>
  <c r="B124" i="14" s="1"/>
  <c r="C124" i="14" s="1"/>
  <c r="N125" i="14"/>
  <c r="N94" i="14"/>
  <c r="O94" i="14"/>
  <c r="P93" i="14"/>
  <c r="B93" i="14"/>
  <c r="C93" i="14" s="1"/>
  <c r="O125" i="14" l="1"/>
  <c r="P125" i="14"/>
  <c r="J126" i="14"/>
  <c r="G127" i="14"/>
  <c r="P94" i="14"/>
  <c r="B94" i="14"/>
  <c r="C94" i="14" s="1"/>
  <c r="H127" i="14" l="1"/>
  <c r="I127" i="14"/>
  <c r="Q125" i="14"/>
  <c r="B125" i="14" s="1"/>
  <c r="C125" i="14" s="1"/>
  <c r="N126" i="14"/>
  <c r="G128" i="14"/>
  <c r="H128" i="14" l="1"/>
  <c r="I128" i="14"/>
  <c r="O126" i="14"/>
  <c r="N127" i="14" s="1"/>
  <c r="P126" i="14"/>
  <c r="J127" i="14"/>
  <c r="O127" i="14" l="1"/>
  <c r="P127" i="14"/>
  <c r="J128" i="14"/>
  <c r="Q126" i="14"/>
  <c r="B126" i="14" s="1"/>
  <c r="C126" i="14" s="1"/>
  <c r="G129" i="14"/>
  <c r="H129" i="14" l="1"/>
  <c r="I129" i="14"/>
  <c r="Q127" i="14"/>
  <c r="B127" i="14" s="1"/>
  <c r="C127" i="14" s="1"/>
  <c r="N128" i="14"/>
  <c r="O128" i="14" l="1"/>
  <c r="P128" i="14"/>
  <c r="J129" i="14"/>
  <c r="J101" i="14" l="1"/>
  <c r="N129" i="14"/>
  <c r="Q128" i="14"/>
  <c r="B128" i="14" s="1"/>
  <c r="C128" i="14" s="1"/>
  <c r="O129" i="14" l="1"/>
  <c r="P129" i="14"/>
  <c r="Q129" i="14" l="1"/>
  <c r="Q101" i="14"/>
  <c r="B129" i="14"/>
  <c r="C129" i="14" s="1"/>
</calcChain>
</file>

<file path=xl/sharedStrings.xml><?xml version="1.0" encoding="utf-8"?>
<sst xmlns="http://schemas.openxmlformats.org/spreadsheetml/2006/main" count="1459" uniqueCount="476">
  <si>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</si>
  <si>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</si>
  <si>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</si>
  <si>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</si>
  <si>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</si>
  <si>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</si>
  <si>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</si>
  <si>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</si>
  <si>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</si>
  <si>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</si>
  <si>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</si>
  <si>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</si>
  <si>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</si>
  <si>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</si>
  <si>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</si>
  <si>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</si>
  <si>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</si>
  <si>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</si>
  <si>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</si>
  <si>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</si>
  <si>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</si>
  <si>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</si>
  <si>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</si>
  <si>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</si>
  <si>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</si>
  <si>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</si>
  <si>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</si>
  <si>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</si>
  <si>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</si>
  <si>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</si>
  <si>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</si>
  <si>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</si>
  <si>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</si>
  <si>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</si>
  <si>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</si>
  <si>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</si>
  <si>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</si>
  <si>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</si>
  <si>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</si>
  <si>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</si>
  <si>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</si>
  <si>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</si>
  <si>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</si>
  <si>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</si>
  <si>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</si>
  <si>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</si>
  <si>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</si>
  <si>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</si>
  <si>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</si>
  <si>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</si>
  <si>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</si>
  <si>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</si>
  <si>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</si>
  <si>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</si>
  <si>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</si>
  <si>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</si>
  <si>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</si>
  <si>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</si>
  <si>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</si>
  <si>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</si>
  <si>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</si>
  <si>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</si>
  <si>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</si>
  <si>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</si>
  <si>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</si>
  <si>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</si>
  <si>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</si>
  <si>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</si>
  <si>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</si>
  <si>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</si>
  <si>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</si>
  <si>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</si>
  <si>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</si>
  <si>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</si>
  <si>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</si>
  <si>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</si>
  <si>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</si>
  <si>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</si>
  <si>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</si>
  <si>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</si>
  <si>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</si>
  <si>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</si>
  <si>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</si>
  <si>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</si>
  <si>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</si>
  <si>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</si>
  <si>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</si>
  <si>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</si>
  <si>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</si>
  <si>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</si>
  <si>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</si>
  <si>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</si>
  <si>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</si>
  <si>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</si>
  <si>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</si>
  <si>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</si>
  <si>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</si>
  <si>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</si>
  <si>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</si>
  <si>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</si>
  <si>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</si>
  <si>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</si>
  <si>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</si>
  <si>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</si>
  <si>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</si>
  <si>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</si>
  <si>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</si>
  <si>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</si>
  <si>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</si>
  <si>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</si>
  <si>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</si>
  <si>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</si>
  <si>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</si>
  <si>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</si>
  <si>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</si>
  <si>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</si>
  <si>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</si>
  <si>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</si>
  <si>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</si>
  <si>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</si>
  <si>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</si>
  <si>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</si>
  <si>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</si>
  <si>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</si>
  <si>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</si>
  <si>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</si>
  <si>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</si>
  <si>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</si>
  <si>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</si>
  <si>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</si>
  <si>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</si>
  <si>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</si>
  <si>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</si>
  <si>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</si>
  <si>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</si>
  <si>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</si>
  <si>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</si>
  <si>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</si>
  <si>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</si>
  <si>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</si>
  <si>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</si>
  <si>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</si>
  <si>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</si>
  <si>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</si>
  <si>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</si>
  <si>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</si>
  <si>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</si>
  <si>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</si>
  <si>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</si>
  <si>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</si>
  <si>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</si>
  <si>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</si>
  <si>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</si>
  <si>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</si>
  <si>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</si>
  <si>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</si>
  <si>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</si>
  <si>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</si>
  <si>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</si>
  <si>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</si>
  <si>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</si>
  <si>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</si>
  <si>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</si>
  <si>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</si>
  <si>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</si>
  <si>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</si>
  <si>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</si>
  <si>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</si>
  <si>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</si>
  <si>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</si>
  <si>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</si>
  <si>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</si>
  <si>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</si>
  <si>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</si>
  <si>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</si>
  <si>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</si>
  <si>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</si>
  <si>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</si>
  <si>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</si>
  <si>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</si>
  <si>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</si>
  <si>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</si>
  <si>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</si>
  <si>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</si>
  <si>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</si>
  <si>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</si>
  <si>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</si>
  <si>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</si>
  <si>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</si>
  <si>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</si>
  <si>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</si>
  <si>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</si>
  <si>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</si>
  <si>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</si>
  <si>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hull armor</t>
  </si>
  <si>
    <t>(itemLvl-1)/(maxLvl-1)</t>
  </si>
  <si>
    <t>hull overheat limit</t>
  </si>
  <si>
    <t>cooling rate inc%</t>
  </si>
  <si>
    <t>hull armor dmg reduction %</t>
  </si>
  <si>
    <t>ARMOR PLATING</t>
  </si>
  <si>
    <t>Mission reward (low)</t>
  </si>
  <si>
    <t>Mission reward (med)</t>
  </si>
  <si>
    <t>Mission reward (high)</t>
  </si>
  <si>
    <t>Average low loot</t>
  </si>
  <si>
    <t>Average med loot</t>
  </si>
  <si>
    <t>Average high loot</t>
  </si>
  <si>
    <t>Average repair cost</t>
  </si>
  <si>
    <t>Average ammo resupply</t>
  </si>
  <si>
    <t>Reward</t>
  </si>
  <si>
    <t>Loot</t>
  </si>
  <si>
    <t>Low</t>
  </si>
  <si>
    <t>Med</t>
  </si>
  <si>
    <t>High</t>
  </si>
  <si>
    <t>MISSION</t>
  </si>
  <si>
    <t>REWARD</t>
  </si>
  <si>
    <t>LOOT</t>
  </si>
  <si>
    <t>Retrieve Cargo</t>
  </si>
  <si>
    <t>Retrieve Data</t>
  </si>
  <si>
    <t>Retrieve Prototype</t>
  </si>
  <si>
    <t>Derelict Vessel</t>
  </si>
  <si>
    <t>Cleaning Mission</t>
  </si>
  <si>
    <t>Fate of the Vessel</t>
  </si>
  <si>
    <t>Rogue AI</t>
  </si>
  <si>
    <t>RND LOOT</t>
  </si>
  <si>
    <t>EXQ LOOT</t>
  </si>
  <si>
    <t>Mission reward (very high)</t>
  </si>
  <si>
    <t>Very high</t>
  </si>
  <si>
    <t>TIER</t>
  </si>
  <si>
    <t>TRAVEL TIME</t>
  </si>
  <si>
    <t>ALIENS</t>
  </si>
  <si>
    <t>DEFENCES</t>
  </si>
  <si>
    <t>POWER</t>
  </si>
  <si>
    <t>ALLOW BOTH</t>
  </si>
  <si>
    <t>1-4</t>
  </si>
  <si>
    <t>1-3</t>
  </si>
  <si>
    <t>0-3</t>
  </si>
  <si>
    <t>0-2</t>
  </si>
  <si>
    <t>2-3</t>
  </si>
  <si>
    <t>0</t>
  </si>
  <si>
    <t>1-2</t>
  </si>
  <si>
    <t>3</t>
  </si>
  <si>
    <t>0-1</t>
  </si>
  <si>
    <t>1</t>
  </si>
  <si>
    <t>2</t>
  </si>
  <si>
    <t>EXPIRES</t>
  </si>
  <si>
    <t>4-8</t>
  </si>
  <si>
    <t>2-7</t>
  </si>
  <si>
    <t>3-8</t>
  </si>
  <si>
    <t>6-8</t>
  </si>
  <si>
    <t>8-12</t>
  </si>
  <si>
    <t>4-10</t>
  </si>
  <si>
    <t>8-14</t>
  </si>
  <si>
    <t>6-12</t>
  </si>
  <si>
    <t>Quest items</t>
  </si>
  <si>
    <t>Weapons lvl 10</t>
  </si>
  <si>
    <t>Utilities lvl 10</t>
  </si>
  <si>
    <t>Merchandise</t>
  </si>
  <si>
    <t>Advanced Tech</t>
  </si>
  <si>
    <t>Shady Goods</t>
  </si>
  <si>
    <t>Trade Goods</t>
  </si>
  <si>
    <t>Hi-tech Components</t>
  </si>
  <si>
    <t>EW Components</t>
  </si>
  <si>
    <t>Military Alloys</t>
  </si>
  <si>
    <t>Alien Artifact (lvl 10 vendor loot)</t>
  </si>
  <si>
    <t>Exquisite Goods (lvl 10 vendor loot)</t>
  </si>
  <si>
    <t>value min</t>
  </si>
  <si>
    <t>value max</t>
  </si>
  <si>
    <t>type</t>
  </si>
  <si>
    <t>loot</t>
  </si>
  <si>
    <t>utility</t>
  </si>
  <si>
    <t>Radar</t>
  </si>
  <si>
    <t>Heat Sink</t>
  </si>
  <si>
    <t>Armor Plating</t>
  </si>
  <si>
    <t>Aim Computer</t>
  </si>
  <si>
    <t>Radiator</t>
  </si>
  <si>
    <t>Navigator</t>
  </si>
  <si>
    <t>Hydraulic Booster</t>
  </si>
  <si>
    <t>Hacking Unit</t>
  </si>
  <si>
    <t>HACKING UNIT</t>
  </si>
  <si>
    <t>hacking</t>
  </si>
  <si>
    <t>Scrap</t>
  </si>
  <si>
    <t>Spare Parts</t>
  </si>
  <si>
    <t>Industrial Wares</t>
  </si>
  <si>
    <t>Military Wares</t>
  </si>
  <si>
    <t>Supplies</t>
  </si>
  <si>
    <t>scrap</t>
  </si>
  <si>
    <t>spare parts</t>
  </si>
  <si>
    <t>supplies</t>
  </si>
  <si>
    <t>trade goods</t>
  </si>
  <si>
    <t>industrial wares</t>
  </si>
  <si>
    <t>hi-tech</t>
  </si>
  <si>
    <t>military alloys</t>
  </si>
  <si>
    <t>advanced tech</t>
  </si>
  <si>
    <t>shady goods</t>
  </si>
  <si>
    <t>merchandise</t>
  </si>
  <si>
    <t>ew components</t>
  </si>
  <si>
    <t>military tech</t>
  </si>
  <si>
    <t>military wares</t>
  </si>
  <si>
    <t>OPTIONS</t>
  </si>
  <si>
    <t>Music</t>
  </si>
  <si>
    <t>on / off</t>
  </si>
  <si>
    <t>Sound effects</t>
  </si>
  <si>
    <t>Skip shooting animations</t>
  </si>
  <si>
    <t xml:space="preserve">Skip walking animations </t>
  </si>
  <si>
    <t>Turn the background music on / off</t>
  </si>
  <si>
    <t>Turn other sound effects (shooting, enemy sounds etc) on / off</t>
  </si>
  <si>
    <t>Turn walking animations and head bobbing on / off</t>
  </si>
  <si>
    <t>The camera does not automatically rotate inside the cockpit (press hotkey to enable rotating)</t>
  </si>
  <si>
    <t>Turn shooting animations and enemy taking damage animations on / off</t>
  </si>
  <si>
    <t>CONTROLS</t>
  </si>
  <si>
    <t>W</t>
  </si>
  <si>
    <t>Forward</t>
  </si>
  <si>
    <t>Backward</t>
  </si>
  <si>
    <t>Strafe left</t>
  </si>
  <si>
    <t>Strafe right</t>
  </si>
  <si>
    <t>Rotate left</t>
  </si>
  <si>
    <t>Rotate right</t>
  </si>
  <si>
    <t>Interact</t>
  </si>
  <si>
    <t>Inventory</t>
  </si>
  <si>
    <t>Log</t>
  </si>
  <si>
    <t>Flashlight</t>
  </si>
  <si>
    <t>S</t>
  </si>
  <si>
    <t>D</t>
  </si>
  <si>
    <t>Q</t>
  </si>
  <si>
    <t>E</t>
  </si>
  <si>
    <t>Space</t>
  </si>
  <si>
    <t>TAB</t>
  </si>
  <si>
    <t>T</t>
  </si>
  <si>
    <t>I</t>
  </si>
  <si>
    <t>L</t>
  </si>
  <si>
    <t>F</t>
  </si>
  <si>
    <t>Rotating cockpit view</t>
  </si>
  <si>
    <t>Disperse Heat</t>
  </si>
  <si>
    <t>R</t>
  </si>
  <si>
    <t>Select Weapon 1</t>
  </si>
  <si>
    <t>Select Weapon 2</t>
  </si>
  <si>
    <t>Select Weapon 3</t>
  </si>
  <si>
    <t>Select Weapon 4</t>
  </si>
  <si>
    <t>Toggle No Animations Mode</t>
  </si>
  <si>
    <t>TOTAL REWARD</t>
  </si>
  <si>
    <t>DEBT</t>
  </si>
  <si>
    <t>IGNORE</t>
  </si>
  <si>
    <t>Average missions / month</t>
  </si>
  <si>
    <t>CUT</t>
  </si>
  <si>
    <t>INTEREST</t>
  </si>
  <si>
    <t>Month 1</t>
  </si>
  <si>
    <t>Month 2</t>
  </si>
  <si>
    <t>Month 3</t>
  </si>
  <si>
    <t>Month 4</t>
  </si>
  <si>
    <t>Initial debt</t>
  </si>
  <si>
    <t>MAJOR TOTAL</t>
  </si>
  <si>
    <t>Average income / month</t>
  </si>
  <si>
    <t>Month 5</t>
  </si>
  <si>
    <t>DEBT MINUS</t>
  </si>
  <si>
    <t>Mission 1</t>
  </si>
  <si>
    <t>Mission 2</t>
  </si>
  <si>
    <t>Mission 3</t>
  </si>
  <si>
    <t>Mission 4</t>
  </si>
  <si>
    <t>min</t>
  </si>
  <si>
    <t>max</t>
  </si>
  <si>
    <t>TOTAL INCOME</t>
  </si>
  <si>
    <t>TRAVELTIME</t>
  </si>
  <si>
    <t>CONTROLLER</t>
  </si>
  <si>
    <t>Military Tech</t>
  </si>
  <si>
    <t>AVG LOOT 1</t>
  </si>
  <si>
    <t>AVG LOOT 2</t>
  </si>
  <si>
    <t>AVG LOOT 3</t>
  </si>
  <si>
    <t>AVG TIER 1</t>
  </si>
  <si>
    <t>AVG TIER 2</t>
  </si>
  <si>
    <t>AVG TIER 3</t>
  </si>
  <si>
    <t>AVG TIER 4</t>
  </si>
  <si>
    <t>REWARD/TIME</t>
  </si>
  <si>
    <t>6-10</t>
  </si>
  <si>
    <t>LOOT CLASS</t>
  </si>
  <si>
    <t>REWARD / TIME</t>
  </si>
  <si>
    <t>TOP</t>
  </si>
  <si>
    <t>RND1</t>
  </si>
  <si>
    <t>RND2</t>
  </si>
  <si>
    <t>AVG REWARD</t>
  </si>
  <si>
    <t>AVG AVG REWARD</t>
  </si>
  <si>
    <t>DIFFERENCE TO AVG AVG</t>
  </si>
  <si>
    <t>AVG TIME</t>
  </si>
  <si>
    <t>AVG REWARD/TIME</t>
  </si>
  <si>
    <t>AVG AVG REWARD/TIME</t>
  </si>
  <si>
    <t>MAX</t>
  </si>
  <si>
    <t>MIN</t>
  </si>
  <si>
    <t>% DIF TO AVG</t>
  </si>
  <si>
    <t>#</t>
  </si>
  <si>
    <t>AVG MAX</t>
  </si>
  <si>
    <t>AVG REWARD / TIME MAX</t>
  </si>
  <si>
    <t>MONTH</t>
  </si>
  <si>
    <t>Def%</t>
  </si>
  <si>
    <t>PLAYER CASH</t>
  </si>
  <si>
    <t>INITIAL DEBT</t>
  </si>
  <si>
    <t>DEFAULT INTEREST</t>
  </si>
  <si>
    <t>INTEREST GROWTH</t>
  </si>
  <si>
    <t>monthsSinceTaken * defaultInterest</t>
  </si>
  <si>
    <t>Inc%</t>
  </si>
  <si>
    <t>ORIG DEBT</t>
  </si>
  <si>
    <t>DEBT BONUS</t>
  </si>
  <si>
    <t>EXTRA CUT</t>
  </si>
  <si>
    <t>Ammo price</t>
  </si>
  <si>
    <t>Expected damage / price</t>
  </si>
  <si>
    <t>LOOT POOL 1</t>
  </si>
  <si>
    <t>LOOT POOL 2</t>
  </si>
  <si>
    <t>MILITARY</t>
  </si>
  <si>
    <t>BASIC</t>
  </si>
  <si>
    <t>VENDOR</t>
  </si>
  <si>
    <t>LOOT POOL 3</t>
  </si>
  <si>
    <t>ITEM</t>
  </si>
  <si>
    <t>LVL</t>
  </si>
  <si>
    <t>Standard Shell</t>
  </si>
  <si>
    <t>Light Rounds</t>
  </si>
  <si>
    <t>Heavy Slugs</t>
  </si>
  <si>
    <t>Missiles</t>
  </si>
  <si>
    <t>QUALITY CLASS</t>
  </si>
  <si>
    <t>WEIGHT</t>
  </si>
  <si>
    <t>vendor</t>
  </si>
  <si>
    <t>QUALITY CLASSES</t>
  </si>
  <si>
    <t>WEIGHTS</t>
  </si>
  <si>
    <t>weight</t>
  </si>
  <si>
    <t>SUM AMMO</t>
  </si>
  <si>
    <t>SUM SCRAP</t>
  </si>
  <si>
    <t>SUM WEP</t>
  </si>
  <si>
    <t>SUM UTI</t>
  </si>
  <si>
    <t>WEAPONS</t>
  </si>
  <si>
    <t>UTILITIES</t>
  </si>
  <si>
    <t>AMMO</t>
  </si>
  <si>
    <t>SCRAP</t>
  </si>
  <si>
    <t>SUMS</t>
  </si>
  <si>
    <t>MIGHTY EXCEL PRESENTATION</t>
  </si>
  <si>
    <t>Excel is just a tool. Ymmärrettävä matematiikka numerojen taustalla.</t>
  </si>
  <si>
    <t>Sopii hyvin datan visualisointiin: Chartit, data barit, color scalet, ym.</t>
  </si>
  <si>
    <t>Nopeuttaa numeeriseen tasapainoon liittyvien ongelmien huomaamista verrattuna pelitestaukseen. Ei kuitenkaan korvaa testausta.</t>
  </si>
  <si>
    <t>DB Wep</t>
  </si>
  <si>
    <t>ID</t>
  </si>
  <si>
    <t>speed</t>
  </si>
  <si>
    <t>cost</t>
  </si>
  <si>
    <t>Miekka</t>
  </si>
  <si>
    <t>Kirves</t>
  </si>
  <si>
    <t>Nuija</t>
  </si>
  <si>
    <t>Keihäs</t>
  </si>
  <si>
    <t>hitChance</t>
  </si>
  <si>
    <t>Ase 1</t>
  </si>
  <si>
    <t>Ase 2</t>
  </si>
  <si>
    <t>Ase 3</t>
  </si>
  <si>
    <t>Ase 4</t>
  </si>
  <si>
    <t>Expected dmg / min</t>
  </si>
  <si>
    <t>Expected dmg/min/cost</t>
  </si>
  <si>
    <t>GET STATS</t>
  </si>
  <si>
    <t>Keihas</t>
  </si>
  <si>
    <t>KIRVES</t>
  </si>
  <si>
    <t>NUIJA</t>
  </si>
  <si>
    <t>KEIHAS</t>
  </si>
  <si>
    <t>MIEKKA</t>
  </si>
  <si>
    <t>Look around</t>
  </si>
  <si>
    <t>Targeting mode</t>
  </si>
  <si>
    <t>Engage</t>
  </si>
  <si>
    <t>Z</t>
  </si>
  <si>
    <t>Toggle Skip Shooting Animations</t>
  </si>
  <si>
    <t>CTRL+X</t>
  </si>
  <si>
    <t>CTRL+C</t>
  </si>
  <si>
    <t>HOTKEY</t>
  </si>
  <si>
    <t>Permanent Death</t>
  </si>
  <si>
    <t>Default state</t>
  </si>
  <si>
    <t>on</t>
  </si>
  <si>
    <t>off</t>
  </si>
  <si>
    <t>hit%</t>
  </si>
  <si>
    <t>DIST</t>
  </si>
  <si>
    <t>Shadows</t>
  </si>
  <si>
    <t>Turn shadows on / off</t>
  </si>
  <si>
    <t>Texture Quality</t>
  </si>
  <si>
    <t>low / med / high</t>
  </si>
  <si>
    <t>high</t>
  </si>
  <si>
    <t>AVG AVG</t>
  </si>
  <si>
    <t>HUD Help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</si>
</sst>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/>
    <xf numFmtId="3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16" fontId="0" fillId="0" borderId="0" xfId="0" applyNumberFormat="1"/>
    <xf numFmtId="49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49" fontId="2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9" fontId="0" fillId="0" borderId="0" xfId="0" applyNumberFormat="1"/>
    <xf numFmtId="0" fontId="0" fillId="0" borderId="5" xfId="0" applyBorder="1"/>
    <xf numFmtId="0" fontId="0" fillId="0" borderId="2" xfId="0" applyBorder="1" applyAlignment="1">
      <alignment horizontal="right"/>
    </xf>
    <xf numFmtId="0" fontId="1" fillId="0" borderId="0" xfId="0" applyFont="1" applyFill="1" applyBorder="1"/>
    <xf numFmtId="0" fontId="0" fillId="0" borderId="6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5" xfId="0" applyFont="1" applyBorder="1"/>
  </cellXfs>
  <cellStyles count="1">
    <cellStyle name="Normal" xfId="0" builtinId="0"/>
  </cellStyles>
  <dxfs count="121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90688"/>
        <c:axId val="107092224"/>
      </c:lineChart>
      <c:catAx>
        <c:axId val="10709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092224"/>
        <c:crosses val="autoZero"/>
        <c:auto val="1"/>
        <c:lblAlgn val="ctr"/>
        <c:lblOffset val="100"/>
        <c:noMultiLvlLbl val="0"/>
      </c:catAx>
      <c:valAx>
        <c:axId val="10709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09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87</c:v>
                </c:pt>
                <c:pt idx="4">
                  <c:v>87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33</c:v>
                </c:pt>
                <c:pt idx="9">
                  <c:v>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16224"/>
        <c:axId val="110126208"/>
      </c:lineChart>
      <c:catAx>
        <c:axId val="11011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0126208"/>
        <c:crosses val="autoZero"/>
        <c:auto val="1"/>
        <c:lblAlgn val="ctr"/>
        <c:lblOffset val="100"/>
        <c:noMultiLvlLbl val="0"/>
      </c:catAx>
      <c:valAx>
        <c:axId val="11012620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11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87</c:v>
                </c:pt>
                <c:pt idx="4">
                  <c:v>87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33</c:v>
                </c:pt>
                <c:pt idx="9">
                  <c:v>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12000"/>
        <c:axId val="110513536"/>
      </c:lineChart>
      <c:catAx>
        <c:axId val="11051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513536"/>
        <c:crosses val="autoZero"/>
        <c:auto val="1"/>
        <c:lblAlgn val="ctr"/>
        <c:lblOffset val="100"/>
        <c:noMultiLvlLbl val="0"/>
      </c:catAx>
      <c:valAx>
        <c:axId val="1105135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51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73</c:v>
                </c:pt>
                <c:pt idx="4">
                  <c:v>80</c:v>
                </c:pt>
                <c:pt idx="5">
                  <c:v>86</c:v>
                </c:pt>
                <c:pt idx="6">
                  <c:v>91</c:v>
                </c:pt>
                <c:pt idx="7">
                  <c:v>95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80</c:v>
                </c:pt>
                <c:pt idx="1">
                  <c:v>81</c:v>
                </c:pt>
                <c:pt idx="2">
                  <c:v>81</c:v>
                </c:pt>
                <c:pt idx="3">
                  <c:v>82</c:v>
                </c:pt>
                <c:pt idx="4">
                  <c:v>82</c:v>
                </c:pt>
                <c:pt idx="5">
                  <c:v>83</c:v>
                </c:pt>
                <c:pt idx="6">
                  <c:v>84</c:v>
                </c:pt>
                <c:pt idx="7">
                  <c:v>84</c:v>
                </c:pt>
                <c:pt idx="8">
                  <c:v>85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63</c:v>
                </c:pt>
                <c:pt idx="3">
                  <c:v>65</c:v>
                </c:pt>
                <c:pt idx="4">
                  <c:v>69</c:v>
                </c:pt>
                <c:pt idx="5">
                  <c:v>73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55</c:v>
                </c:pt>
                <c:pt idx="1">
                  <c:v>58</c:v>
                </c:pt>
                <c:pt idx="2">
                  <c:v>60</c:v>
                </c:pt>
                <c:pt idx="3">
                  <c:v>63</c:v>
                </c:pt>
                <c:pt idx="4">
                  <c:v>65</c:v>
                </c:pt>
                <c:pt idx="5">
                  <c:v>66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24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38656"/>
        <c:axId val="110452736"/>
      </c:lineChart>
      <c:catAx>
        <c:axId val="11043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452736"/>
        <c:crosses val="autoZero"/>
        <c:auto val="1"/>
        <c:lblAlgn val="ctr"/>
        <c:lblOffset val="100"/>
        <c:noMultiLvlLbl val="0"/>
      </c:catAx>
      <c:valAx>
        <c:axId val="1104527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43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87</c:v>
                </c:pt>
                <c:pt idx="4">
                  <c:v>87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21728"/>
        <c:axId val="203323264"/>
      </c:lineChart>
      <c:catAx>
        <c:axId val="20332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323264"/>
        <c:crosses val="autoZero"/>
        <c:auto val="1"/>
        <c:lblAlgn val="ctr"/>
        <c:lblOffset val="100"/>
        <c:noMultiLvlLbl val="0"/>
      </c:catAx>
      <c:valAx>
        <c:axId val="2033232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32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90</c:v>
                </c:pt>
                <c:pt idx="1">
                  <c:v>91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  <c:pt idx="5">
                  <c:v>93</c:v>
                </c:pt>
                <c:pt idx="6">
                  <c:v>94</c:v>
                </c:pt>
                <c:pt idx="7">
                  <c:v>94</c:v>
                </c:pt>
                <c:pt idx="8">
                  <c:v>95</c:v>
                </c:pt>
                <c:pt idx="9">
                  <c:v>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20640"/>
        <c:axId val="110334720"/>
      </c:lineChart>
      <c:catAx>
        <c:axId val="11032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34720"/>
        <c:crosses val="autoZero"/>
        <c:auto val="1"/>
        <c:lblAlgn val="ctr"/>
        <c:lblOffset val="100"/>
        <c:noMultiLvlLbl val="0"/>
      </c:catAx>
      <c:valAx>
        <c:axId val="11033472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20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41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92</c:v>
                </c:pt>
                <c:pt idx="8">
                  <c:v>94</c:v>
                </c:pt>
                <c:pt idx="9">
                  <c:v>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15</c:v>
                </c:pt>
                <c:pt idx="1">
                  <c:v>17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68256"/>
        <c:axId val="110369792"/>
      </c:lineChart>
      <c:catAx>
        <c:axId val="11036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69792"/>
        <c:crosses val="autoZero"/>
        <c:auto val="1"/>
        <c:lblAlgn val="ctr"/>
        <c:lblOffset val="100"/>
        <c:noMultiLvlLbl val="0"/>
      </c:catAx>
      <c:valAx>
        <c:axId val="11036979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6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90</c:v>
                </c:pt>
                <c:pt idx="7">
                  <c:v>93</c:v>
                </c:pt>
                <c:pt idx="8">
                  <c:v>96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30400"/>
        <c:axId val="110631936"/>
      </c:lineChart>
      <c:catAx>
        <c:axId val="11063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631936"/>
        <c:crosses val="autoZero"/>
        <c:auto val="1"/>
        <c:lblAlgn val="ctr"/>
        <c:lblOffset val="100"/>
        <c:noMultiLvlLbl val="0"/>
      </c:catAx>
      <c:valAx>
        <c:axId val="1106319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63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48320"/>
        <c:axId val="110682880"/>
      </c:barChart>
      <c:catAx>
        <c:axId val="110648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0682880"/>
        <c:crosses val="autoZero"/>
        <c:auto val="1"/>
        <c:lblAlgn val="ctr"/>
        <c:lblOffset val="100"/>
        <c:noMultiLvlLbl val="0"/>
      </c:catAx>
      <c:valAx>
        <c:axId val="1106828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06483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957312"/>
        <c:axId val="110958848"/>
      </c:barChart>
      <c:catAx>
        <c:axId val="11095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0958848"/>
        <c:crosses val="autoZero"/>
        <c:auto val="1"/>
        <c:lblAlgn val="ctr"/>
        <c:lblOffset val="100"/>
        <c:noMultiLvlLbl val="0"/>
      </c:catAx>
      <c:valAx>
        <c:axId val="11095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573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15</c:v>
                </c:pt>
                <c:pt idx="1">
                  <c:v>23</c:v>
                </c:pt>
                <c:pt idx="2">
                  <c:v>30</c:v>
                </c:pt>
                <c:pt idx="3">
                  <c:v>38</c:v>
                </c:pt>
                <c:pt idx="4">
                  <c:v>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979328"/>
        <c:axId val="111001600"/>
      </c:barChart>
      <c:catAx>
        <c:axId val="11097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001600"/>
        <c:crosses val="autoZero"/>
        <c:auto val="1"/>
        <c:lblAlgn val="ctr"/>
        <c:lblOffset val="100"/>
        <c:noMultiLvlLbl val="0"/>
      </c:catAx>
      <c:valAx>
        <c:axId val="11100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793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22080"/>
        <c:axId val="111023616"/>
      </c:barChart>
      <c:catAx>
        <c:axId val="111022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023616"/>
        <c:crosses val="autoZero"/>
        <c:auto val="1"/>
        <c:lblAlgn val="ctr"/>
        <c:lblOffset val="100"/>
        <c:noMultiLvlLbl val="0"/>
      </c:catAx>
      <c:valAx>
        <c:axId val="11102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0220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40000"/>
        <c:axId val="111041536"/>
      </c:barChart>
      <c:catAx>
        <c:axId val="11104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041536"/>
        <c:crosses val="autoZero"/>
        <c:auto val="1"/>
        <c:lblAlgn val="ctr"/>
        <c:lblOffset val="100"/>
        <c:noMultiLvlLbl val="0"/>
      </c:catAx>
      <c:valAx>
        <c:axId val="11104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0400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78400"/>
        <c:axId val="111170304"/>
      </c:barChart>
      <c:catAx>
        <c:axId val="11107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170304"/>
        <c:crosses val="autoZero"/>
        <c:auto val="1"/>
        <c:lblAlgn val="ctr"/>
        <c:lblOffset val="100"/>
        <c:noMultiLvlLbl val="0"/>
      </c:catAx>
      <c:valAx>
        <c:axId val="1111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078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HACKING UNIT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STATS'!$B$238</c:f>
              <c:strCache>
                <c:ptCount val="1"/>
                <c:pt idx="0">
                  <c:v>hacking</c:v>
                </c:pt>
              </c:strCache>
            </c:strRef>
          </c:tx>
          <c:invertIfNegative val="0"/>
          <c:val>
            <c:numRef>
              <c:f>'ITEM STATS'!$B$239:$B$243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203072"/>
        <c:axId val="111204608"/>
      </c:barChart>
      <c:catAx>
        <c:axId val="111203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04608"/>
        <c:crosses val="autoZero"/>
        <c:auto val="1"/>
        <c:lblAlgn val="ctr"/>
        <c:lblOffset val="100"/>
        <c:noMultiLvlLbl val="0"/>
      </c:catAx>
      <c:valAx>
        <c:axId val="1112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03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Damage (all)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73</c:v>
                </c:pt>
                <c:pt idx="4">
                  <c:v>80</c:v>
                </c:pt>
                <c:pt idx="5">
                  <c:v>86</c:v>
                </c:pt>
                <c:pt idx="6">
                  <c:v>91</c:v>
                </c:pt>
                <c:pt idx="7">
                  <c:v>95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41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61952"/>
        <c:axId val="111263744"/>
      </c:lineChart>
      <c:catAx>
        <c:axId val="11126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63744"/>
        <c:crosses val="autoZero"/>
        <c:auto val="1"/>
        <c:lblAlgn val="ctr"/>
        <c:lblOffset val="100"/>
        <c:noMultiLvlLbl val="0"/>
      </c:catAx>
      <c:valAx>
        <c:axId val="11126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6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Accuracy (all)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87</c:v>
                </c:pt>
                <c:pt idx="4">
                  <c:v>87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80</c:v>
                </c:pt>
                <c:pt idx="1">
                  <c:v>81</c:v>
                </c:pt>
                <c:pt idx="2">
                  <c:v>81</c:v>
                </c:pt>
                <c:pt idx="3">
                  <c:v>82</c:v>
                </c:pt>
                <c:pt idx="4">
                  <c:v>82</c:v>
                </c:pt>
                <c:pt idx="5">
                  <c:v>83</c:v>
                </c:pt>
                <c:pt idx="6">
                  <c:v>84</c:v>
                </c:pt>
                <c:pt idx="7">
                  <c:v>84</c:v>
                </c:pt>
                <c:pt idx="8">
                  <c:v>85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87</c:v>
                </c:pt>
                <c:pt idx="4">
                  <c:v>87</c:v>
                </c:pt>
                <c:pt idx="5">
                  <c:v>88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90</c:v>
                </c:pt>
                <c:pt idx="1">
                  <c:v>91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  <c:pt idx="5">
                  <c:v>93</c:v>
                </c:pt>
                <c:pt idx="6">
                  <c:v>94</c:v>
                </c:pt>
                <c:pt idx="7">
                  <c:v>94</c:v>
                </c:pt>
                <c:pt idx="8">
                  <c:v>95</c:v>
                </c:pt>
                <c:pt idx="9">
                  <c:v>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92</c:v>
                </c:pt>
                <c:pt idx="8">
                  <c:v>94</c:v>
                </c:pt>
                <c:pt idx="9">
                  <c:v>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00608"/>
        <c:axId val="111302144"/>
      </c:lineChart>
      <c:catAx>
        <c:axId val="11130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02144"/>
        <c:crosses val="autoZero"/>
        <c:auto val="1"/>
        <c:lblAlgn val="ctr"/>
        <c:lblOffset val="100"/>
        <c:noMultiLvlLbl val="0"/>
      </c:catAx>
      <c:valAx>
        <c:axId val="11130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00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Range (all)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33</c:v>
                </c:pt>
                <c:pt idx="9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63</c:v>
                </c:pt>
                <c:pt idx="3">
                  <c:v>65</c:v>
                </c:pt>
                <c:pt idx="4">
                  <c:v>69</c:v>
                </c:pt>
                <c:pt idx="5">
                  <c:v>73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90</c:v>
                </c:pt>
                <c:pt idx="7">
                  <c:v>93</c:v>
                </c:pt>
                <c:pt idx="8">
                  <c:v>96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34912"/>
        <c:axId val="111336448"/>
      </c:lineChart>
      <c:catAx>
        <c:axId val="11133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36448"/>
        <c:crosses val="autoZero"/>
        <c:auto val="1"/>
        <c:lblAlgn val="ctr"/>
        <c:lblOffset val="100"/>
        <c:noMultiLvlLbl val="0"/>
      </c:catAx>
      <c:valAx>
        <c:axId val="11133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3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Heat Gen (all)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55</c:v>
                </c:pt>
                <c:pt idx="1">
                  <c:v>58</c:v>
                </c:pt>
                <c:pt idx="2">
                  <c:v>60</c:v>
                </c:pt>
                <c:pt idx="3">
                  <c:v>63</c:v>
                </c:pt>
                <c:pt idx="4">
                  <c:v>65</c:v>
                </c:pt>
                <c:pt idx="5">
                  <c:v>66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15</c:v>
                </c:pt>
                <c:pt idx="1">
                  <c:v>17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05088"/>
        <c:axId val="111710976"/>
      </c:lineChart>
      <c:catAx>
        <c:axId val="11170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710976"/>
        <c:crosses val="autoZero"/>
        <c:auto val="1"/>
        <c:lblAlgn val="ctr"/>
        <c:lblOffset val="100"/>
        <c:noMultiLvlLbl val="0"/>
      </c:catAx>
      <c:valAx>
        <c:axId val="11171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70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Cooling Rate</a:t>
            </a:r>
            <a:r>
              <a:rPr lang="fi-FI" baseline="0"/>
              <a:t> (all)</a:t>
            </a:r>
            <a:endParaRPr lang="fi-FI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STATS'!$B$77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24</c:v>
                </c:pt>
                <c:pt idx="9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STATS'!$B$98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STATS'!$B$119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STATS'!$B$140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STATS'!$B$161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56416"/>
        <c:axId val="111757952"/>
      </c:lineChart>
      <c:catAx>
        <c:axId val="11175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1757952"/>
        <c:crosses val="autoZero"/>
        <c:auto val="1"/>
        <c:lblAlgn val="ctr"/>
        <c:lblOffset val="100"/>
        <c:noMultiLvlLbl val="0"/>
      </c:catAx>
      <c:valAx>
        <c:axId val="11175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75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73</c:v>
                </c:pt>
                <c:pt idx="4">
                  <c:v>80</c:v>
                </c:pt>
                <c:pt idx="5">
                  <c:v>86</c:v>
                </c:pt>
                <c:pt idx="6">
                  <c:v>91</c:v>
                </c:pt>
                <c:pt idx="7">
                  <c:v>95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75</c:v>
                </c:pt>
                <c:pt idx="4">
                  <c:v>84</c:v>
                </c:pt>
                <c:pt idx="5">
                  <c:v>90</c:v>
                </c:pt>
                <c:pt idx="6">
                  <c:v>96</c:v>
                </c:pt>
                <c:pt idx="7">
                  <c:v>132</c:v>
                </c:pt>
                <c:pt idx="8">
                  <c:v>136</c:v>
                </c:pt>
                <c:pt idx="9">
                  <c:v>140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78</c:v>
                </c:pt>
                <c:pt idx="6">
                  <c:v>82</c:v>
                </c:pt>
                <c:pt idx="7">
                  <c:v>86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75840"/>
        <c:axId val="117877376"/>
      </c:lineChart>
      <c:catAx>
        <c:axId val="11787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877376"/>
        <c:crosses val="autoZero"/>
        <c:auto val="1"/>
        <c:lblAlgn val="ctr"/>
        <c:lblOffset val="100"/>
        <c:noMultiLvlLbl val="0"/>
      </c:catAx>
      <c:valAx>
        <c:axId val="11787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875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62</c:v>
                </c:pt>
                <c:pt idx="6">
                  <c:v>64</c:v>
                </c:pt>
                <c:pt idx="7">
                  <c:v>64</c:v>
                </c:pt>
                <c:pt idx="8">
                  <c:v>66</c:v>
                </c:pt>
                <c:pt idx="9">
                  <c:v>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30</c:v>
                </c:pt>
                <c:pt idx="5">
                  <c:v>62</c:v>
                </c:pt>
                <c:pt idx="6">
                  <c:v>64</c:v>
                </c:pt>
                <c:pt idx="7">
                  <c:v>64</c:v>
                </c:pt>
                <c:pt idx="8">
                  <c:v>66</c:v>
                </c:pt>
                <c:pt idx="9">
                  <c:v>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55</c:v>
                </c:pt>
                <c:pt idx="1">
                  <c:v>58</c:v>
                </c:pt>
                <c:pt idx="2">
                  <c:v>60</c:v>
                </c:pt>
                <c:pt idx="3">
                  <c:v>63</c:v>
                </c:pt>
                <c:pt idx="4">
                  <c:v>65</c:v>
                </c:pt>
                <c:pt idx="5">
                  <c:v>66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40</c:v>
                </c:pt>
                <c:pt idx="1">
                  <c:v>42</c:v>
                </c:pt>
                <c:pt idx="2">
                  <c:v>42</c:v>
                </c:pt>
                <c:pt idx="3">
                  <c:v>66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60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  <c:pt idx="7">
                  <c:v>96</c:v>
                </c:pt>
                <c:pt idx="8">
                  <c:v>99</c:v>
                </c:pt>
                <c:pt idx="9">
                  <c:v>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15</c:v>
                </c:pt>
                <c:pt idx="1">
                  <c:v>17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44</c:v>
                </c:pt>
                <c:pt idx="6">
                  <c:v>46</c:v>
                </c:pt>
                <c:pt idx="7">
                  <c:v>46</c:v>
                </c:pt>
                <c:pt idx="8">
                  <c:v>48</c:v>
                </c:pt>
                <c:pt idx="9">
                  <c:v>48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75360"/>
        <c:axId val="109773568"/>
      </c:lineChart>
      <c:catAx>
        <c:axId val="11777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773568"/>
        <c:crosses val="autoZero"/>
        <c:auto val="1"/>
        <c:lblAlgn val="ctr"/>
        <c:lblOffset val="100"/>
        <c:noMultiLvlLbl val="0"/>
      </c:catAx>
      <c:valAx>
        <c:axId val="10977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77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1.27</c:v>
                </c:pt>
                <c:pt idx="4">
                  <c:v>1.37</c:v>
                </c:pt>
                <c:pt idx="5">
                  <c:v>1.42</c:v>
                </c:pt>
                <c:pt idx="6">
                  <c:v>1.44</c:v>
                </c:pt>
                <c:pt idx="7">
                  <c:v>1.5</c:v>
                </c:pt>
                <c:pt idx="8">
                  <c:v>1.48</c:v>
                </c:pt>
                <c:pt idx="9">
                  <c:v>1.52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1.27</c:v>
                </c:pt>
                <c:pt idx="4">
                  <c:v>1.37</c:v>
                </c:pt>
                <c:pt idx="5">
                  <c:v>1.42</c:v>
                </c:pt>
                <c:pt idx="6">
                  <c:v>1.44</c:v>
                </c:pt>
                <c:pt idx="7">
                  <c:v>1.5</c:v>
                </c:pt>
                <c:pt idx="8">
                  <c:v>1.48</c:v>
                </c:pt>
                <c:pt idx="9">
                  <c:v>1.52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0.82</c:v>
                </c:pt>
                <c:pt idx="1">
                  <c:v>0.95</c:v>
                </c:pt>
                <c:pt idx="2">
                  <c:v>1.08</c:v>
                </c:pt>
                <c:pt idx="3">
                  <c:v>1.1599999999999999</c:v>
                </c:pt>
                <c:pt idx="4">
                  <c:v>1.23</c:v>
                </c:pt>
                <c:pt idx="5">
                  <c:v>1.3</c:v>
                </c:pt>
                <c:pt idx="6">
                  <c:v>1.34</c:v>
                </c:pt>
                <c:pt idx="7">
                  <c:v>1.38</c:v>
                </c:pt>
                <c:pt idx="8">
                  <c:v>1.4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0.75</c:v>
                </c:pt>
                <c:pt idx="1">
                  <c:v>0.9</c:v>
                </c:pt>
                <c:pt idx="2">
                  <c:v>1.05</c:v>
                </c:pt>
                <c:pt idx="3">
                  <c:v>1.1399999999999999</c:v>
                </c:pt>
                <c:pt idx="4">
                  <c:v>1.22</c:v>
                </c:pt>
                <c:pt idx="5">
                  <c:v>1.3</c:v>
                </c:pt>
                <c:pt idx="6">
                  <c:v>1.39</c:v>
                </c:pt>
                <c:pt idx="7">
                  <c:v>1.38</c:v>
                </c:pt>
                <c:pt idx="8">
                  <c:v>1.42</c:v>
                </c:pt>
                <c:pt idx="9">
                  <c:v>1.46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1.27</c:v>
                </c:pt>
                <c:pt idx="4">
                  <c:v>1.37</c:v>
                </c:pt>
                <c:pt idx="5">
                  <c:v>1.42</c:v>
                </c:pt>
                <c:pt idx="6">
                  <c:v>1.44</c:v>
                </c:pt>
                <c:pt idx="7">
                  <c:v>1.5</c:v>
                </c:pt>
                <c:pt idx="8">
                  <c:v>1.48</c:v>
                </c:pt>
                <c:pt idx="9">
                  <c:v>1.52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1.33</c:v>
                </c:pt>
                <c:pt idx="1">
                  <c:v>1.47</c:v>
                </c:pt>
                <c:pt idx="2">
                  <c:v>1.61</c:v>
                </c:pt>
                <c:pt idx="3">
                  <c:v>1.65</c:v>
                </c:pt>
                <c:pt idx="4">
                  <c:v>1.71</c:v>
                </c:pt>
                <c:pt idx="5">
                  <c:v>1.77</c:v>
                </c:pt>
                <c:pt idx="6">
                  <c:v>1.78</c:v>
                </c:pt>
                <c:pt idx="7">
                  <c:v>1.87</c:v>
                </c:pt>
                <c:pt idx="8">
                  <c:v>1.83</c:v>
                </c:pt>
                <c:pt idx="9">
                  <c:v>1.88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1.1299999999999999</c:v>
                </c:pt>
                <c:pt idx="1">
                  <c:v>1.35</c:v>
                </c:pt>
                <c:pt idx="2">
                  <c:v>1.53</c:v>
                </c:pt>
                <c:pt idx="3">
                  <c:v>1.7</c:v>
                </c:pt>
                <c:pt idx="4">
                  <c:v>1.85</c:v>
                </c:pt>
                <c:pt idx="5">
                  <c:v>1.98</c:v>
                </c:pt>
                <c:pt idx="6">
                  <c:v>2.08</c:v>
                </c:pt>
                <c:pt idx="7">
                  <c:v>2.15</c:v>
                </c:pt>
                <c:pt idx="8">
                  <c:v>2.23</c:v>
                </c:pt>
                <c:pt idx="9">
                  <c:v>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823104"/>
        <c:axId val="109824640"/>
      </c:lineChart>
      <c:catAx>
        <c:axId val="10982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9824640"/>
        <c:crosses val="autoZero"/>
        <c:auto val="1"/>
        <c:lblAlgn val="ctr"/>
        <c:lblOffset val="100"/>
        <c:noMultiLvlLbl val="0"/>
      </c:catAx>
      <c:valAx>
        <c:axId val="10982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82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1.27</c:v>
                </c:pt>
                <c:pt idx="4">
                  <c:v>1.37</c:v>
                </c:pt>
                <c:pt idx="5">
                  <c:v>2.84</c:v>
                </c:pt>
                <c:pt idx="6">
                  <c:v>2.88</c:v>
                </c:pt>
                <c:pt idx="7">
                  <c:v>3</c:v>
                </c:pt>
                <c:pt idx="8">
                  <c:v>2.96</c:v>
                </c:pt>
                <c:pt idx="9">
                  <c:v>3.04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1.27</c:v>
                </c:pt>
                <c:pt idx="4">
                  <c:v>1.37</c:v>
                </c:pt>
                <c:pt idx="5">
                  <c:v>2.84</c:v>
                </c:pt>
                <c:pt idx="6">
                  <c:v>2.88</c:v>
                </c:pt>
                <c:pt idx="7">
                  <c:v>3</c:v>
                </c:pt>
                <c:pt idx="8">
                  <c:v>2.96</c:v>
                </c:pt>
                <c:pt idx="9">
                  <c:v>3.04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0.82</c:v>
                </c:pt>
                <c:pt idx="1">
                  <c:v>0.95</c:v>
                </c:pt>
                <c:pt idx="2">
                  <c:v>1.08</c:v>
                </c:pt>
                <c:pt idx="3">
                  <c:v>1.1599999999999999</c:v>
                </c:pt>
                <c:pt idx="4">
                  <c:v>1.23</c:v>
                </c:pt>
                <c:pt idx="5">
                  <c:v>1.3</c:v>
                </c:pt>
                <c:pt idx="6">
                  <c:v>1.34</c:v>
                </c:pt>
                <c:pt idx="7">
                  <c:v>1.38</c:v>
                </c:pt>
                <c:pt idx="8">
                  <c:v>1.4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2.1</c:v>
                </c:pt>
                <c:pt idx="3">
                  <c:v>3.42</c:v>
                </c:pt>
                <c:pt idx="4">
                  <c:v>3.66</c:v>
                </c:pt>
                <c:pt idx="5">
                  <c:v>3.9000000000000004</c:v>
                </c:pt>
                <c:pt idx="6">
                  <c:v>4.17</c:v>
                </c:pt>
                <c:pt idx="7">
                  <c:v>5.52</c:v>
                </c:pt>
                <c:pt idx="8">
                  <c:v>5.68</c:v>
                </c:pt>
                <c:pt idx="9">
                  <c:v>5.84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0.96</c:v>
                </c:pt>
                <c:pt idx="1">
                  <c:v>1.1100000000000001</c:v>
                </c:pt>
                <c:pt idx="2">
                  <c:v>1.17</c:v>
                </c:pt>
                <c:pt idx="3">
                  <c:v>2.54</c:v>
                </c:pt>
                <c:pt idx="4">
                  <c:v>2.74</c:v>
                </c:pt>
                <c:pt idx="5">
                  <c:v>2.84</c:v>
                </c:pt>
                <c:pt idx="6">
                  <c:v>2.88</c:v>
                </c:pt>
                <c:pt idx="7">
                  <c:v>4.5</c:v>
                </c:pt>
                <c:pt idx="8">
                  <c:v>4.4399999999999995</c:v>
                </c:pt>
                <c:pt idx="9">
                  <c:v>4.5600000000000005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1.33</c:v>
                </c:pt>
                <c:pt idx="1">
                  <c:v>1.47</c:v>
                </c:pt>
                <c:pt idx="2">
                  <c:v>1.61</c:v>
                </c:pt>
                <c:pt idx="3">
                  <c:v>1.65</c:v>
                </c:pt>
                <c:pt idx="4">
                  <c:v>1.71</c:v>
                </c:pt>
                <c:pt idx="5">
                  <c:v>3.54</c:v>
                </c:pt>
                <c:pt idx="6">
                  <c:v>3.56</c:v>
                </c:pt>
                <c:pt idx="7">
                  <c:v>3.74</c:v>
                </c:pt>
                <c:pt idx="8">
                  <c:v>3.66</c:v>
                </c:pt>
                <c:pt idx="9">
                  <c:v>3.76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1.1299999999999999</c:v>
                </c:pt>
                <c:pt idx="1">
                  <c:v>1.35</c:v>
                </c:pt>
                <c:pt idx="2">
                  <c:v>1.53</c:v>
                </c:pt>
                <c:pt idx="3">
                  <c:v>3.4</c:v>
                </c:pt>
                <c:pt idx="4">
                  <c:v>3.7</c:v>
                </c:pt>
                <c:pt idx="5">
                  <c:v>3.96</c:v>
                </c:pt>
                <c:pt idx="6">
                  <c:v>4.16</c:v>
                </c:pt>
                <c:pt idx="7">
                  <c:v>6.4499999999999993</c:v>
                </c:pt>
                <c:pt idx="8">
                  <c:v>6.6899999999999995</c:v>
                </c:pt>
                <c:pt idx="9">
                  <c:v>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65280"/>
        <c:axId val="109679360"/>
      </c:lineChart>
      <c:catAx>
        <c:axId val="10966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679360"/>
        <c:crosses val="autoZero"/>
        <c:auto val="1"/>
        <c:lblAlgn val="ctr"/>
        <c:lblOffset val="100"/>
        <c:noMultiLvlLbl val="0"/>
      </c:catAx>
      <c:valAx>
        <c:axId val="10967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6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90</c:v>
                </c:pt>
                <c:pt idx="1">
                  <c:v>110</c:v>
                </c:pt>
                <c:pt idx="2">
                  <c:v>130</c:v>
                </c:pt>
                <c:pt idx="3">
                  <c:v>146</c:v>
                </c:pt>
                <c:pt idx="4">
                  <c:v>160</c:v>
                </c:pt>
                <c:pt idx="5">
                  <c:v>172</c:v>
                </c:pt>
                <c:pt idx="6">
                  <c:v>182</c:v>
                </c:pt>
                <c:pt idx="7">
                  <c:v>190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75</c:v>
                </c:pt>
                <c:pt idx="1">
                  <c:v>95</c:v>
                </c:pt>
                <c:pt idx="2">
                  <c:v>110</c:v>
                </c:pt>
                <c:pt idx="3">
                  <c:v>125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165</c:v>
                </c:pt>
                <c:pt idx="8">
                  <c:v>170</c:v>
                </c:pt>
                <c:pt idx="9">
                  <c:v>175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140</c:v>
                </c:pt>
                <c:pt idx="1">
                  <c:v>150</c:v>
                </c:pt>
                <c:pt idx="2">
                  <c:v>174</c:v>
                </c:pt>
                <c:pt idx="3">
                  <c:v>165</c:v>
                </c:pt>
                <c:pt idx="4">
                  <c:v>180</c:v>
                </c:pt>
                <c:pt idx="5">
                  <c:v>195</c:v>
                </c:pt>
                <c:pt idx="6">
                  <c:v>205</c:v>
                </c:pt>
                <c:pt idx="7">
                  <c:v>215</c:v>
                </c:pt>
                <c:pt idx="8">
                  <c:v>220</c:v>
                </c:pt>
                <c:pt idx="9">
                  <c:v>225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135</c:v>
                </c:pt>
                <c:pt idx="1">
                  <c:v>162</c:v>
                </c:pt>
                <c:pt idx="2">
                  <c:v>183</c:v>
                </c:pt>
                <c:pt idx="3">
                  <c:v>204</c:v>
                </c:pt>
                <c:pt idx="4">
                  <c:v>222</c:v>
                </c:pt>
                <c:pt idx="5">
                  <c:v>237</c:v>
                </c:pt>
                <c:pt idx="6">
                  <c:v>249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20704"/>
        <c:axId val="109722240"/>
      </c:lineChart>
      <c:catAx>
        <c:axId val="10972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9722240"/>
        <c:crosses val="autoZero"/>
        <c:auto val="1"/>
        <c:lblAlgn val="ctr"/>
        <c:lblOffset val="100"/>
        <c:noMultiLvlLbl val="0"/>
      </c:catAx>
      <c:valAx>
        <c:axId val="10972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72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77</c:v>
                </c:pt>
                <c:pt idx="6">
                  <c:v>82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77</c:v>
                </c:pt>
                <c:pt idx="6">
                  <c:v>82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36</c:v>
                </c:pt>
                <c:pt idx="1">
                  <c:v>45</c:v>
                </c:pt>
                <c:pt idx="2">
                  <c:v>53</c:v>
                </c:pt>
                <c:pt idx="3">
                  <c:v>60</c:v>
                </c:pt>
                <c:pt idx="4">
                  <c:v>66</c:v>
                </c:pt>
                <c:pt idx="5">
                  <c:v>71</c:v>
                </c:pt>
                <c:pt idx="6">
                  <c:v>76</c:v>
                </c:pt>
                <c:pt idx="7">
                  <c:v>80</c:v>
                </c:pt>
                <c:pt idx="8">
                  <c:v>83</c:v>
                </c:pt>
                <c:pt idx="9">
                  <c:v>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26</c:v>
                </c:pt>
                <c:pt idx="1">
                  <c:v>33</c:v>
                </c:pt>
                <c:pt idx="2">
                  <c:v>38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  <c:pt idx="6">
                  <c:v>85</c:v>
                </c:pt>
                <c:pt idx="7">
                  <c:v>117</c:v>
                </c:pt>
                <c:pt idx="8">
                  <c:v>122</c:v>
                </c:pt>
                <c:pt idx="9">
                  <c:v>126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31</c:v>
                </c:pt>
                <c:pt idx="3">
                  <c:v>70</c:v>
                </c:pt>
                <c:pt idx="4">
                  <c:v>75</c:v>
                </c:pt>
                <c:pt idx="5">
                  <c:v>82</c:v>
                </c:pt>
                <c:pt idx="6">
                  <c:v>86</c:v>
                </c:pt>
                <c:pt idx="7">
                  <c:v>135</c:v>
                </c:pt>
                <c:pt idx="8">
                  <c:v>140</c:v>
                </c:pt>
                <c:pt idx="9">
                  <c:v>143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16</c:v>
                </c:pt>
                <c:pt idx="1">
                  <c:v>21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69</c:v>
                </c:pt>
                <c:pt idx="6">
                  <c:v>75</c:v>
                </c:pt>
                <c:pt idx="7">
                  <c:v>79</c:v>
                </c:pt>
                <c:pt idx="8">
                  <c:v>83</c:v>
                </c:pt>
                <c:pt idx="9">
                  <c:v>86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32</c:v>
                </c:pt>
                <c:pt idx="1">
                  <c:v>39</c:v>
                </c:pt>
                <c:pt idx="2">
                  <c:v>45</c:v>
                </c:pt>
                <c:pt idx="3">
                  <c:v>103</c:v>
                </c:pt>
                <c:pt idx="4">
                  <c:v>114</c:v>
                </c:pt>
                <c:pt idx="5">
                  <c:v>125</c:v>
                </c:pt>
                <c:pt idx="6">
                  <c:v>134</c:v>
                </c:pt>
                <c:pt idx="7">
                  <c:v>212</c:v>
                </c:pt>
                <c:pt idx="8">
                  <c:v>224</c:v>
                </c:pt>
                <c:pt idx="9">
                  <c:v>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51296"/>
        <c:axId val="109761280"/>
      </c:lineChart>
      <c:catAx>
        <c:axId val="10975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761280"/>
        <c:crosses val="autoZero"/>
        <c:auto val="1"/>
        <c:lblAlgn val="ctr"/>
        <c:lblOffset val="100"/>
        <c:noMultiLvlLbl val="0"/>
      </c:catAx>
      <c:valAx>
        <c:axId val="10976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75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0.81</c:v>
                </c:pt>
                <c:pt idx="1">
                  <c:v>0.96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1.24</c:v>
                </c:pt>
                <c:pt idx="6">
                  <c:v>1.28</c:v>
                </c:pt>
                <c:pt idx="7">
                  <c:v>1.33</c:v>
                </c:pt>
                <c:pt idx="8">
                  <c:v>1.33</c:v>
                </c:pt>
                <c:pt idx="9">
                  <c:v>1.36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0.81</c:v>
                </c:pt>
                <c:pt idx="1">
                  <c:v>0.96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1.24</c:v>
                </c:pt>
                <c:pt idx="6">
                  <c:v>1.28</c:v>
                </c:pt>
                <c:pt idx="7">
                  <c:v>1.33</c:v>
                </c:pt>
                <c:pt idx="8">
                  <c:v>1.33</c:v>
                </c:pt>
                <c:pt idx="9">
                  <c:v>1.36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0.65</c:v>
                </c:pt>
                <c:pt idx="1">
                  <c:v>0.78</c:v>
                </c:pt>
                <c:pt idx="2">
                  <c:v>0.88</c:v>
                </c:pt>
                <c:pt idx="3">
                  <c:v>0.95</c:v>
                </c:pt>
                <c:pt idx="4">
                  <c:v>1.02</c:v>
                </c:pt>
                <c:pt idx="5">
                  <c:v>1.08</c:v>
                </c:pt>
                <c:pt idx="6">
                  <c:v>1.1200000000000001</c:v>
                </c:pt>
                <c:pt idx="7">
                  <c:v>1.1599999999999999</c:v>
                </c:pt>
                <c:pt idx="8">
                  <c:v>1.19</c:v>
                </c:pt>
                <c:pt idx="9">
                  <c:v>1.21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0.65</c:v>
                </c:pt>
                <c:pt idx="1">
                  <c:v>0.79</c:v>
                </c:pt>
                <c:pt idx="2">
                  <c:v>0.9</c:v>
                </c:pt>
                <c:pt idx="3">
                  <c:v>0.98</c:v>
                </c:pt>
                <c:pt idx="4">
                  <c:v>1.06</c:v>
                </c:pt>
                <c:pt idx="5">
                  <c:v>1.1399999999999999</c:v>
                </c:pt>
                <c:pt idx="6">
                  <c:v>1.23</c:v>
                </c:pt>
                <c:pt idx="7">
                  <c:v>1.22</c:v>
                </c:pt>
                <c:pt idx="8">
                  <c:v>1.27</c:v>
                </c:pt>
                <c:pt idx="9">
                  <c:v>1.31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0.88</c:v>
                </c:pt>
                <c:pt idx="1">
                  <c:v>1</c:v>
                </c:pt>
                <c:pt idx="2">
                  <c:v>1.07</c:v>
                </c:pt>
                <c:pt idx="3">
                  <c:v>1.17</c:v>
                </c:pt>
                <c:pt idx="4">
                  <c:v>1.25</c:v>
                </c:pt>
                <c:pt idx="5">
                  <c:v>1.32</c:v>
                </c:pt>
                <c:pt idx="6">
                  <c:v>1.34</c:v>
                </c:pt>
                <c:pt idx="7">
                  <c:v>1.41</c:v>
                </c:pt>
                <c:pt idx="8">
                  <c:v>1.41</c:v>
                </c:pt>
                <c:pt idx="9">
                  <c:v>1.44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1.07</c:v>
                </c:pt>
                <c:pt idx="1">
                  <c:v>1.24</c:v>
                </c:pt>
                <c:pt idx="2">
                  <c:v>1.33</c:v>
                </c:pt>
                <c:pt idx="3">
                  <c:v>1.4</c:v>
                </c:pt>
                <c:pt idx="4">
                  <c:v>1.48</c:v>
                </c:pt>
                <c:pt idx="5">
                  <c:v>1.57</c:v>
                </c:pt>
                <c:pt idx="6">
                  <c:v>1.63</c:v>
                </c:pt>
                <c:pt idx="7">
                  <c:v>1.72</c:v>
                </c:pt>
                <c:pt idx="8">
                  <c:v>1.73</c:v>
                </c:pt>
                <c:pt idx="9">
                  <c:v>1.79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</c:v>
                </c:pt>
                <c:pt idx="1">
                  <c:v>0.98</c:v>
                </c:pt>
                <c:pt idx="2">
                  <c:v>1.1299999999999999</c:v>
                </c:pt>
                <c:pt idx="3">
                  <c:v>1.29</c:v>
                </c:pt>
                <c:pt idx="4">
                  <c:v>1.43</c:v>
                </c:pt>
                <c:pt idx="5">
                  <c:v>1.56</c:v>
                </c:pt>
                <c:pt idx="6">
                  <c:v>1.68</c:v>
                </c:pt>
                <c:pt idx="7">
                  <c:v>1.77</c:v>
                </c:pt>
                <c:pt idx="8">
                  <c:v>1.87</c:v>
                </c:pt>
                <c:pt idx="9">
                  <c:v>1.92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62880"/>
        <c:axId val="127564416"/>
      </c:lineChart>
      <c:catAx>
        <c:axId val="1275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64416"/>
        <c:crosses val="autoZero"/>
        <c:auto val="1"/>
        <c:lblAlgn val="ctr"/>
        <c:lblOffset val="100"/>
        <c:noMultiLvlLbl val="0"/>
      </c:catAx>
      <c:valAx>
        <c:axId val="12756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56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38.5</c:v>
                </c:pt>
                <c:pt idx="6">
                  <c:v>41</c:v>
                </c:pt>
                <c:pt idx="7">
                  <c:v>42.5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29</c:v>
                </c:pt>
                <c:pt idx="3">
                  <c:v>33</c:v>
                </c:pt>
                <c:pt idx="4">
                  <c:v>36</c:v>
                </c:pt>
                <c:pt idx="5">
                  <c:v>38.5</c:v>
                </c:pt>
                <c:pt idx="6">
                  <c:v>41</c:v>
                </c:pt>
                <c:pt idx="7">
                  <c:v>42.5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36</c:v>
                </c:pt>
                <c:pt idx="1">
                  <c:v>45</c:v>
                </c:pt>
                <c:pt idx="2">
                  <c:v>53</c:v>
                </c:pt>
                <c:pt idx="3">
                  <c:v>60</c:v>
                </c:pt>
                <c:pt idx="4">
                  <c:v>66</c:v>
                </c:pt>
                <c:pt idx="5">
                  <c:v>71</c:v>
                </c:pt>
                <c:pt idx="6">
                  <c:v>76</c:v>
                </c:pt>
                <c:pt idx="7">
                  <c:v>80</c:v>
                </c:pt>
                <c:pt idx="8">
                  <c:v>83</c:v>
                </c:pt>
                <c:pt idx="9">
                  <c:v>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13</c:v>
                </c:pt>
                <c:pt idx="1">
                  <c:v>16.5</c:v>
                </c:pt>
                <c:pt idx="2">
                  <c:v>19</c:v>
                </c:pt>
                <c:pt idx="3">
                  <c:v>21.7</c:v>
                </c:pt>
                <c:pt idx="4">
                  <c:v>24.3</c:v>
                </c:pt>
                <c:pt idx="5">
                  <c:v>26.3</c:v>
                </c:pt>
                <c:pt idx="6">
                  <c:v>28.3</c:v>
                </c:pt>
                <c:pt idx="7">
                  <c:v>29.3</c:v>
                </c:pt>
                <c:pt idx="8">
                  <c:v>30.5</c:v>
                </c:pt>
                <c:pt idx="9">
                  <c:v>31.5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31</c:v>
                </c:pt>
                <c:pt idx="3">
                  <c:v>35</c:v>
                </c:pt>
                <c:pt idx="4">
                  <c:v>37.5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46.7</c:v>
                </c:pt>
                <c:pt idx="9">
                  <c:v>47.7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16</c:v>
                </c:pt>
                <c:pt idx="1">
                  <c:v>21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34.5</c:v>
                </c:pt>
                <c:pt idx="6">
                  <c:v>37.5</c:v>
                </c:pt>
                <c:pt idx="7">
                  <c:v>39.5</c:v>
                </c:pt>
                <c:pt idx="8">
                  <c:v>41.5</c:v>
                </c:pt>
                <c:pt idx="9">
                  <c:v>43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32</c:v>
                </c:pt>
                <c:pt idx="1">
                  <c:v>39</c:v>
                </c:pt>
                <c:pt idx="2">
                  <c:v>45</c:v>
                </c:pt>
                <c:pt idx="3">
                  <c:v>51.5</c:v>
                </c:pt>
                <c:pt idx="4">
                  <c:v>57</c:v>
                </c:pt>
                <c:pt idx="5">
                  <c:v>62.5</c:v>
                </c:pt>
                <c:pt idx="6">
                  <c:v>67</c:v>
                </c:pt>
                <c:pt idx="7">
                  <c:v>70.7</c:v>
                </c:pt>
                <c:pt idx="8">
                  <c:v>74.7</c:v>
                </c:pt>
                <c:pt idx="9">
                  <c:v>76.7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01664"/>
        <c:axId val="127611648"/>
      </c:lineChart>
      <c:catAx>
        <c:axId val="12760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611648"/>
        <c:crosses val="autoZero"/>
        <c:auto val="1"/>
        <c:lblAlgn val="ctr"/>
        <c:lblOffset val="100"/>
        <c:noMultiLvlLbl val="0"/>
      </c:catAx>
      <c:valAx>
        <c:axId val="12761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0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84</c:v>
                </c:pt>
                <c:pt idx="1">
                  <c:v>104</c:v>
                </c:pt>
                <c:pt idx="2">
                  <c:v>116</c:v>
                </c:pt>
                <c:pt idx="3">
                  <c:v>132</c:v>
                </c:pt>
                <c:pt idx="4">
                  <c:v>144</c:v>
                </c:pt>
                <c:pt idx="5">
                  <c:v>154</c:v>
                </c:pt>
                <c:pt idx="6">
                  <c:v>164</c:v>
                </c:pt>
                <c:pt idx="7">
                  <c:v>170</c:v>
                </c:pt>
                <c:pt idx="8">
                  <c:v>176</c:v>
                </c:pt>
                <c:pt idx="9">
                  <c:v>180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84</c:v>
                </c:pt>
                <c:pt idx="1">
                  <c:v>104</c:v>
                </c:pt>
                <c:pt idx="2">
                  <c:v>116</c:v>
                </c:pt>
                <c:pt idx="3">
                  <c:v>132</c:v>
                </c:pt>
                <c:pt idx="4">
                  <c:v>144</c:v>
                </c:pt>
                <c:pt idx="5">
                  <c:v>154</c:v>
                </c:pt>
                <c:pt idx="6">
                  <c:v>164</c:v>
                </c:pt>
                <c:pt idx="7">
                  <c:v>170</c:v>
                </c:pt>
                <c:pt idx="8">
                  <c:v>176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72</c:v>
                </c:pt>
                <c:pt idx="1">
                  <c:v>90</c:v>
                </c:pt>
                <c:pt idx="2">
                  <c:v>106</c:v>
                </c:pt>
                <c:pt idx="3">
                  <c:v>120</c:v>
                </c:pt>
                <c:pt idx="4">
                  <c:v>132</c:v>
                </c:pt>
                <c:pt idx="5">
                  <c:v>142</c:v>
                </c:pt>
                <c:pt idx="6">
                  <c:v>152</c:v>
                </c:pt>
                <c:pt idx="7">
                  <c:v>160</c:v>
                </c:pt>
                <c:pt idx="8">
                  <c:v>166</c:v>
                </c:pt>
                <c:pt idx="9">
                  <c:v>170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65</c:v>
                </c:pt>
                <c:pt idx="1">
                  <c:v>82.5</c:v>
                </c:pt>
                <c:pt idx="2">
                  <c:v>95</c:v>
                </c:pt>
                <c:pt idx="3">
                  <c:v>108.5</c:v>
                </c:pt>
                <c:pt idx="4">
                  <c:v>121.5</c:v>
                </c:pt>
                <c:pt idx="5">
                  <c:v>131.5</c:v>
                </c:pt>
                <c:pt idx="6">
                  <c:v>141.5</c:v>
                </c:pt>
                <c:pt idx="7">
                  <c:v>146.5</c:v>
                </c:pt>
                <c:pt idx="8">
                  <c:v>152.5</c:v>
                </c:pt>
                <c:pt idx="9">
                  <c:v>157.5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92</c:v>
                </c:pt>
                <c:pt idx="1">
                  <c:v>108</c:v>
                </c:pt>
                <c:pt idx="2">
                  <c:v>124</c:v>
                </c:pt>
                <c:pt idx="3">
                  <c:v>140</c:v>
                </c:pt>
                <c:pt idx="4">
                  <c:v>150</c:v>
                </c:pt>
                <c:pt idx="5">
                  <c:v>164</c:v>
                </c:pt>
                <c:pt idx="6">
                  <c:v>172</c:v>
                </c:pt>
                <c:pt idx="7">
                  <c:v>180</c:v>
                </c:pt>
                <c:pt idx="8">
                  <c:v>186.8</c:v>
                </c:pt>
                <c:pt idx="9">
                  <c:v>190.8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112</c:v>
                </c:pt>
                <c:pt idx="1">
                  <c:v>126</c:v>
                </c:pt>
                <c:pt idx="2">
                  <c:v>144</c:v>
                </c:pt>
                <c:pt idx="3">
                  <c:v>140</c:v>
                </c:pt>
                <c:pt idx="4">
                  <c:v>155</c:v>
                </c:pt>
                <c:pt idx="5">
                  <c:v>172.5</c:v>
                </c:pt>
                <c:pt idx="6">
                  <c:v>187.5</c:v>
                </c:pt>
                <c:pt idx="7">
                  <c:v>197.5</c:v>
                </c:pt>
                <c:pt idx="8">
                  <c:v>207.5</c:v>
                </c:pt>
                <c:pt idx="9">
                  <c:v>215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96</c:v>
                </c:pt>
                <c:pt idx="1">
                  <c:v>117</c:v>
                </c:pt>
                <c:pt idx="2">
                  <c:v>135</c:v>
                </c:pt>
                <c:pt idx="3">
                  <c:v>154.5</c:v>
                </c:pt>
                <c:pt idx="4">
                  <c:v>171</c:v>
                </c:pt>
                <c:pt idx="5">
                  <c:v>187.5</c:v>
                </c:pt>
                <c:pt idx="6">
                  <c:v>201</c:v>
                </c:pt>
                <c:pt idx="7">
                  <c:v>212.10000000000002</c:v>
                </c:pt>
                <c:pt idx="8">
                  <c:v>224.10000000000002</c:v>
                </c:pt>
                <c:pt idx="9">
                  <c:v>230.10000000000002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40704"/>
        <c:axId val="127642240"/>
      </c:lineChart>
      <c:catAx>
        <c:axId val="12764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642240"/>
        <c:crosses val="autoZero"/>
        <c:auto val="1"/>
        <c:lblAlgn val="ctr"/>
        <c:lblOffset val="100"/>
        <c:noMultiLvlLbl val="0"/>
      </c:catAx>
      <c:valAx>
        <c:axId val="12764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4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88.333333333333329</c:v>
                </c:pt>
                <c:pt idx="1">
                  <c:v>86.666666666666671</c:v>
                </c:pt>
                <c:pt idx="2">
                  <c:v>85</c:v>
                </c:pt>
                <c:pt idx="3">
                  <c:v>83.333333333333329</c:v>
                </c:pt>
                <c:pt idx="4">
                  <c:v>81.666666666666671</c:v>
                </c:pt>
                <c:pt idx="5">
                  <c:v>80</c:v>
                </c:pt>
                <c:pt idx="6">
                  <c:v>78.333333333333329</c:v>
                </c:pt>
                <c:pt idx="7">
                  <c:v>76.666666666666671</c:v>
                </c:pt>
                <c:pt idx="8">
                  <c:v>75</c:v>
                </c:pt>
                <c:pt idx="9">
                  <c:v>73.333333333333329</c:v>
                </c:pt>
                <c:pt idx="10">
                  <c:v>71.666666666666671</c:v>
                </c:pt>
                <c:pt idx="11">
                  <c:v>70</c:v>
                </c:pt>
                <c:pt idx="12">
                  <c:v>68.333333333333329</c:v>
                </c:pt>
                <c:pt idx="13">
                  <c:v>66.666666666666657</c:v>
                </c:pt>
                <c:pt idx="14">
                  <c:v>65</c:v>
                </c:pt>
                <c:pt idx="15">
                  <c:v>63.333333333333329</c:v>
                </c:pt>
                <c:pt idx="16">
                  <c:v>61.666666666666664</c:v>
                </c:pt>
                <c:pt idx="17">
                  <c:v>60</c:v>
                </c:pt>
                <c:pt idx="18">
                  <c:v>58.333333333333329</c:v>
                </c:pt>
                <c:pt idx="19">
                  <c:v>56.666666666666664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544"/>
        <c:axId val="127730432"/>
      </c:lineChart>
      <c:catAx>
        <c:axId val="1277245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27730432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2773043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2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630</c:v>
                </c:pt>
                <c:pt idx="1">
                  <c:v>780</c:v>
                </c:pt>
                <c:pt idx="2">
                  <c:v>870</c:v>
                </c:pt>
                <c:pt idx="3">
                  <c:v>990</c:v>
                </c:pt>
                <c:pt idx="4">
                  <c:v>1080</c:v>
                </c:pt>
                <c:pt idx="5">
                  <c:v>1155</c:v>
                </c:pt>
                <c:pt idx="6">
                  <c:v>1230</c:v>
                </c:pt>
                <c:pt idx="7">
                  <c:v>1275</c:v>
                </c:pt>
                <c:pt idx="8">
                  <c:v>1320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540</c:v>
                </c:pt>
                <c:pt idx="1">
                  <c:v>675</c:v>
                </c:pt>
                <c:pt idx="2">
                  <c:v>795</c:v>
                </c:pt>
                <c:pt idx="3">
                  <c:v>900</c:v>
                </c:pt>
                <c:pt idx="4">
                  <c:v>990</c:v>
                </c:pt>
                <c:pt idx="5">
                  <c:v>1065</c:v>
                </c:pt>
                <c:pt idx="6">
                  <c:v>1140</c:v>
                </c:pt>
                <c:pt idx="7">
                  <c:v>1200</c:v>
                </c:pt>
                <c:pt idx="8">
                  <c:v>1245</c:v>
                </c:pt>
                <c:pt idx="9">
                  <c:v>1275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520</c:v>
                </c:pt>
                <c:pt idx="1">
                  <c:v>660</c:v>
                </c:pt>
                <c:pt idx="2">
                  <c:v>760</c:v>
                </c:pt>
                <c:pt idx="3">
                  <c:v>868</c:v>
                </c:pt>
                <c:pt idx="4">
                  <c:v>972</c:v>
                </c:pt>
                <c:pt idx="5">
                  <c:v>1052</c:v>
                </c:pt>
                <c:pt idx="6">
                  <c:v>1132</c:v>
                </c:pt>
                <c:pt idx="7">
                  <c:v>1172</c:v>
                </c:pt>
                <c:pt idx="8">
                  <c:v>1220</c:v>
                </c:pt>
                <c:pt idx="9">
                  <c:v>1260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575</c:v>
                </c:pt>
                <c:pt idx="1">
                  <c:v>675</c:v>
                </c:pt>
                <c:pt idx="2">
                  <c:v>775</c:v>
                </c:pt>
                <c:pt idx="3">
                  <c:v>875</c:v>
                </c:pt>
                <c:pt idx="4">
                  <c:v>937.5</c:v>
                </c:pt>
                <c:pt idx="5">
                  <c:v>1025</c:v>
                </c:pt>
                <c:pt idx="6">
                  <c:v>1075</c:v>
                </c:pt>
                <c:pt idx="7">
                  <c:v>1125</c:v>
                </c:pt>
                <c:pt idx="8">
                  <c:v>1167.5</c:v>
                </c:pt>
                <c:pt idx="9">
                  <c:v>1192.5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480</c:v>
                </c:pt>
                <c:pt idx="1">
                  <c:v>585</c:v>
                </c:pt>
                <c:pt idx="2">
                  <c:v>675</c:v>
                </c:pt>
                <c:pt idx="3">
                  <c:v>772.5</c:v>
                </c:pt>
                <c:pt idx="4">
                  <c:v>855</c:v>
                </c:pt>
                <c:pt idx="5">
                  <c:v>937.5</c:v>
                </c:pt>
                <c:pt idx="6">
                  <c:v>1005</c:v>
                </c:pt>
                <c:pt idx="7">
                  <c:v>1060.5</c:v>
                </c:pt>
                <c:pt idx="8">
                  <c:v>1120.5</c:v>
                </c:pt>
                <c:pt idx="9">
                  <c:v>1150.5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00384"/>
        <c:axId val="128001920"/>
      </c:lineChart>
      <c:catAx>
        <c:axId val="12800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01920"/>
        <c:crosses val="autoZero"/>
        <c:auto val="1"/>
        <c:lblAlgn val="ctr"/>
        <c:lblOffset val="100"/>
        <c:noMultiLvlLbl val="0"/>
      </c:catAx>
      <c:valAx>
        <c:axId val="1280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0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34752"/>
        <c:axId val="179093888"/>
      </c:lineChart>
      <c:catAx>
        <c:axId val="17903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9093888"/>
        <c:crosses val="autoZero"/>
        <c:auto val="1"/>
        <c:lblAlgn val="ctr"/>
        <c:lblOffset val="100"/>
        <c:noMultiLvlLbl val="0"/>
      </c:catAx>
      <c:valAx>
        <c:axId val="17909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034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99072"/>
        <c:axId val="179300608"/>
      </c:lineChart>
      <c:catAx>
        <c:axId val="17929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9300608"/>
        <c:crosses val="autoZero"/>
        <c:auto val="1"/>
        <c:lblAlgn val="ctr"/>
        <c:lblOffset val="100"/>
        <c:noMultiLvlLbl val="0"/>
      </c:catAx>
      <c:valAx>
        <c:axId val="17930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299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2336"/>
        <c:axId val="179423872"/>
      </c:lineChart>
      <c:catAx>
        <c:axId val="17942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9423872"/>
        <c:crosses val="autoZero"/>
        <c:auto val="1"/>
        <c:lblAlgn val="ctr"/>
        <c:lblOffset val="100"/>
        <c:noMultiLvlLbl val="0"/>
      </c:catAx>
      <c:valAx>
        <c:axId val="17942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42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50560"/>
        <c:axId val="179652096"/>
      </c:lineChart>
      <c:catAx>
        <c:axId val="17965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652096"/>
        <c:crosses val="autoZero"/>
        <c:auto val="1"/>
        <c:lblAlgn val="ctr"/>
        <c:lblOffset val="100"/>
        <c:noMultiLvlLbl val="0"/>
      </c:catAx>
      <c:valAx>
        <c:axId val="179652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5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77056"/>
        <c:axId val="179678592"/>
      </c:lineChart>
      <c:catAx>
        <c:axId val="17967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9678592"/>
        <c:crosses val="autoZero"/>
        <c:auto val="1"/>
        <c:lblAlgn val="ctr"/>
        <c:lblOffset val="100"/>
        <c:noMultiLvlLbl val="0"/>
      </c:catAx>
      <c:valAx>
        <c:axId val="17967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7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311680"/>
        <c:axId val="218325760"/>
      </c:lineChart>
      <c:catAx>
        <c:axId val="21831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25760"/>
        <c:crosses val="autoZero"/>
        <c:auto val="1"/>
        <c:lblAlgn val="ctr"/>
        <c:lblOffset val="100"/>
        <c:noMultiLvlLbl val="0"/>
      </c:catAx>
      <c:valAx>
        <c:axId val="21832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1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344832"/>
        <c:axId val="221054080"/>
      </c:lineChart>
      <c:catAx>
        <c:axId val="21834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1054080"/>
        <c:crosses val="autoZero"/>
        <c:auto val="1"/>
        <c:lblAlgn val="ctr"/>
        <c:lblOffset val="100"/>
        <c:noMultiLvlLbl val="0"/>
      </c:catAx>
      <c:valAx>
        <c:axId val="22105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4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091328"/>
        <c:axId val="221092864"/>
      </c:lineChart>
      <c:catAx>
        <c:axId val="22109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1092864"/>
        <c:crosses val="autoZero"/>
        <c:auto val="1"/>
        <c:lblAlgn val="ctr"/>
        <c:lblOffset val="100"/>
        <c:noMultiLvlLbl val="0"/>
      </c:catAx>
      <c:valAx>
        <c:axId val="22109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09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53696"/>
        <c:axId val="221459584"/>
      </c:lineChart>
      <c:catAx>
        <c:axId val="221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1459584"/>
        <c:crosses val="autoZero"/>
        <c:auto val="1"/>
        <c:lblAlgn val="ctr"/>
        <c:lblOffset val="100"/>
        <c:noMultiLvlLbl val="0"/>
      </c:catAx>
      <c:valAx>
        <c:axId val="22145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45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84544"/>
        <c:axId val="221486080"/>
      </c:lineChart>
      <c:catAx>
        <c:axId val="22148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21486080"/>
        <c:crosses val="autoZero"/>
        <c:auto val="1"/>
        <c:lblAlgn val="ctr"/>
        <c:lblOffset val="100"/>
        <c:noMultiLvlLbl val="0"/>
      </c:catAx>
      <c:valAx>
        <c:axId val="22148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484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06944"/>
        <c:axId val="221185152"/>
      </c:lineChart>
      <c:catAx>
        <c:axId val="22150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21185152"/>
        <c:crosses val="autoZero"/>
        <c:auto val="1"/>
        <c:lblAlgn val="ctr"/>
        <c:lblOffset val="100"/>
        <c:noMultiLvlLbl val="0"/>
      </c:catAx>
      <c:valAx>
        <c:axId val="22118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50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26496"/>
        <c:axId val="221228032"/>
      </c:lineChart>
      <c:catAx>
        <c:axId val="22122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1228032"/>
        <c:crosses val="autoZero"/>
        <c:auto val="1"/>
        <c:lblAlgn val="ctr"/>
        <c:lblOffset val="100"/>
        <c:noMultiLvlLbl val="0"/>
      </c:catAx>
      <c:valAx>
        <c:axId val="22122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2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48896"/>
        <c:axId val="221275264"/>
      </c:lineChart>
      <c:catAx>
        <c:axId val="22124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1275264"/>
        <c:crosses val="autoZero"/>
        <c:auto val="1"/>
        <c:lblAlgn val="ctr"/>
        <c:lblOffset val="100"/>
        <c:noMultiLvlLbl val="0"/>
      </c:catAx>
      <c:valAx>
        <c:axId val="22127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24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'PRESE EXAMPLE'!$C$3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cat>
            <c:strRef>
              <c:f>'PRESE EXAMPLE'!$B$4:$B$7</c:f>
              <c:strCache>
                <c:ptCount val="4"/>
                <c:pt idx="0">
                  <c:v>MIEKKA</c:v>
                </c:pt>
                <c:pt idx="1">
                  <c:v>KIRVES</c:v>
                </c:pt>
                <c:pt idx="2">
                  <c:v>NUIJA</c:v>
                </c:pt>
                <c:pt idx="3">
                  <c:v>KEIHAS</c:v>
                </c:pt>
              </c:strCache>
            </c:strRef>
          </c:cat>
          <c:val>
            <c:numRef>
              <c:f>'PRESE EXAMPLE'!$C$4:$C$7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'PRESE EXAMPLE'!$D$3</c:f>
              <c:strCache>
                <c:ptCount val="1"/>
                <c:pt idx="0">
                  <c:v>speed</c:v>
                </c:pt>
              </c:strCache>
            </c:strRef>
          </c:tx>
          <c:marker>
            <c:symbol val="none"/>
          </c:marker>
          <c:val>
            <c:numRef>
              <c:f>'PRESE EXAMPLE'!$D$4:$D$7</c:f>
              <c:numCache>
                <c:formatCode>General</c:formatCode>
                <c:ptCount val="4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96896"/>
        <c:axId val="219643904"/>
      </c:lineChart>
      <c:catAx>
        <c:axId val="22129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643904"/>
        <c:crosses val="autoZero"/>
        <c:auto val="1"/>
        <c:lblAlgn val="ctr"/>
        <c:lblOffset val="100"/>
        <c:noMultiLvlLbl val="0"/>
      </c:catAx>
      <c:valAx>
        <c:axId val="21964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2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'PRESE EXAMPLE'!$E$3</c:f>
              <c:strCache>
                <c:ptCount val="1"/>
                <c:pt idx="0">
                  <c:v>hitChance</c:v>
                </c:pt>
              </c:strCache>
            </c:strRef>
          </c:tx>
          <c:marker>
            <c:symbol val="none"/>
          </c:marker>
          <c:cat>
            <c:strRef>
              <c:f>'PRESE EXAMPLE'!$B$4:$B$7</c:f>
              <c:strCache>
                <c:ptCount val="4"/>
                <c:pt idx="0">
                  <c:v>MIEKKA</c:v>
                </c:pt>
                <c:pt idx="1">
                  <c:v>KIRVES</c:v>
                </c:pt>
                <c:pt idx="2">
                  <c:v>NUIJA</c:v>
                </c:pt>
                <c:pt idx="3">
                  <c:v>KEIHAS</c:v>
                </c:pt>
              </c:strCache>
            </c:strRef>
          </c:cat>
          <c:val>
            <c:numRef>
              <c:f>'PRESE EXAMPLE'!$E$4:$E$7</c:f>
              <c:numCache>
                <c:formatCode>General</c:formatCode>
                <c:ptCount val="4"/>
                <c:pt idx="0">
                  <c:v>70</c:v>
                </c:pt>
                <c:pt idx="1">
                  <c:v>60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51456"/>
        <c:axId val="219669632"/>
      </c:lineChart>
      <c:catAx>
        <c:axId val="21965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669632"/>
        <c:crosses val="autoZero"/>
        <c:auto val="1"/>
        <c:lblAlgn val="ctr"/>
        <c:lblOffset val="100"/>
        <c:noMultiLvlLbl val="0"/>
      </c:catAx>
      <c:valAx>
        <c:axId val="21966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5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85"/>
</file>

<file path=xl/ctrlProps/ctrlProp14.xml><?xml version="1.0" encoding="utf-8"?>
<formControlPr xmlns="http://schemas.microsoft.com/office/spreadsheetml/2009/9/main" objectType="Scroll" dx="16" fmlaLink="$D$37" horiz="1" max="100" page="10" val="25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6"/>
</file>

<file path=xl/ctrlProps/ctrlProp17.xml><?xml version="1.0" encoding="utf-8"?>
<formControlPr xmlns="http://schemas.microsoft.com/office/spreadsheetml/2009/9/main" objectType="Scroll" dx="16" fmlaLink="$G$37" horiz="1" max="100" page="10" val="10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35"/>
</file>

<file path=xl/ctrlProps/ctrlProp21.xml><?xml version="1.0" encoding="utf-8"?>
<formControlPr xmlns="http://schemas.microsoft.com/office/spreadsheetml/2009/9/main" objectType="Scroll" dx="16" fmlaLink="$E$39" horiz="1" max="100" page="10" val="2"/>
</file>

<file path=xl/ctrlProps/ctrlProp22.xml><?xml version="1.0" encoding="utf-8"?>
<formControlPr xmlns="http://schemas.microsoft.com/office/spreadsheetml/2009/9/main" objectType="Scroll" dx="16" fmlaLink="$F$39" horiz="1" max="100" page="10" val="33"/>
</file>

<file path=xl/ctrlProps/ctrlProp23.xml><?xml version="1.0" encoding="utf-8"?>
<formControlPr xmlns="http://schemas.microsoft.com/office/spreadsheetml/2009/9/main" objectType="Scroll" dx="16" fmlaLink="$G$39" horiz="1" max="100" page="10" val="25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85"/>
</file>

<file path=xl/ctrlProps/ctrlProp36.xml><?xml version="1.0" encoding="utf-8"?>
<formControlPr xmlns="http://schemas.microsoft.com/office/spreadsheetml/2009/9/main" objectType="Scroll" dx="16" fmlaLink="$D$58" horiz="1" max="100" page="10" val="25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26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30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35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3"/>
</file>

<file path=xl/ctrlProps/ctrlProp45.xml><?xml version="1.0" encoding="utf-8"?>
<formControlPr xmlns="http://schemas.microsoft.com/office/spreadsheetml/2009/9/main" objectType="Scroll" dx="16" fmlaLink="$G$60" horiz="1" max="100" page="10" val="25"/>
</file>

<file path=xl/ctrlProps/ctrlProp46.xml><?xml version="1.0" encoding="utf-8"?>
<formControlPr xmlns="http://schemas.microsoft.com/office/spreadsheetml/2009/9/main" objectType="Scroll" dx="16" fmlaLink="$H$60" horiz="1" max="100" page="10" val="30"/>
</file>

<file path=xl/ctrlProps/ctrlProp47.xml><?xml version="1.0" encoding="utf-8"?>
<formControlPr xmlns="http://schemas.microsoft.com/office/spreadsheetml/2009/9/main" objectType="Scroll" dx="16" fmlaLink="$B$79" horiz="1" max="100" page="10" val="45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80"/>
</file>

<file path=xl/ctrlProps/ctrlProp50.xml><?xml version="1.0" encoding="utf-8"?>
<formControlPr xmlns="http://schemas.microsoft.com/office/spreadsheetml/2009/9/main" objectType="Scroll" dx="16" fmlaLink="$D$79" horiz="1" max="100" page="10" val="6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5"/>
</file>

<file path=xl/ctrlProps/ctrlProp53.xml><?xml version="1.0" encoding="utf-8"?>
<formControlPr xmlns="http://schemas.microsoft.com/office/spreadsheetml/2009/9/main" objectType="Scroll" dx="16" fmlaLink="$G$79" horiz="1" max="100" page="10" val="15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5"/>
</file>

<file path=xl/ctrlProps/ctrlProp56.xml><?xml version="1.0" encoding="utf-8"?>
<formControlPr xmlns="http://schemas.microsoft.com/office/spreadsheetml/2009/9/main" objectType="Scroll" dx="16" fmlaLink="$D$81" horiz="1" max="100" page="10" val="95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25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35"/>
</file>

<file path=xl/ctrlProps/ctrlProp63.xml><?xml version="1.0" encoding="utf-8"?>
<formControlPr xmlns="http://schemas.microsoft.com/office/spreadsheetml/2009/9/main" objectType="Scroll" dx="16" fmlaLink="$C$100" horiz="1" max="100" page="10" val="85"/>
</file>

<file path=xl/ctrlProps/ctrlProp64.xml><?xml version="1.0" encoding="utf-8"?>
<formControlPr xmlns="http://schemas.microsoft.com/office/spreadsheetml/2009/9/main" objectType="Scroll" dx="16" fmlaLink="$D$100" horiz="1" max="100" page="10" val="1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20"/>
</file>

<file path=xl/ctrlProps/ctrlProp67.xml><?xml version="1.0" encoding="utf-8"?>
<formControlPr xmlns="http://schemas.microsoft.com/office/spreadsheetml/2009/9/main" objectType="Scroll" dx="16" fmlaLink="$G$100" horiz="1" max="100" page="10" val="10"/>
</file>

<file path=xl/ctrlProps/ctrlProp68.xml><?xml version="1.0" encoding="utf-8"?>
<formControlPr xmlns="http://schemas.microsoft.com/office/spreadsheetml/2009/9/main" objectType="Scroll" dx="16" fmlaLink="$H$100" horiz="1" max="100" page="10" val="60"/>
</file>

<file path=xl/ctrlProps/ctrlProp69.xml><?xml version="1.0" encoding="utf-8"?>
<formControlPr xmlns="http://schemas.microsoft.com/office/spreadsheetml/2009/9/main" objectType="Scroll" dx="16" fmlaLink="$C$102" horiz="1" max="100" page="10" val="90"/>
</file>

<file path=xl/ctrlProps/ctrlProp70.xml><?xml version="1.0" encoding="utf-8"?>
<formControlPr xmlns="http://schemas.microsoft.com/office/spreadsheetml/2009/9/main" objectType="Scroll" dx="16" fmlaLink="$D$102" horiz="1" max="100" page="10" val="23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24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60"/>
</file>

<file path=xl/ctrlProps/ctrlProp75.xml><?xml version="1.0" encoding="utf-8"?>
<formControlPr xmlns="http://schemas.microsoft.com/office/spreadsheetml/2009/9/main" objectType="Scroll" dx="16" fmlaLink="$B$121" horiz="1" max="100" page="10" val="25"/>
</file>

<file path=xl/ctrlProps/ctrlProp76.xml><?xml version="1.0" encoding="utf-8"?>
<formControlPr xmlns="http://schemas.microsoft.com/office/spreadsheetml/2009/9/main" objectType="Scroll" dx="16" fmlaLink="$B$123" horiz="1" max="100" page="10" val="50"/>
</file>

<file path=xl/ctrlProps/ctrlProp77.xml><?xml version="1.0" encoding="utf-8"?>
<formControlPr xmlns="http://schemas.microsoft.com/office/spreadsheetml/2009/9/main" objectType="Scroll" dx="16" fmlaLink="$C$121" horiz="1" max="100" page="10" val="9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6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35"/>
</file>

<file path=xl/ctrlProps/ctrlProp83.xml><?xml version="1.0" encoding="utf-8"?>
<formControlPr xmlns="http://schemas.microsoft.com/office/spreadsheetml/2009/9/main" objectType="Scroll" dx="16" fmlaLink="$C$123" horiz="1" max="100" page="10" val="95"/>
</file>

<file path=xl/ctrlProps/ctrlProp84.xml><?xml version="1.0" encoding="utf-8"?>
<formControlPr xmlns="http://schemas.microsoft.com/office/spreadsheetml/2009/9/main" objectType="Scroll" dx="16" fmlaLink="$D$123" horiz="1" max="100" page="10" val="15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33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35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45"/>
</file>

<file path=xl/ctrlProps/ctrlProp91.xml><?xml version="1.0" encoding="utf-8"?>
<formControlPr xmlns="http://schemas.microsoft.com/office/spreadsheetml/2009/9/main" objectType="Scroll" dx="16" fmlaLink="$C$142" horiz="1" max="100" page="10" val="80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5"/>
</file>

<file path=xl/ctrlProps/ctrlProp95.xml><?xml version="1.0" encoding="utf-8"?>
<formControlPr xmlns="http://schemas.microsoft.com/office/spreadsheetml/2009/9/main" objectType="Scroll" dx="16" fmlaLink="$G$142" horiz="1" max="100" page="10" val="5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5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24"/>
</file>

<file path=xl/ctrlProps/ctrlProp101.xml><?xml version="1.0" encoding="utf-8"?>
<formControlPr xmlns="http://schemas.microsoft.com/office/spreadsheetml/2009/9/main" objectType="Scroll" dx="16" fmlaLink="$G$144" horiz="1" max="100" page="10" val="15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70"/>
</file>

<file path=xl/ctrlProps/ctrlProp106.xml><?xml version="1.0" encoding="utf-8"?>
<formControlPr xmlns="http://schemas.microsoft.com/office/spreadsheetml/2009/9/main" objectType="Scroll" dx="16" fmlaLink="$D$163" horiz="1" max="100" page="10" val="80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40"/>
</file>

<file path=xl/ctrlProps/ctrlProp109.xml><?xml version="1.0" encoding="utf-8"?>
<formControlPr xmlns="http://schemas.microsoft.com/office/spreadsheetml/2009/9/main" objectType="Scroll" dx="16" fmlaLink="$G$163" horiz="1" max="100" page="10" val="10"/>
</file>

<file path=xl/ctrlProps/ctrlProp110.xml><?xml version="1.0" encoding="utf-8"?>
<formControlPr xmlns="http://schemas.microsoft.com/office/spreadsheetml/2009/9/main" objectType="Scroll" dx="16" fmlaLink="$H$163" horiz="1" max="100" page="10" val="15"/>
</file>

<file path=xl/ctrlProps/ctrlProp111.xml><?xml version="1.0" encoding="utf-8"?>
<formControlPr xmlns="http://schemas.microsoft.com/office/spreadsheetml/2009/9/main" objectType="Scroll" dx="16" fmlaLink="$C$165" horiz="1" max="100" page="10" val="85"/>
</file>

<file path=xl/ctrlProps/ctrlProp112.xml><?xml version="1.0" encoding="utf-8"?>
<formControlPr xmlns="http://schemas.microsoft.com/office/spreadsheetml/2009/9/main" objectType="Scroll" dx="16" fmlaLink="$D$165" horiz="1" max="100" page="10" val="10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4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5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15"/>
</file>

<file path=xl/ctrlProps/ctrlProp122.xml><?xml version="1.0" encoding="utf-8"?>
<formControlPr xmlns="http://schemas.microsoft.com/office/spreadsheetml/2009/9/main" objectType="Scroll" dx="16" fmlaLink="$B$202" horiz="1" max="100" page="10" val="15"/>
</file>

<file path=xl/ctrlProps/ctrlProp123.xml><?xml version="1.0" encoding="utf-8"?>
<formControlPr xmlns="http://schemas.microsoft.com/office/spreadsheetml/2009/9/main" objectType="Scroll" dx="16" fmlaLink="$B$204" horiz="1" max="100" page="10" val="45"/>
</file>

<file path=xl/ctrlProps/ctrlProp124.xml><?xml version="1.0" encoding="utf-8"?>
<formControlPr xmlns="http://schemas.microsoft.com/office/spreadsheetml/2009/9/main" objectType="Scroll" dx="16" fmlaLink="$L$202" horiz="1" max="100" page="10" val="10"/>
</file>

<file path=xl/ctrlProps/ctrlProp125.xml><?xml version="1.0" encoding="utf-8"?>
<formControlPr xmlns="http://schemas.microsoft.com/office/spreadsheetml/2009/9/main" objectType="Scroll" dx="16" fmlaLink="$L$204" horiz="1" max="100" page="10" val="20"/>
</file>

<file path=xl/ctrlProps/ctrlProp126.xml><?xml version="1.0" encoding="utf-8"?>
<formControlPr xmlns="http://schemas.microsoft.com/office/spreadsheetml/2009/9/main" objectType="Scroll" dx="16" fmlaLink="$B$217" horiz="1" max="100" page="10" val="30"/>
</file>

<file path=xl/ctrlProps/ctrlProp127.xml><?xml version="1.0" encoding="utf-8"?>
<formControlPr xmlns="http://schemas.microsoft.com/office/spreadsheetml/2009/9/main" objectType="Scroll" dx="16" fmlaLink="$B$219" horiz="1" max="100" page="10" val="90"/>
</file>

<file path=xl/ctrlProps/ctrlProp128.xml><?xml version="1.0" encoding="utf-8"?>
<formControlPr xmlns="http://schemas.microsoft.com/office/spreadsheetml/2009/9/main" objectType="Scroll" dx="16" fmlaLink="$L$217" horiz="1" max="100" page="10" val="20"/>
</file>

<file path=xl/ctrlProps/ctrlProp129.xml><?xml version="1.0" encoding="utf-8"?>
<formControlPr xmlns="http://schemas.microsoft.com/office/spreadsheetml/2009/9/main" objectType="Scroll" dx="16" fmlaLink="$L$219" horiz="1" max="100" page="10" val="100"/>
</file>

<file path=xl/ctrlProps/ctrlProp130.xml><?xml version="1.0" encoding="utf-8"?>
<formControlPr xmlns="http://schemas.microsoft.com/office/spreadsheetml/2009/9/main" objectType="Scroll" dx="16" fmlaLink="$I$37" horiz="1" inc="10" max="1000" min="100" page="10" val="100"/>
</file>

<file path=xl/ctrlProps/ctrlProp131.xml><?xml version="1.0" encoding="utf-8"?>
<formControlPr xmlns="http://schemas.microsoft.com/office/spreadsheetml/2009/9/main" objectType="Scroll" dx="16" fmlaLink="$B$232" horiz="1" max="100" page="10" val="10"/>
</file>

<file path=xl/ctrlProps/ctrlProp132.xml><?xml version="1.0" encoding="utf-8"?>
<formControlPr xmlns="http://schemas.microsoft.com/office/spreadsheetml/2009/9/main" objectType="Scroll" dx="16" fmlaLink="$B$234" horiz="1" max="100" page="10" val="50"/>
</file>

<file path=xl/ctrlProps/ctrlProp133.xml><?xml version="1.0" encoding="utf-8"?>
<formControlPr xmlns="http://schemas.microsoft.com/office/spreadsheetml/2009/9/main" objectType="Scroll" dx="16" fmlaLink="$I$32" horiz="1" max="100" page="10" val="0"/>
</file>

<file path=xl/ctrlProps/ctrlProp134.xml><?xml version="1.0" encoding="utf-8"?>
<formControlPr xmlns="http://schemas.microsoft.com/office/spreadsheetml/2009/9/main" objectType="Scroll" dx="16" fmlaLink="$I$39" horiz="1" inc="10" max="1000" min="100" page="10" val="100"/>
</file>

<file path=xl/ctrlProps/ctrlProp135.xml><?xml version="1.0" encoding="utf-8"?>
<formControlPr xmlns="http://schemas.microsoft.com/office/spreadsheetml/2009/9/main" objectType="Scroll" dx="16" fmlaLink="$I$59" horiz="1" inc="10" max="1000" min="100" page="10" val="110"/>
</file>

<file path=xl/ctrlProps/ctrlProp136.xml><?xml version="1.0" encoding="utf-8"?>
<formControlPr xmlns="http://schemas.microsoft.com/office/spreadsheetml/2009/9/main" objectType="Scroll" dx="16" fmlaLink="$I$61" horiz="1" inc="10" max="1000" min="100" page="10" val="660"/>
</file>

<file path=xl/ctrlProps/ctrlProp137.xml><?xml version="1.0" encoding="utf-8"?>
<formControlPr xmlns="http://schemas.microsoft.com/office/spreadsheetml/2009/9/main" objectType="Scroll" dx="16" fmlaLink="$I$80" horiz="1" inc="10" max="1000" min="100" page="10" val="190"/>
</file>

<file path=xl/ctrlProps/ctrlProp138.xml><?xml version="1.0" encoding="utf-8"?>
<formControlPr xmlns="http://schemas.microsoft.com/office/spreadsheetml/2009/9/main" objectType="Scroll" dx="16" fmlaLink="$I$82" horiz="1" inc="10" max="1000" min="100" page="10" val="910"/>
</file>

<file path=xl/ctrlProps/ctrlProp139.xml><?xml version="1.0" encoding="utf-8"?>
<formControlPr xmlns="http://schemas.microsoft.com/office/spreadsheetml/2009/9/main" objectType="Scroll" dx="16" fmlaLink="$I$101" horiz="1" inc="10" max="1000" min="100" page="10" val="120"/>
</file>

<file path=xl/ctrlProps/ctrlProp140.xml><?xml version="1.0" encoding="utf-8"?>
<formControlPr xmlns="http://schemas.microsoft.com/office/spreadsheetml/2009/9/main" objectType="Scroll" dx="16" fmlaLink="$I$103" horiz="1" inc="10" max="1000" min="100" page="10" val="730"/>
</file>

<file path=xl/ctrlProps/ctrlProp141.xml><?xml version="1.0" encoding="utf-8"?>
<formControlPr xmlns="http://schemas.microsoft.com/office/spreadsheetml/2009/9/main" objectType="Scroll" dx="16" fmlaLink="$I$122" horiz="1" inc="10" max="1000" min="100" page="10" val="150"/>
</file>

<file path=xl/ctrlProps/ctrlProp142.xml><?xml version="1.0" encoding="utf-8"?>
<formControlPr xmlns="http://schemas.microsoft.com/office/spreadsheetml/2009/9/main" objectType="Scroll" dx="16" fmlaLink="$I$124" horiz="1" inc="10" max="1000" min="100" page="10" val="810"/>
</file>

<file path=xl/ctrlProps/ctrlProp143.xml><?xml version="1.0" encoding="utf-8"?>
<formControlPr xmlns="http://schemas.microsoft.com/office/spreadsheetml/2009/9/main" objectType="Scroll" dx="16" fmlaLink="$I$143" horiz="1" inc="10" max="1000" min="100" page="10" val="110"/>
</file>

<file path=xl/ctrlProps/ctrlProp144.xml><?xml version="1.0" encoding="utf-8"?>
<formControlPr xmlns="http://schemas.microsoft.com/office/spreadsheetml/2009/9/main" objectType="Scroll" dx="16" fmlaLink="$I$145" horiz="1" inc="10" max="1000" min="100" page="10" val="680"/>
</file>

<file path=xl/ctrlProps/ctrlProp145.xml><?xml version="1.0" encoding="utf-8"?>
<formControlPr xmlns="http://schemas.microsoft.com/office/spreadsheetml/2009/9/main" objectType="Scroll" dx="16" fmlaLink="$I$164" horiz="1" inc="10" max="1000" min="100" page="10" val="200"/>
</file>

<file path=xl/ctrlProps/ctrlProp146.xml><?xml version="1.0" encoding="utf-8"?>
<formControlPr xmlns="http://schemas.microsoft.com/office/spreadsheetml/2009/9/main" objectType="Scroll" dx="16" fmlaLink="$I$166" horiz="1" inc="10" max="1000" min="100" page="10" val="960"/>
</file>

<file path=xl/ctrlProps/ctrlProp147.xml><?xml version="1.0" encoding="utf-8"?>
<formControlPr xmlns="http://schemas.microsoft.com/office/spreadsheetml/2009/9/main" objectType="Scroll" dx="16" fmlaLink="$E$67" horiz="1" max="20" min="1" page="10"/>
</file>

<file path=xl/ctrlProps/ctrlProp148.xml><?xml version="1.0" encoding="utf-8"?>
<formControlPr xmlns="http://schemas.microsoft.com/office/spreadsheetml/2009/9/main" objectType="Scroll" dx="16" fmlaLink="$B$4" horiz="1" max="100" page="10" val="85"/>
</file>

<file path=xl/ctrlProps/ctrlProp149.xml><?xml version="1.0" encoding="utf-8"?>
<formControlPr xmlns="http://schemas.microsoft.com/office/spreadsheetml/2009/9/main" objectType="Scroll" dx="16" fmlaLink="$C$5" horiz="1" max="100" page="10" val="0"/>
</file>

<file path=xl/ctrlProps/ctrlProp150.xml><?xml version="1.0" encoding="utf-8"?>
<formControlPr xmlns="http://schemas.microsoft.com/office/spreadsheetml/2009/9/main" objectType="Scroll" dx="16" fmlaLink="$B$6" horiz="1" max="100" page="10" val="60"/>
</file>

<file path=xl/ctrlProps/ctrlProp151.xml><?xml version="1.0" encoding="utf-8"?>
<formControlPr xmlns="http://schemas.microsoft.com/office/spreadsheetml/2009/9/main" objectType="Scroll" dx="16" fmlaLink="$H$30" horiz="1" max="5" min="1" page="10"/>
</file>

<file path=xl/ctrlProps/ctrlProp152.xml><?xml version="1.0" encoding="utf-8"?>
<formControlPr xmlns="http://schemas.microsoft.com/office/spreadsheetml/2009/9/main" objectType="Scroll" dx="16" fmlaLink="$B$19" horiz="1" max="10" min="1" page="10" val="2"/>
</file>

<file path=xl/ctrlProps/ctrlProp153.xml><?xml version="1.0" encoding="utf-8"?>
<formControlPr xmlns="http://schemas.microsoft.com/office/spreadsheetml/2009/9/main" objectType="Scroll" dx="16" fmlaLink="$B$4" horiz="1" max="500" min="1" page="10" val="100"/>
</file>

<file path=xl/ctrlProps/ctrlProp154.xml><?xml version="1.0" encoding="utf-8"?>
<formControlPr xmlns="http://schemas.microsoft.com/office/spreadsheetml/2009/9/main" objectType="Scroll" dx="16" fmlaLink="$D$4" horiz="1" max="100" page="10" val="20"/>
</file>

<file path=xl/ctrlProps/ctrlProp155.xml><?xml version="1.0" encoding="utf-8"?>
<formControlPr xmlns="http://schemas.microsoft.com/office/spreadsheetml/2009/9/main" objectType="Scroll" dx="16" fmlaLink="$J$4" horiz="1" max="20" min="1" page="10" val="3"/>
</file>

<file path=xl/ctrlProps/ctrlProp156.xml><?xml version="1.0" encoding="utf-8"?>
<formControlPr xmlns="http://schemas.microsoft.com/office/spreadsheetml/2009/9/main" objectType="Scroll" dx="16" fmlaLink="$B$5" horiz="1" max="500" min="1" page="10" val="40"/>
</file>

<file path=xl/ctrlProps/ctrlProp157.xml><?xml version="1.0" encoding="utf-8"?>
<formControlPr xmlns="http://schemas.microsoft.com/office/spreadsheetml/2009/9/main" objectType="Scroll" dx="16" fmlaLink="$D$5" horiz="1" max="100" page="10" val="20"/>
</file>

<file path=xl/ctrlProps/ctrlProp158.xml><?xml version="1.0" encoding="utf-8"?>
<formControlPr xmlns="http://schemas.microsoft.com/office/spreadsheetml/2009/9/main" objectType="Scroll" dx="16" fmlaLink="$J$5" horiz="1" max="20" min="1" page="10"/>
</file>

<file path=xl/ctrlProps/ctrlProp159.xml><?xml version="1.0" encoding="utf-8"?>
<formControlPr xmlns="http://schemas.microsoft.com/office/spreadsheetml/2009/9/main" objectType="Scroll" dx="16" fmlaLink="$B$11" horiz="1" max="100" page="10" val="20"/>
</file>

<file path=xl/ctrlProps/ctrlProp160.xml><?xml version="1.0" encoding="utf-8"?>
<formControlPr xmlns="http://schemas.microsoft.com/office/spreadsheetml/2009/9/main" objectType="Scroll" dx="16" fmlaLink="$B$12" horiz="1" max="100" page="10" val="6"/>
</file>

<file path=xl/ctrlProps/ctrlProp161.xml><?xml version="1.0" encoding="utf-8"?>
<formControlPr xmlns="http://schemas.microsoft.com/office/spreadsheetml/2009/9/main" objectType="Scroll" dx="16" fmlaLink="$F$11" horiz="1" max="100" page="10" val="0"/>
</file>

<file path=xl/ctrlProps/ctrlProp162.xml><?xml version="1.0" encoding="utf-8"?>
<formControlPr xmlns="http://schemas.microsoft.com/office/spreadsheetml/2009/9/main" objectType="Scroll" dx="16" fmlaLink="$G$11" horiz="1" max="100" page="10" val="30"/>
</file>

<file path=xl/ctrlProps/ctrlProp163.xml><?xml version="1.0" encoding="utf-8"?>
<formControlPr xmlns="http://schemas.microsoft.com/office/spreadsheetml/2009/9/main" objectType="Scroll" dx="16" fmlaLink="$H$11" horiz="1" max="100" page="10" val="15"/>
</file>

<file path=xl/ctrlProps/ctrlProp164.xml><?xml version="1.0" encoding="utf-8"?>
<formControlPr xmlns="http://schemas.microsoft.com/office/spreadsheetml/2009/9/main" objectType="Scroll" dx="16" fmlaLink="$I$11" horiz="1" max="100" page="10" val="40"/>
</file>

<file path=xl/ctrlProps/ctrlProp165.xml><?xml version="1.0" encoding="utf-8"?>
<formControlPr xmlns="http://schemas.microsoft.com/office/spreadsheetml/2009/9/main" objectType="Scroll" dx="16" fmlaLink="$J$11" horiz="1" max="100" page="10" val="25"/>
</file>

<file path=xl/ctrlProps/ctrlProp166.xml><?xml version="1.0" encoding="utf-8"?>
<formControlPr xmlns="http://schemas.microsoft.com/office/spreadsheetml/2009/9/main" objectType="Scroll" dx="16" fmlaLink="$K$11" horiz="1" max="100" page="10" val="0"/>
</file>

<file path=xl/ctrlProps/ctrlProp167.xml><?xml version="1.0" encoding="utf-8"?>
<formControlPr xmlns="http://schemas.microsoft.com/office/spreadsheetml/2009/9/main" objectType="Scroll" dx="16" fmlaLink="$L$11" horiz="1" max="100" page="10" val="15"/>
</file>

<file path=xl/ctrlProps/ctrlProp168.xml><?xml version="1.0" encoding="utf-8"?>
<formControlPr xmlns="http://schemas.microsoft.com/office/spreadsheetml/2009/9/main" objectType="Scroll" dx="16" fmlaLink="$F$4" horiz="1" max="100" page="10" val="30"/>
</file>

<file path=xl/ctrlProps/ctrlProp169.xml><?xml version="1.0" encoding="utf-8"?>
<formControlPr xmlns="http://schemas.microsoft.com/office/spreadsheetml/2009/9/main" objectType="Scroll" dx="16" fmlaLink="$F$5" horiz="1" max="100" page="10" val="0"/>
</file>

<file path=xl/ctrlProps/ctrlProp170.xml><?xml version="1.0" encoding="utf-8"?>
<formControlPr xmlns="http://schemas.microsoft.com/office/spreadsheetml/2009/9/main" objectType="Scroll" dx="16" fmlaLink="$H$4" horiz="1" max="10" page="10" val="3"/>
</file>

<file path=xl/ctrlProps/ctrlProp171.xml><?xml version="1.0" encoding="utf-8"?>
<formControlPr xmlns="http://schemas.microsoft.com/office/spreadsheetml/2009/9/main" objectType="Scroll" dx="16" fmlaLink="$H$5" horiz="1" max="10" page="10" val="4"/>
</file>

<file path=xl/ctrlProps/ctrlProp172.xml><?xml version="1.0" encoding="utf-8"?>
<formControlPr xmlns="http://schemas.microsoft.com/office/spreadsheetml/2009/9/main" objectType="Scroll" dx="16" fmlaLink="$F$28" horiz="1" inc="10" max="1000" page="10" val="0"/>
</file>

<file path=xl/ctrlProps/ctrlProp173.xml><?xml version="1.0" encoding="utf-8"?>
<formControlPr xmlns="http://schemas.microsoft.com/office/spreadsheetml/2009/9/main" objectType="Scroll" dx="16" fmlaLink="$G$28" horiz="1" inc="10" max="1000" page="10" val="130"/>
</file>

<file path=xl/ctrlProps/ctrlProp174.xml><?xml version="1.0" encoding="utf-8"?>
<formControlPr xmlns="http://schemas.microsoft.com/office/spreadsheetml/2009/9/main" objectType="Scroll" dx="16" fmlaLink="$H$28" horiz="1" inc="10" max="1000" page="10" val="250"/>
</file>

<file path=xl/ctrlProps/ctrlProp175.xml><?xml version="1.0" encoding="utf-8"?>
<formControlPr xmlns="http://schemas.microsoft.com/office/spreadsheetml/2009/9/main" objectType="Scroll" dx="16" fmlaLink="$I$28" horiz="1" inc="10" max="1000" page="10" val="100"/>
</file>

<file path=xl/ctrlProps/ctrlProp176.xml><?xml version="1.0" encoding="utf-8"?>
<formControlPr xmlns="http://schemas.microsoft.com/office/spreadsheetml/2009/9/main" objectType="Scroll" dx="16" fmlaLink="$J$28" horiz="1" inc="10" max="1000" page="10" val="150"/>
</file>

<file path=xl/ctrlProps/ctrlProp177.xml><?xml version="1.0" encoding="utf-8"?>
<formControlPr xmlns="http://schemas.microsoft.com/office/spreadsheetml/2009/9/main" objectType="Scroll" dx="16" fmlaLink="$K$28" horiz="1" inc="10" max="1000" page="10" val="0"/>
</file>

<file path=xl/ctrlProps/ctrlProp178.xml><?xml version="1.0" encoding="utf-8"?>
<formControlPr xmlns="http://schemas.microsoft.com/office/spreadsheetml/2009/9/main" objectType="Scroll" dx="16" fmlaLink="$L$28" horiz="1" inc="10" max="1000" page="10" val="250"/>
</file>

<file path=xl/ctrlProps/ctrlProp179.xml><?xml version="1.0" encoding="utf-8"?>
<formControlPr xmlns="http://schemas.microsoft.com/office/spreadsheetml/2009/9/main" objectType="Scroll" dx="16" fmlaLink="C55" horiz="1" max="100" page="10" val="100"/>
</file>

<file path=xl/ctrlProps/ctrlProp180.xml><?xml version="1.0" encoding="utf-8"?>
<formControlPr xmlns="http://schemas.microsoft.com/office/spreadsheetml/2009/9/main" objectType="Scroll" dx="16" fmlaLink="$I$67" horiz="1" max="100" page="10" val="50"/>
</file>

<file path=xl/ctrlProps/ctrlProp181.xml><?xml version="1.0" encoding="utf-8"?>
<formControlPr xmlns="http://schemas.microsoft.com/office/spreadsheetml/2009/9/main" objectType="Scroll" dx="16" fmlaLink="$I$102" horiz="1" max="100" page="10" val="50"/>
</file>

<file path=xl/ctrlProps/ctrlProp182.xml><?xml version="1.0" encoding="utf-8"?>
<formControlPr xmlns="http://schemas.microsoft.com/office/spreadsheetml/2009/9/main" objectType="Scroll" dx="16" fmlaLink="$E$5" horiz="1" inc="10" max="5000" page="10" val="10"/>
</file>

<file path=xl/ctrlProps/ctrlProp183.xml><?xml version="1.0" encoding="utf-8"?>
<formControlPr xmlns="http://schemas.microsoft.com/office/spreadsheetml/2009/9/main" objectType="Scroll" dx="16" fmlaLink="$F$5" horiz="1" inc="10" max="5000" page="10" val="220"/>
</file>

<file path=xl/ctrlProps/ctrlProp184.xml><?xml version="1.0" encoding="utf-8"?>
<formControlPr xmlns="http://schemas.microsoft.com/office/spreadsheetml/2009/9/main" objectType="Scroll" dx="16" fmlaLink="$E$6" horiz="1" inc="10" max="5000" page="10" val="50"/>
</file>

<file path=xl/ctrlProps/ctrlProp185.xml><?xml version="1.0" encoding="utf-8"?>
<formControlPr xmlns="http://schemas.microsoft.com/office/spreadsheetml/2009/9/main" objectType="Scroll" dx="16" fmlaLink="$E$7" horiz="1" inc="10" max="5000" page="10" val="140"/>
</file>

<file path=xl/ctrlProps/ctrlProp186.xml><?xml version="1.0" encoding="utf-8"?>
<formControlPr xmlns="http://schemas.microsoft.com/office/spreadsheetml/2009/9/main" objectType="Scroll" dx="16" fmlaLink="$E$8" horiz="1" inc="10" max="5000" page="10" val="40"/>
</file>

<file path=xl/ctrlProps/ctrlProp187.xml><?xml version="1.0" encoding="utf-8"?>
<formControlPr xmlns="http://schemas.microsoft.com/office/spreadsheetml/2009/9/main" objectType="Scroll" dx="16" fmlaLink="$E$9" horiz="1" inc="10" max="5000" page="10" val="80"/>
</file>

<file path=xl/ctrlProps/ctrlProp188.xml><?xml version="1.0" encoding="utf-8"?>
<formControlPr xmlns="http://schemas.microsoft.com/office/spreadsheetml/2009/9/main" objectType="Scroll" dx="16" fmlaLink="$E$10" horiz="1" inc="10" max="5000" page="10" val="60"/>
</file>

<file path=xl/ctrlProps/ctrlProp189.xml><?xml version="1.0" encoding="utf-8"?>
<formControlPr xmlns="http://schemas.microsoft.com/office/spreadsheetml/2009/9/main" objectType="Scroll" dx="16" fmlaLink="$E$11" horiz="1" inc="10" max="5000" page="10" val="90"/>
</file>

<file path=xl/ctrlProps/ctrlProp190.xml><?xml version="1.0" encoding="utf-8"?>
<formControlPr xmlns="http://schemas.microsoft.com/office/spreadsheetml/2009/9/main" objectType="Scroll" dx="16" fmlaLink="$E$12" horiz="1" inc="10" max="5000" page="10" val="120"/>
</file>

<file path=xl/ctrlProps/ctrlProp191.xml><?xml version="1.0" encoding="utf-8"?>
<formControlPr xmlns="http://schemas.microsoft.com/office/spreadsheetml/2009/9/main" objectType="Scroll" dx="16" fmlaLink="$E$13" horiz="1" inc="10" max="5000" page="10" val="30"/>
</file>

<file path=xl/ctrlProps/ctrlProp192.xml><?xml version="1.0" encoding="utf-8"?>
<formControlPr xmlns="http://schemas.microsoft.com/office/spreadsheetml/2009/9/main" objectType="Scroll" dx="16" fmlaLink="$F$6" horiz="1" inc="10" max="5000" page="10" val="440"/>
</file>

<file path=xl/ctrlProps/ctrlProp193.xml><?xml version="1.0" encoding="utf-8"?>
<formControlPr xmlns="http://schemas.microsoft.com/office/spreadsheetml/2009/9/main" objectType="Scroll" dx="16" fmlaLink="$F$7" horiz="1" inc="10" max="5000" page="10" val="690"/>
</file>

<file path=xl/ctrlProps/ctrlProp194.xml><?xml version="1.0" encoding="utf-8"?>
<formControlPr xmlns="http://schemas.microsoft.com/office/spreadsheetml/2009/9/main" objectType="Scroll" dx="16" fmlaLink="$F$8" horiz="1" inc="10" max="5000" page="10" val="720"/>
</file>

<file path=xl/ctrlProps/ctrlProp195.xml><?xml version="1.0" encoding="utf-8"?>
<formControlPr xmlns="http://schemas.microsoft.com/office/spreadsheetml/2009/9/main" objectType="Scroll" dx="16" fmlaLink="$F$9" horiz="1" inc="10" max="5000" page="10" val="520"/>
</file>

<file path=xl/ctrlProps/ctrlProp196.xml><?xml version="1.0" encoding="utf-8"?>
<formControlPr xmlns="http://schemas.microsoft.com/office/spreadsheetml/2009/9/main" objectType="Scroll" dx="16" fmlaLink="$F$10" horiz="1" inc="10" max="5000" page="10" val="540"/>
</file>

<file path=xl/ctrlProps/ctrlProp197.xml><?xml version="1.0" encoding="utf-8"?>
<formControlPr xmlns="http://schemas.microsoft.com/office/spreadsheetml/2009/9/main" objectType="Scroll" dx="16" fmlaLink="$F$11" horiz="1" inc="10" max="5000" page="10" val="570"/>
</file>

<file path=xl/ctrlProps/ctrlProp198.xml><?xml version="1.0" encoding="utf-8"?>
<formControlPr xmlns="http://schemas.microsoft.com/office/spreadsheetml/2009/9/main" objectType="Scroll" dx="16" fmlaLink="$F$12" horiz="1" inc="10" max="5000" page="10" val="650"/>
</file>

<file path=xl/ctrlProps/ctrlProp199.xml><?xml version="1.0" encoding="utf-8"?>
<formControlPr xmlns="http://schemas.microsoft.com/office/spreadsheetml/2009/9/main" objectType="Scroll" dx="16" fmlaLink="$F$13" horiz="1" inc="10" max="5000" page="10" val="330"/>
</file>

<file path=xl/ctrlProps/ctrlProp200.xml><?xml version="1.0" encoding="utf-8"?>
<formControlPr xmlns="http://schemas.microsoft.com/office/spreadsheetml/2009/9/main" objectType="Scroll" dx="16" fmlaLink="$E$14" horiz="1" inc="10" max="5000" page="10" val="20"/>
</file>

<file path=xl/ctrlProps/ctrlProp201.xml><?xml version="1.0" encoding="utf-8"?>
<formControlPr xmlns="http://schemas.microsoft.com/office/spreadsheetml/2009/9/main" objectType="Scroll" dx="16" fmlaLink="$F$14" horiz="1" inc="10" max="5000" page="10" val="290"/>
</file>

<file path=xl/ctrlProps/ctrlProp202.xml><?xml version="1.0" encoding="utf-8"?>
<formControlPr xmlns="http://schemas.microsoft.com/office/spreadsheetml/2009/9/main" objectType="Scroll" dx="16" fmlaLink="$E$15" horiz="1" inc="10" max="5000" page="10" val="90"/>
</file>

<file path=xl/ctrlProps/ctrlProp203.xml><?xml version="1.0" encoding="utf-8"?>
<formControlPr xmlns="http://schemas.microsoft.com/office/spreadsheetml/2009/9/main" objectType="Scroll" dx="16" fmlaLink="$E$16" horiz="1" inc="10" max="5000" page="10" val="100"/>
</file>

<file path=xl/ctrlProps/ctrlProp204.xml><?xml version="1.0" encoding="utf-8"?>
<formControlPr xmlns="http://schemas.microsoft.com/office/spreadsheetml/2009/9/main" objectType="Scroll" dx="16" fmlaLink="$E$17" horiz="1" inc="10" max="5000" page="10" val="150"/>
</file>

<file path=xl/ctrlProps/ctrlProp205.xml><?xml version="1.0" encoding="utf-8"?>
<formControlPr xmlns="http://schemas.microsoft.com/office/spreadsheetml/2009/9/main" objectType="Scroll" dx="16" fmlaLink="$F$15" horiz="1" inc="10" max="5000" page="10" val="590"/>
</file>

<file path=xl/ctrlProps/ctrlProp206.xml><?xml version="1.0" encoding="utf-8"?>
<formControlPr xmlns="http://schemas.microsoft.com/office/spreadsheetml/2009/9/main" objectType="Scroll" dx="16" fmlaLink="$F$16" horiz="1" inc="10" max="5000" page="10" val="750"/>
</file>

<file path=xl/ctrlProps/ctrlProp207.xml><?xml version="1.0" encoding="utf-8"?>
<formControlPr xmlns="http://schemas.microsoft.com/office/spreadsheetml/2009/9/main" objectType="Scroll" dx="16" fmlaLink="$F$17" horiz="1" inc="10" max="5000" page="10" val="730"/>
</file>

<file path=xl/ctrlProps/ctrlProp208.xml><?xml version="1.0" encoding="utf-8"?>
<formControlPr xmlns="http://schemas.microsoft.com/office/spreadsheetml/2009/9/main" objectType="Scroll" dx="16" fmlaLink="$D$2" horiz="1" max="100" page="10" val="50"/>
</file>

<file path=xl/ctrlProps/ctrlProp209.xml><?xml version="1.0" encoding="utf-8"?>
<formControlPr xmlns="http://schemas.microsoft.com/office/spreadsheetml/2009/9/main" objectType="Scroll" dx="16" fmlaLink="$D$3" horiz="1" max="2000" page="10" val="1200"/>
</file>

<file path=xl/ctrlProps/ctrlProp210.xml><?xml version="1.0" encoding="utf-8"?>
<formControlPr xmlns="http://schemas.microsoft.com/office/spreadsheetml/2009/9/main" objectType="Scroll" dx="16" fmlaLink="$C$8" horiz="1" max="100" page="10" val="100"/>
</file>

<file path=xl/ctrlProps/ctrlProp211.xml><?xml version="1.0" encoding="utf-8"?>
<formControlPr xmlns="http://schemas.microsoft.com/office/spreadsheetml/2009/9/main" objectType="Scroll" dx="16" fmlaLink="$C$7" horiz="1" max="100" page="10" val="80"/>
</file>

<file path=xl/ctrlProps/ctrlProp212.xml><?xml version="1.0" encoding="utf-8"?>
<formControlPr xmlns="http://schemas.microsoft.com/office/spreadsheetml/2009/9/main" objectType="Scroll" dx="16" fmlaLink="$D$2" horiz="1" max="100" page="10" val="50"/>
</file>

<file path=xl/ctrlProps/ctrlProp213.xml><?xml version="1.0" encoding="utf-8"?>
<formControlPr xmlns="http://schemas.microsoft.com/office/spreadsheetml/2009/9/main" objectType="Scroll" dx="16" fmlaLink="$D$3" horiz="1" max="2000" page="10" val="1200"/>
</file>

<file path=xl/ctrlProps/ctrlProp214.xml><?xml version="1.0" encoding="utf-8"?>
<formControlPr xmlns="http://schemas.microsoft.com/office/spreadsheetml/2009/9/main" objectType="Scroll" dx="16" fmlaLink="$C$8" horiz="1" max="100" page="10" val="100"/>
</file>

<file path=xl/ctrlProps/ctrlProp215.xml><?xml version="1.0" encoding="utf-8"?>
<formControlPr xmlns="http://schemas.microsoft.com/office/spreadsheetml/2009/9/main" objectType="Scroll" dx="16" fmlaLink="$C$7" horiz="1" max="100" page="10" val="80"/>
</file>

<file path=xl/ctrlProps/ctrlProp216.xml><?xml version="1.0" encoding="utf-8"?>
<formControlPr xmlns="http://schemas.microsoft.com/office/spreadsheetml/2009/9/main" objectType="Scroll" dx="16" fmlaLink="$B$3" horiz="1" max="1000" page="10" val="14"/>
</file>

<file path=xl/ctrlProps/ctrlProp217.xml><?xml version="1.0" encoding="utf-8"?>
<formControlPr xmlns="http://schemas.microsoft.com/office/spreadsheetml/2009/9/main" objectType="Scroll" dx="16" fmlaLink="$D$3" horiz="1" max="1000" page="10" val="10"/>
</file>

<file path=xl/ctrlProps/ctrlProp218.xml><?xml version="1.0" encoding="utf-8"?>
<formControlPr xmlns="http://schemas.microsoft.com/office/spreadsheetml/2009/9/main" objectType="Scroll" dx="16" fmlaLink="$E$3" horiz="1" max="1000" page="10" val="100"/>
</file>

<file path=xl/ctrlProps/ctrlProp219.xml><?xml version="1.0" encoding="utf-8"?>
<formControlPr xmlns="http://schemas.microsoft.com/office/spreadsheetml/2009/9/main" objectType="Scroll" dx="16" fmlaLink="$C$3" horiz="1" max="1000" page="10" val="200"/>
</file>

<file path=xl/ctrlProps/ctrlProp220.xml><?xml version="1.0" encoding="utf-8"?>
<formControlPr xmlns="http://schemas.microsoft.com/office/spreadsheetml/2009/9/main" objectType="Scroll" dx="16" fmlaLink="$D$32" horiz="1" max="500" page="10" val="100"/>
</file>

<file path=xl/ctrlProps/ctrlProp221.xml><?xml version="1.0" encoding="utf-8"?>
<formControlPr xmlns="http://schemas.microsoft.com/office/spreadsheetml/2009/9/main" objectType="Scroll" dx="16" fmlaLink="$E$32" horiz="1" max="1000" page="10" val="100"/>
</file>

<file path=xl/ctrlProps/ctrlProp222.xml><?xml version="1.0" encoding="utf-8"?>
<formControlPr xmlns="http://schemas.microsoft.com/office/spreadsheetml/2009/9/main" objectType="Scroll" dx="16" fmlaLink="$F$32" horiz="1" max="500" page="10" val="0"/>
</file>

<file path=xl/ctrlProps/ctrlProp223.xml><?xml version="1.0" encoding="utf-8"?>
<formControlPr xmlns="http://schemas.microsoft.com/office/spreadsheetml/2009/9/main" objectType="Scroll" dx="16" fmlaLink="$G$32" horiz="1" max="500" page="10" val="0"/>
</file>

<file path=xl/ctrlProps/ctrlProp224.xml><?xml version="1.0" encoding="utf-8"?>
<formControlPr xmlns="http://schemas.microsoft.com/office/spreadsheetml/2009/9/main" objectType="Scroll" dx="16" fmlaLink="$D$46" horiz="1" max="500" page="10" val="10"/>
</file>

<file path=xl/ctrlProps/ctrlProp225.xml><?xml version="1.0" encoding="utf-8"?>
<formControlPr xmlns="http://schemas.microsoft.com/office/spreadsheetml/2009/9/main" objectType="Scroll" dx="16" fmlaLink="$E$46" horiz="1" max="1000" page="10" val="200"/>
</file>

<file path=xl/ctrlProps/ctrlProp226.xml><?xml version="1.0" encoding="utf-8"?>
<formControlPr xmlns="http://schemas.microsoft.com/office/spreadsheetml/2009/9/main" objectType="Scroll" dx="16" fmlaLink="$F$46" horiz="1" max="500" page="10" val="0"/>
</file>

<file path=xl/ctrlProps/ctrlProp227.xml><?xml version="1.0" encoding="utf-8"?>
<formControlPr xmlns="http://schemas.microsoft.com/office/spreadsheetml/2009/9/main" objectType="Scroll" dx="16" fmlaLink="$G$46" horiz="1" max="2000" page="10" val="1700"/>
</file>

<file path=xl/ctrlProps/ctrlProp228.xml><?xml version="1.0" encoding="utf-8"?>
<formControlPr xmlns="http://schemas.microsoft.com/office/spreadsheetml/2009/9/main" objectType="Scroll" dx="16" fmlaLink="$I$45" horiz="1" max="100" page="10"/>
</file>

<file path=xl/ctrlProps/ctrlProp229.xml><?xml version="1.0" encoding="utf-8"?>
<formControlPr xmlns="http://schemas.microsoft.com/office/spreadsheetml/2009/9/main" objectType="Scroll" dx="16" fmlaLink="$J$45" horiz="1" max="100" page="10" val="100"/>
</file>

<file path=xl/ctrlProps/ctrlProp230.xml><?xml version="1.0" encoding="utf-8"?>
<formControlPr xmlns="http://schemas.microsoft.com/office/spreadsheetml/2009/9/main" objectType="Scroll" dx="16" fmlaLink="$C$60" horiz="1" max="100" page="10"/>
</file>

<file path=xl/ctrlProps/ctrlProp231.xml><?xml version="1.0" encoding="utf-8"?>
<formControlPr xmlns="http://schemas.microsoft.com/office/spreadsheetml/2009/9/main" objectType="Scroll" dx="16" fmlaLink="$D$60" horiz="1" max="100" page="10" val="100"/>
</file>

<file path=xl/ctrlProps/ctrlProp232.xml><?xml version="1.0" encoding="utf-8"?>
<formControlPr xmlns="http://schemas.microsoft.com/office/spreadsheetml/2009/9/main" objectType="Scroll" dx="16" fmlaLink="$E$60" horiz="1" max="100" page="10"/>
</file>

<file path=xl/ctrlProps/ctrlProp233.xml><?xml version="1.0" encoding="utf-8"?>
<formControlPr xmlns="http://schemas.microsoft.com/office/spreadsheetml/2009/9/main" objectType="Scroll" dx="16" fmlaLink="$F$60" horiz="1" max="100" page="10" val="50"/>
</file>

<file path=xl/ctrlProps/ctrlProp234.xml><?xml version="1.0" encoding="utf-8"?>
<formControlPr xmlns="http://schemas.microsoft.com/office/spreadsheetml/2009/9/main" objectType="Scroll" dx="16" fmlaLink="$D$2" horiz="1" max="100" page="10" val="50"/>
</file>

<file path=xl/ctrlProps/ctrlProp235.xml><?xml version="1.0" encoding="utf-8"?>
<formControlPr xmlns="http://schemas.microsoft.com/office/spreadsheetml/2009/9/main" objectType="Scroll" dx="16" fmlaLink="$D$3" horiz="1" max="2000" page="10" val="1200"/>
</file>

<file path=xl/ctrlProps/ctrlProp236.xml><?xml version="1.0" encoding="utf-8"?>
<formControlPr xmlns="http://schemas.microsoft.com/office/spreadsheetml/2009/9/main" objectType="Scroll" dx="16" fmlaLink="$C$8" horiz="1" max="100" page="10" val="100"/>
</file>

<file path=xl/ctrlProps/ctrlProp237.xml><?xml version="1.0" encoding="utf-8"?>
<formControlPr xmlns="http://schemas.microsoft.com/office/spreadsheetml/2009/9/main" objectType="Scroll" dx="16" fmlaLink="$C$23" horiz="1" max="100" page="10" val="50"/>
</file>

<file path=xl/ctrlProps/ctrlProp238.xml><?xml version="1.0" encoding="utf-8"?>
<formControlPr xmlns="http://schemas.microsoft.com/office/spreadsheetml/2009/9/main" objectType="Scroll" dx="16" fmlaLink="$C$37" horiz="1" max="100" page="10" val="50"/>
</file>

<file path=xl/ctrlProps/ctrlProp239.xml><?xml version="1.0" encoding="utf-8"?>
<formControlPr xmlns="http://schemas.microsoft.com/office/spreadsheetml/2009/9/main" objectType="Scroll" dx="16" fmlaLink="$C$51" horiz="1" max="100" page="10" val="50"/>
</file>

<file path=xl/ctrlProps/ctrlProp240.xml><?xml version="1.0" encoding="utf-8"?>
<formControlPr xmlns="http://schemas.microsoft.com/office/spreadsheetml/2009/9/main" objectType="Scroll" dx="16" fmlaLink="$C$65" horiz="1" max="100" page="10" val="50"/>
</file>

<file path=xl/ctrlProps/ctrlProp241.xml><?xml version="1.0" encoding="utf-8"?>
<formControlPr xmlns="http://schemas.microsoft.com/office/spreadsheetml/2009/9/main" objectType="Scroll" dx="16" fmlaLink="$C$79" horiz="1" max="100" page="10" val="50"/>
</file>

<file path=xl/ctrlProps/ctrlProp242.xml><?xml version="1.0" encoding="utf-8"?>
<formControlPr xmlns="http://schemas.microsoft.com/office/spreadsheetml/2009/9/main" objectType="Scroll" dx="16" fmlaLink="$C$93" horiz="1" max="100" page="10" val="40"/>
</file>

<file path=xl/ctrlProps/ctrlProp243.xml><?xml version="1.0" encoding="utf-8"?>
<formControlPr xmlns="http://schemas.microsoft.com/office/spreadsheetml/2009/9/main" objectType="Scroll" dx="16" fmlaLink="$C$94" horiz="1" max="100" page="10" val="50"/>
</file>

<file path=xl/ctrlProps/ctrlProp244.xml><?xml version="1.0" encoding="utf-8"?>
<formControlPr xmlns="http://schemas.microsoft.com/office/spreadsheetml/2009/9/main" objectType="Scroll" dx="16" fmlaLink="$C$95" horiz="1" max="100" page="10" val="100"/>
</file>

<file path=xl/ctrlProps/ctrlProp245.xml><?xml version="1.0" encoding="utf-8"?>
<formControlPr xmlns="http://schemas.microsoft.com/office/spreadsheetml/2009/9/main" objectType="Scroll" dx="16" fmlaLink="$C$96" horiz="1" max="100" page="10"/>
</file>

<file path=xl/ctrlProps/ctrlProp246.xml><?xml version="1.0" encoding="utf-8"?>
<formControlPr xmlns="http://schemas.microsoft.com/office/spreadsheetml/2009/9/main" objectType="Scroll" dx="16" fmlaLink="$C$98" horiz="1" max="100" page="10" val="50"/>
</file>

<file path=xl/ctrlProps/ctrlProp247.xml><?xml version="1.0" encoding="utf-8"?>
<formControlPr xmlns="http://schemas.microsoft.com/office/spreadsheetml/2009/9/main" objectType="Scroll" dx="16" fmlaLink="$C$97" horiz="1" max="100" page="10" val="50"/>
</file>

<file path=xl/ctrlProps/ctrlProp248.xml><?xml version="1.0" encoding="utf-8"?>
<formControlPr xmlns="http://schemas.microsoft.com/office/spreadsheetml/2009/9/main" objectType="Scroll" dx="16" fmlaLink="$C$99" horiz="1" max="100" page="10" val="12"/>
</file>

<file path=xl/ctrlProps/ctrlProp249.xml><?xml version="1.0" encoding="utf-8"?>
<formControlPr xmlns="http://schemas.microsoft.com/office/spreadsheetml/2009/9/main" objectType="Scroll" dx="16" fmlaLink="$C$7" horiz="1" max="100" page="10" val="80"/>
</file>

<file path=xl/ctrlProps/ctrlProp250.xml><?xml version="1.0" encoding="utf-8"?>
<formControlPr xmlns="http://schemas.microsoft.com/office/spreadsheetml/2009/9/main" objectType="Scroll" dx="16" fmlaLink="$C$13" horiz="1" max="100" page="10" val="5"/>
</file>

<file path=xl/ctrlProps/ctrlProp251.xml><?xml version="1.0" encoding="utf-8"?>
<formControlPr xmlns="http://schemas.microsoft.com/office/spreadsheetml/2009/9/main" objectType="Scroll" dx="16" fmlaLink="$D$13" horiz="1" max="100" page="10" val="10"/>
</file>

<file path=xl/ctrlProps/ctrlProp252.xml><?xml version="1.0" encoding="utf-8"?>
<formControlPr xmlns="http://schemas.microsoft.com/office/spreadsheetml/2009/9/main" objectType="Scroll" dx="16" fmlaLink="$E$13" horiz="1" max="100" page="10" val="70"/>
</file>

<file path=xl/ctrlProps/ctrlProp253.xml><?xml version="1.0" encoding="utf-8"?>
<formControlPr xmlns="http://schemas.microsoft.com/office/spreadsheetml/2009/9/main" objectType="Scroll" dx="16" horiz="1" max="100" page="10" val="0"/>
</file>

<file path=xl/ctrlProps/ctrlProp254.xml><?xml version="1.0" encoding="utf-8"?>
<formControlPr xmlns="http://schemas.microsoft.com/office/spreadsheetml/2009/9/main" objectType="Scroll" dx="16" fmlaLink="$D$18" horiz="1" max="100" page="10" val="7"/>
</file>

<file path=xl/ctrlProps/ctrlProp255.xml><?xml version="1.0" encoding="utf-8"?>
<formControlPr xmlns="http://schemas.microsoft.com/office/spreadsheetml/2009/9/main" objectType="Scroll" dx="16" fmlaLink="$C$18" horiz="1" max="100" page="10" val="8"/>
</file>

<file path=xl/ctrlProps/ctrlProp256.xml><?xml version="1.0" encoding="utf-8"?>
<formControlPr xmlns="http://schemas.microsoft.com/office/spreadsheetml/2009/9/main" objectType="Scroll" dx="16" fmlaLink="$E$18" horiz="1" max="100" page="10" val="60"/>
</file>

<file path=xl/ctrlProps/ctrlProp257.xml><?xml version="1.0" encoding="utf-8"?>
<formControlPr xmlns="http://schemas.microsoft.com/office/spreadsheetml/2009/9/main" objectType="Scroll" dx="16" fmlaLink="$F$18" horiz="1" max="1000" page="10" val="700"/>
</file>

<file path=xl/ctrlProps/ctrlProp258.xml><?xml version="1.0" encoding="utf-8"?>
<formControlPr xmlns="http://schemas.microsoft.com/office/spreadsheetml/2009/9/main" objectType="Scroll" dx="16" fmlaLink="$D$23" horiz="1" max="100" page="10" val="6"/>
</file>

<file path=xl/ctrlProps/ctrlProp259.xml><?xml version="1.0" encoding="utf-8"?>
<formControlPr xmlns="http://schemas.microsoft.com/office/spreadsheetml/2009/9/main" objectType="Scroll" dx="16" fmlaLink="$C$23" horiz="1" max="100" page="10" val="3"/>
</file>

<file path=xl/ctrlProps/ctrlProp260.xml><?xml version="1.0" encoding="utf-8"?>
<formControlPr xmlns="http://schemas.microsoft.com/office/spreadsheetml/2009/9/main" objectType="Scroll" dx="16" horiz="1" max="100" page="10" val="0"/>
</file>

<file path=xl/ctrlProps/ctrlProp261.xml><?xml version="1.0" encoding="utf-8"?>
<formControlPr xmlns="http://schemas.microsoft.com/office/spreadsheetml/2009/9/main" objectType="Scroll" dx="16" horiz="1" max="100" page="10" val="0"/>
</file>

<file path=xl/ctrlProps/ctrlProp262.xml><?xml version="1.0" encoding="utf-8"?>
<formControlPr xmlns="http://schemas.microsoft.com/office/spreadsheetml/2009/9/main" objectType="Scroll" dx="16" horiz="1" max="100" page="10" val="0"/>
</file>

<file path=xl/ctrlProps/ctrlProp263.xml><?xml version="1.0" encoding="utf-8"?>
<formControlPr xmlns="http://schemas.microsoft.com/office/spreadsheetml/2009/9/main" objectType="Scroll" dx="16" horiz="1" max="100" page="10" val="0"/>
</file>

<file path=xl/ctrlProps/ctrlProp264.xml><?xml version="1.0" encoding="utf-8"?>
<formControlPr xmlns="http://schemas.microsoft.com/office/spreadsheetml/2009/9/main" objectType="Scroll" dx="16" horiz="1" max="100" page="10" val="0"/>
</file>

<file path=xl/ctrlProps/ctrlProp265.xml><?xml version="1.0" encoding="utf-8"?>
<formControlPr xmlns="http://schemas.microsoft.com/office/spreadsheetml/2009/9/main" objectType="Scroll" dx="16" horiz="1" max="1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2</xdr:col>
          <xdr:colOff>0</xdr:colOff>
          <xdr:row>233</xdr:row>
          <xdr:rowOff>0</xdr:rowOff>
        </xdr:to>
        <xdr:sp macro="" textlink="">
          <xdr:nvSpPr>
            <xdr:cNvPr id="7311" name="Scroll Bar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0</xdr:colOff>
          <xdr:row>235</xdr:row>
          <xdr:rowOff>0</xdr:rowOff>
        </xdr:to>
        <xdr:sp macro="" textlink="">
          <xdr:nvSpPr>
            <xdr:cNvPr id="7312" name="Scroll Bar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229</xdr:row>
      <xdr:rowOff>0</xdr:rowOff>
    </xdr:from>
    <xdr:to>
      <xdr:col>9</xdr:col>
      <xdr:colOff>0</xdr:colOff>
      <xdr:row>243</xdr:row>
      <xdr:rowOff>0</xdr:rowOff>
    </xdr:to>
    <xdr:graphicFrame macro="">
      <xdr:nvGraphicFramePr>
        <xdr:cNvPr id="152" name="Chart 1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 macro="" textlink="">
          <xdr:nvSpPr>
            <xdr:cNvPr id="7313" name="Scroll Bar 145" hidden="1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34" name="Scroll Bar 166" hidden="1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9</xdr:col>
          <xdr:colOff>0</xdr:colOff>
          <xdr:row>59</xdr:row>
          <xdr:rowOff>0</xdr:rowOff>
        </xdr:to>
        <xdr:sp macro="" textlink="">
          <xdr:nvSpPr>
            <xdr:cNvPr id="7335" name="Scroll Bar 167" hidden="1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9</xdr:col>
          <xdr:colOff>0</xdr:colOff>
          <xdr:row>61</xdr:row>
          <xdr:rowOff>0</xdr:rowOff>
        </xdr:to>
        <xdr:sp macro="" textlink="">
          <xdr:nvSpPr>
            <xdr:cNvPr id="7336" name="Scroll Bar 168" hidden="1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9</xdr:col>
          <xdr:colOff>0</xdr:colOff>
          <xdr:row>80</xdr:row>
          <xdr:rowOff>0</xdr:rowOff>
        </xdr:to>
        <xdr:sp macro="" textlink="">
          <xdr:nvSpPr>
            <xdr:cNvPr id="7337" name="Scroll Bar 169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9</xdr:col>
          <xdr:colOff>0</xdr:colOff>
          <xdr:row>82</xdr:row>
          <xdr:rowOff>0</xdr:rowOff>
        </xdr:to>
        <xdr:sp macro="" textlink="">
          <xdr:nvSpPr>
            <xdr:cNvPr id="7338" name="Scroll Bar 170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9</xdr:col>
          <xdr:colOff>0</xdr:colOff>
          <xdr:row>101</xdr:row>
          <xdr:rowOff>0</xdr:rowOff>
        </xdr:to>
        <xdr:sp macro="" textlink="">
          <xdr:nvSpPr>
            <xdr:cNvPr id="7339" name="Scroll Bar 171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9</xdr:col>
          <xdr:colOff>0</xdr:colOff>
          <xdr:row>103</xdr:row>
          <xdr:rowOff>0</xdr:rowOff>
        </xdr:to>
        <xdr:sp macro="" textlink="">
          <xdr:nvSpPr>
            <xdr:cNvPr id="7340" name="Scroll Bar 172" hidden="1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9</xdr:col>
          <xdr:colOff>0</xdr:colOff>
          <xdr:row>122</xdr:row>
          <xdr:rowOff>0</xdr:rowOff>
        </xdr:to>
        <xdr:sp macro="" textlink="">
          <xdr:nvSpPr>
            <xdr:cNvPr id="7341" name="Scroll Bar 173" hidden="1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9</xdr:col>
          <xdr:colOff>0</xdr:colOff>
          <xdr:row>124</xdr:row>
          <xdr:rowOff>0</xdr:rowOff>
        </xdr:to>
        <xdr:sp macro="" textlink="">
          <xdr:nvSpPr>
            <xdr:cNvPr id="7342" name="Scroll Bar 174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9</xdr:col>
          <xdr:colOff>0</xdr:colOff>
          <xdr:row>143</xdr:row>
          <xdr:rowOff>0</xdr:rowOff>
        </xdr:to>
        <xdr:sp macro="" textlink="">
          <xdr:nvSpPr>
            <xdr:cNvPr id="7343" name="Scroll Bar 175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9</xdr:col>
          <xdr:colOff>0</xdr:colOff>
          <xdr:row>145</xdr:row>
          <xdr:rowOff>0</xdr:rowOff>
        </xdr:to>
        <xdr:sp macro="" textlink="">
          <xdr:nvSpPr>
            <xdr:cNvPr id="7344" name="Scroll Bar 176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9</xdr:col>
          <xdr:colOff>0</xdr:colOff>
          <xdr:row>164</xdr:row>
          <xdr:rowOff>0</xdr:rowOff>
        </xdr:to>
        <xdr:sp macro="" textlink="">
          <xdr:nvSpPr>
            <xdr:cNvPr id="7345" name="Scroll Bar 177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9</xdr:col>
          <xdr:colOff>0</xdr:colOff>
          <xdr:row>166</xdr:row>
          <xdr:rowOff>0</xdr:rowOff>
        </xdr:to>
        <xdr:sp macro="" textlink="">
          <xdr:nvSpPr>
            <xdr:cNvPr id="7346" name="Scroll Bar 178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18</xdr:col>
      <xdr:colOff>0</xdr:colOff>
      <xdr:row>35</xdr:row>
      <xdr:rowOff>0</xdr:rowOff>
    </xdr:from>
    <xdr:to>
      <xdr:col>24</xdr:col>
      <xdr:colOff>0</xdr:colOff>
      <xdr:row>53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24</xdr:col>
      <xdr:colOff>0</xdr:colOff>
      <xdr:row>74</xdr:row>
      <xdr:rowOff>0</xdr:rowOff>
    </xdr:to>
    <xdr:graphicFrame macro="">
      <xdr:nvGraphicFramePr>
        <xdr:cNvPr id="167" name="Chart 1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77</xdr:row>
      <xdr:rowOff>0</xdr:rowOff>
    </xdr:from>
    <xdr:to>
      <xdr:col>24</xdr:col>
      <xdr:colOff>0</xdr:colOff>
      <xdr:row>95</xdr:row>
      <xdr:rowOff>0</xdr:rowOff>
    </xdr:to>
    <xdr:graphicFrame macro="">
      <xdr:nvGraphicFramePr>
        <xdr:cNvPr id="168" name="Chart 1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98</xdr:row>
      <xdr:rowOff>0</xdr:rowOff>
    </xdr:from>
    <xdr:to>
      <xdr:col>24</xdr:col>
      <xdr:colOff>0</xdr:colOff>
      <xdr:row>116</xdr:row>
      <xdr:rowOff>0</xdr:rowOff>
    </xdr:to>
    <xdr:graphicFrame macro="">
      <xdr:nvGraphicFramePr>
        <xdr:cNvPr id="169" name="Chart 1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0</xdr:colOff>
      <xdr:row>119</xdr:row>
      <xdr:rowOff>0</xdr:rowOff>
    </xdr:from>
    <xdr:to>
      <xdr:col>24</xdr:col>
      <xdr:colOff>0</xdr:colOff>
      <xdr:row>137</xdr:row>
      <xdr:rowOff>0</xdr:rowOff>
    </xdr:to>
    <xdr:graphicFrame macro="">
      <xdr:nvGraphicFramePr>
        <xdr:cNvPr id="170" name="Chart 1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0</xdr:colOff>
          <xdr:row>30</xdr:row>
          <xdr:rowOff>0</xdr:rowOff>
        </xdr:to>
        <xdr:sp macro="" textlink="">
          <xdr:nvSpPr>
            <xdr:cNvPr id="8199" name="Scroll Bar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0</xdr:colOff>
          <xdr:row>29</xdr:row>
          <xdr:rowOff>0</xdr:rowOff>
        </xdr:to>
        <xdr:sp macro="" textlink="">
          <xdr:nvSpPr>
            <xdr:cNvPr id="22555" name="Scroll Bar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0</xdr:colOff>
          <xdr:row>29</xdr:row>
          <xdr:rowOff>0</xdr:rowOff>
        </xdr:to>
        <xdr:sp macro="" textlink="">
          <xdr:nvSpPr>
            <xdr:cNvPr id="22558" name="Scroll Bar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0</xdr:colOff>
          <xdr:row>29</xdr:row>
          <xdr:rowOff>0</xdr:rowOff>
        </xdr:to>
        <xdr:sp macro="" textlink="">
          <xdr:nvSpPr>
            <xdr:cNvPr id="22559" name="Scroll Bar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0</xdr:colOff>
          <xdr:row>29</xdr:row>
          <xdr:rowOff>0</xdr:rowOff>
        </xdr:to>
        <xdr:sp macro="" textlink="">
          <xdr:nvSpPr>
            <xdr:cNvPr id="22560" name="Scroll Bar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0</xdr:rowOff>
        </xdr:from>
        <xdr:to>
          <xdr:col>10</xdr:col>
          <xdr:colOff>0</xdr:colOff>
          <xdr:row>29</xdr:row>
          <xdr:rowOff>0</xdr:rowOff>
        </xdr:to>
        <xdr:sp macro="" textlink="">
          <xdr:nvSpPr>
            <xdr:cNvPr id="22561" name="Scroll Bar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22562" name="Scroll Bar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0</xdr:colOff>
          <xdr:row>29</xdr:row>
          <xdr:rowOff>0</xdr:rowOff>
        </xdr:to>
        <xdr:sp macro="" textlink="">
          <xdr:nvSpPr>
            <xdr:cNvPr id="22563" name="Scroll Bar 35" hidden="1">
              <a:extLst>
                <a:ext uri="{63B3BB69-23CF-44E3-9099-C40C66FF867C}">
                  <a14:compatExt spid="_x0000_s22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0</xdr:colOff>
          <xdr:row>55</xdr:row>
          <xdr:rowOff>0</xdr:rowOff>
        </xdr:to>
        <xdr:sp macro="" textlink="">
          <xdr:nvSpPr>
            <xdr:cNvPr id="47105" name="Scroll Bar 1" hidden="1">
              <a:extLst>
                <a:ext uri="{63B3BB69-23CF-44E3-9099-C40C66FF867C}">
                  <a14:compatExt spid="_x0000_s47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9</xdr:col>
          <xdr:colOff>0</xdr:colOff>
          <xdr:row>67</xdr:row>
          <xdr:rowOff>0</xdr:rowOff>
        </xdr:to>
        <xdr:sp macro="" textlink="">
          <xdr:nvSpPr>
            <xdr:cNvPr id="47106" name="Scroll Bar 2" hidden="1">
              <a:extLst>
                <a:ext uri="{63B3BB69-23CF-44E3-9099-C40C66FF867C}">
                  <a14:compatExt spid="_x0000_s47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0</xdr:rowOff>
        </xdr:from>
        <xdr:to>
          <xdr:col>9</xdr:col>
          <xdr:colOff>0</xdr:colOff>
          <xdr:row>102</xdr:row>
          <xdr:rowOff>0</xdr:rowOff>
        </xdr:to>
        <xdr:sp macro="" textlink="">
          <xdr:nvSpPr>
            <xdr:cNvPr id="47107" name="Scroll Bar 3" hidden="1">
              <a:extLst>
                <a:ext uri="{63B3BB69-23CF-44E3-9099-C40C66FF867C}">
                  <a14:compatExt spid="_x0000_s47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495300</xdr:colOff>
          <xdr:row>5</xdr:row>
          <xdr:rowOff>0</xdr:rowOff>
        </xdr:to>
        <xdr:sp macro="" textlink="">
          <xdr:nvSpPr>
            <xdr:cNvPr id="38913" name="Scroll Bar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495300</xdr:colOff>
          <xdr:row>5</xdr:row>
          <xdr:rowOff>0</xdr:rowOff>
        </xdr:to>
        <xdr:sp macro="" textlink="">
          <xdr:nvSpPr>
            <xdr:cNvPr id="38914" name="Scroll Bar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495300</xdr:colOff>
          <xdr:row>6</xdr:row>
          <xdr:rowOff>0</xdr:rowOff>
        </xdr:to>
        <xdr:sp macro="" textlink="">
          <xdr:nvSpPr>
            <xdr:cNvPr id="38915" name="Scroll Bar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495300</xdr:colOff>
          <xdr:row>7</xdr:row>
          <xdr:rowOff>0</xdr:rowOff>
        </xdr:to>
        <xdr:sp macro="" textlink="">
          <xdr:nvSpPr>
            <xdr:cNvPr id="38916" name="Scroll Bar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495300</xdr:colOff>
          <xdr:row>8</xdr:row>
          <xdr:rowOff>0</xdr:rowOff>
        </xdr:to>
        <xdr:sp macro="" textlink="">
          <xdr:nvSpPr>
            <xdr:cNvPr id="38917" name="Scroll Bar 5" hidden="1">
              <a:extLst>
                <a:ext uri="{63B3BB69-23CF-44E3-9099-C40C66FF867C}">
                  <a14:compatExt spid="_x0000_s38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495300</xdr:colOff>
          <xdr:row>9</xdr:row>
          <xdr:rowOff>0</xdr:rowOff>
        </xdr:to>
        <xdr:sp macro="" textlink="">
          <xdr:nvSpPr>
            <xdr:cNvPr id="38918" name="Scroll Bar 6" hidden="1">
              <a:extLst>
                <a:ext uri="{63B3BB69-23CF-44E3-9099-C40C66FF867C}">
                  <a14:compatExt spid="_x0000_s38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495300</xdr:colOff>
          <xdr:row>10</xdr:row>
          <xdr:rowOff>0</xdr:rowOff>
        </xdr:to>
        <xdr:sp macro="" textlink="">
          <xdr:nvSpPr>
            <xdr:cNvPr id="38919" name="Scroll Bar 7" hidden="1">
              <a:extLst>
                <a:ext uri="{63B3BB69-23CF-44E3-9099-C40C66FF867C}">
                  <a14:compatExt spid="_x0000_s38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495300</xdr:colOff>
          <xdr:row>11</xdr:row>
          <xdr:rowOff>0</xdr:rowOff>
        </xdr:to>
        <xdr:sp macro="" textlink="">
          <xdr:nvSpPr>
            <xdr:cNvPr id="38920" name="Scroll Bar 8" hidden="1">
              <a:extLst>
                <a:ext uri="{63B3BB69-23CF-44E3-9099-C40C66FF867C}">
                  <a14:compatExt spid="_x0000_s38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495300</xdr:colOff>
          <xdr:row>12</xdr:row>
          <xdr:rowOff>0</xdr:rowOff>
        </xdr:to>
        <xdr:sp macro="" textlink="">
          <xdr:nvSpPr>
            <xdr:cNvPr id="38921" name="Scroll Bar 9" hidden="1">
              <a:extLst>
                <a:ext uri="{63B3BB69-23CF-44E3-9099-C40C66FF867C}">
                  <a14:compatExt spid="_x0000_s38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495300</xdr:colOff>
          <xdr:row>13</xdr:row>
          <xdr:rowOff>0</xdr:rowOff>
        </xdr:to>
        <xdr:sp macro="" textlink="">
          <xdr:nvSpPr>
            <xdr:cNvPr id="38922" name="Scroll Bar 10" hidden="1">
              <a:extLst>
                <a:ext uri="{63B3BB69-23CF-44E3-9099-C40C66FF867C}">
                  <a14:compatExt spid="_x0000_s38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495300</xdr:colOff>
          <xdr:row>6</xdr:row>
          <xdr:rowOff>0</xdr:rowOff>
        </xdr:to>
        <xdr:sp macro="" textlink="">
          <xdr:nvSpPr>
            <xdr:cNvPr id="38923" name="Scroll Bar 11" hidden="1">
              <a:extLst>
                <a:ext uri="{63B3BB69-23CF-44E3-9099-C40C66FF867C}">
                  <a14:compatExt spid="_x0000_s38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495300</xdr:colOff>
          <xdr:row>7</xdr:row>
          <xdr:rowOff>0</xdr:rowOff>
        </xdr:to>
        <xdr:sp macro="" textlink="">
          <xdr:nvSpPr>
            <xdr:cNvPr id="38924" name="Scroll Bar 12" hidden="1">
              <a:extLst>
                <a:ext uri="{63B3BB69-23CF-44E3-9099-C40C66FF867C}">
                  <a14:compatExt spid="_x0000_s38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495300</xdr:colOff>
          <xdr:row>8</xdr:row>
          <xdr:rowOff>0</xdr:rowOff>
        </xdr:to>
        <xdr:sp macro="" textlink="">
          <xdr:nvSpPr>
            <xdr:cNvPr id="38925" name="Scroll Bar 13" hidden="1">
              <a:extLst>
                <a:ext uri="{63B3BB69-23CF-44E3-9099-C40C66FF867C}">
                  <a14:compatExt spid="_x0000_s38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495300</xdr:colOff>
          <xdr:row>9</xdr:row>
          <xdr:rowOff>0</xdr:rowOff>
        </xdr:to>
        <xdr:sp macro="" textlink="">
          <xdr:nvSpPr>
            <xdr:cNvPr id="38926" name="Scroll Bar 14" hidden="1">
              <a:extLst>
                <a:ext uri="{63B3BB69-23CF-44E3-9099-C40C66FF867C}">
                  <a14:compatExt spid="_x0000_s38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495300</xdr:colOff>
          <xdr:row>10</xdr:row>
          <xdr:rowOff>0</xdr:rowOff>
        </xdr:to>
        <xdr:sp macro="" textlink="">
          <xdr:nvSpPr>
            <xdr:cNvPr id="38927" name="Scroll Bar 15" hidden="1">
              <a:extLst>
                <a:ext uri="{63B3BB69-23CF-44E3-9099-C40C66FF867C}">
                  <a14:compatExt spid="_x0000_s38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495300</xdr:colOff>
          <xdr:row>11</xdr:row>
          <xdr:rowOff>0</xdr:rowOff>
        </xdr:to>
        <xdr:sp macro="" textlink="">
          <xdr:nvSpPr>
            <xdr:cNvPr id="38928" name="Scroll Bar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495300</xdr:colOff>
          <xdr:row>12</xdr:row>
          <xdr:rowOff>0</xdr:rowOff>
        </xdr:to>
        <xdr:sp macro="" textlink="">
          <xdr:nvSpPr>
            <xdr:cNvPr id="38929" name="Scroll Bar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495300</xdr:colOff>
          <xdr:row>13</xdr:row>
          <xdr:rowOff>0</xdr:rowOff>
        </xdr:to>
        <xdr:sp macro="" textlink="">
          <xdr:nvSpPr>
            <xdr:cNvPr id="38930" name="Scroll Bar 18" hidden="1">
              <a:extLst>
                <a:ext uri="{63B3BB69-23CF-44E3-9099-C40C66FF867C}">
                  <a14:compatExt spid="_x0000_s38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495300</xdr:colOff>
          <xdr:row>14</xdr:row>
          <xdr:rowOff>0</xdr:rowOff>
        </xdr:to>
        <xdr:sp macro="" textlink="">
          <xdr:nvSpPr>
            <xdr:cNvPr id="38931" name="Scroll Bar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495300</xdr:colOff>
          <xdr:row>14</xdr:row>
          <xdr:rowOff>0</xdr:rowOff>
        </xdr:to>
        <xdr:sp macro="" textlink="">
          <xdr:nvSpPr>
            <xdr:cNvPr id="38932" name="Scroll Bar 20" hidden="1">
              <a:extLst>
                <a:ext uri="{63B3BB69-23CF-44E3-9099-C40C66FF867C}">
                  <a14:compatExt spid="_x0000_s38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495300</xdr:colOff>
          <xdr:row>15</xdr:row>
          <xdr:rowOff>0</xdr:rowOff>
        </xdr:to>
        <xdr:sp macro="" textlink="">
          <xdr:nvSpPr>
            <xdr:cNvPr id="38933" name="Scroll Bar 21" hidden="1">
              <a:extLst>
                <a:ext uri="{63B3BB69-23CF-44E3-9099-C40C66FF867C}">
                  <a14:compatExt spid="_x0000_s38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495300</xdr:colOff>
          <xdr:row>16</xdr:row>
          <xdr:rowOff>0</xdr:rowOff>
        </xdr:to>
        <xdr:sp macro="" textlink="">
          <xdr:nvSpPr>
            <xdr:cNvPr id="38934" name="Scroll Bar 22" hidden="1">
              <a:extLst>
                <a:ext uri="{63B3BB69-23CF-44E3-9099-C40C66FF867C}">
                  <a14:compatExt spid="_x0000_s38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495300</xdr:colOff>
          <xdr:row>17</xdr:row>
          <xdr:rowOff>0</xdr:rowOff>
        </xdr:to>
        <xdr:sp macro="" textlink="">
          <xdr:nvSpPr>
            <xdr:cNvPr id="38935" name="Scroll Bar 23" hidden="1">
              <a:extLst>
                <a:ext uri="{63B3BB69-23CF-44E3-9099-C40C66FF867C}">
                  <a14:compatExt spid="_x0000_s38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495300</xdr:colOff>
          <xdr:row>15</xdr:row>
          <xdr:rowOff>0</xdr:rowOff>
        </xdr:to>
        <xdr:sp macro="" textlink="">
          <xdr:nvSpPr>
            <xdr:cNvPr id="38936" name="Scroll Bar 24" hidden="1">
              <a:extLst>
                <a:ext uri="{63B3BB69-23CF-44E3-9099-C40C66FF867C}">
                  <a14:compatExt spid="_x0000_s38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495300</xdr:colOff>
          <xdr:row>16</xdr:row>
          <xdr:rowOff>0</xdr:rowOff>
        </xdr:to>
        <xdr:sp macro="" textlink="">
          <xdr:nvSpPr>
            <xdr:cNvPr id="38937" name="Scroll Bar 25" hidden="1">
              <a:extLst>
                <a:ext uri="{63B3BB69-23CF-44E3-9099-C40C66FF867C}">
                  <a14:compatExt spid="_x0000_s38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495300</xdr:colOff>
          <xdr:row>17</xdr:row>
          <xdr:rowOff>0</xdr:rowOff>
        </xdr:to>
        <xdr:sp macro="" textlink="">
          <xdr:nvSpPr>
            <xdr:cNvPr id="38938" name="Scroll Bar 26" hidden="1">
              <a:extLst>
                <a:ext uri="{63B3BB69-23CF-44E3-9099-C40C66FF867C}">
                  <a14:compatExt spid="_x0000_s38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154305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1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3857625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617220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771525" y="6096000"/>
          <a:ext cx="1543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RETRIEVE CARGO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1028700" y="6667500"/>
          <a:ext cx="1285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67585" name="Scroll Bar 1" hidden="1">
              <a:extLst>
                <a:ext uri="{63B3BB69-23CF-44E3-9099-C40C66FF867C}">
                  <a14:compatExt spid="_x0000_s67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67586" name="Scroll Bar 2" hidden="1">
              <a:extLst>
                <a:ext uri="{63B3BB69-23CF-44E3-9099-C40C66FF867C}">
                  <a14:compatExt spid="_x0000_s67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0</xdr:colOff>
          <xdr:row>14</xdr:row>
          <xdr:rowOff>0</xdr:rowOff>
        </xdr:to>
        <xdr:sp macro="" textlink="">
          <xdr:nvSpPr>
            <xdr:cNvPr id="67587" name="Scroll Bar 3" hidden="1">
              <a:extLst>
                <a:ext uri="{63B3BB69-23CF-44E3-9099-C40C66FF867C}">
                  <a14:compatExt spid="_x0000_s67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0</xdr:colOff>
          <xdr:row>14</xdr:row>
          <xdr:rowOff>0</xdr:rowOff>
        </xdr:to>
        <xdr:sp macro="" textlink="">
          <xdr:nvSpPr>
            <xdr:cNvPr id="67588" name="Scroll Bar 4" hidden="1">
              <a:extLst>
                <a:ext uri="{63B3BB69-23CF-44E3-9099-C40C66FF867C}">
                  <a14:compatExt spid="_x0000_s67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67589" name="Scroll Bar 5" hidden="1">
              <a:extLst>
                <a:ext uri="{63B3BB69-23CF-44E3-9099-C40C66FF867C}">
                  <a14:compatExt spid="_x0000_s67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67590" name="Scroll Bar 6" hidden="1">
              <a:extLst>
                <a:ext uri="{63B3BB69-23CF-44E3-9099-C40C66FF867C}">
                  <a14:compatExt spid="_x0000_s67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67591" name="Scroll Bar 7" hidden="1">
              <a:extLst>
                <a:ext uri="{63B3BB69-23CF-44E3-9099-C40C66FF867C}">
                  <a14:compatExt spid="_x0000_s67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 macro="" textlink="">
          <xdr:nvSpPr>
            <xdr:cNvPr id="67592" name="Scroll Bar 8" hidden="1">
              <a:extLst>
                <a:ext uri="{63B3BB69-23CF-44E3-9099-C40C66FF867C}">
                  <a14:compatExt spid="_x0000_s67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67593" name="Scroll Bar 9" hidden="1">
              <a:extLst>
                <a:ext uri="{63B3BB69-23CF-44E3-9099-C40C66FF867C}">
                  <a14:compatExt spid="_x0000_s67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67594" name="Scroll Bar 10" hidden="1">
              <a:extLst>
                <a:ext uri="{63B3BB69-23CF-44E3-9099-C40C66FF867C}">
                  <a14:compatExt spid="_x0000_s67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0</xdr:colOff>
          <xdr:row>24</xdr:row>
          <xdr:rowOff>0</xdr:rowOff>
        </xdr:to>
        <xdr:sp macro="" textlink="">
          <xdr:nvSpPr>
            <xdr:cNvPr id="67595" name="Scroll Bar 11" hidden="1">
              <a:extLst>
                <a:ext uri="{63B3BB69-23CF-44E3-9099-C40C66FF867C}">
                  <a14:compatExt spid="_x0000_s67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0</xdr:colOff>
          <xdr:row>24</xdr:row>
          <xdr:rowOff>0</xdr:rowOff>
        </xdr:to>
        <xdr:sp macro="" textlink="">
          <xdr:nvSpPr>
            <xdr:cNvPr id="67596" name="Scroll Bar 12" hidden="1">
              <a:extLst>
                <a:ext uri="{63B3BB69-23CF-44E3-9099-C40C66FF867C}">
                  <a14:compatExt spid="_x0000_s67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0</xdr:colOff>
          <xdr:row>29</xdr:row>
          <xdr:rowOff>0</xdr:rowOff>
        </xdr:to>
        <xdr:sp macro="" textlink="">
          <xdr:nvSpPr>
            <xdr:cNvPr id="67597" name="Scroll Bar 13" hidden="1">
              <a:extLst>
                <a:ext uri="{63B3BB69-23CF-44E3-9099-C40C66FF867C}">
                  <a14:compatExt spid="_x0000_s67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29</xdr:row>
          <xdr:rowOff>0</xdr:rowOff>
        </xdr:to>
        <xdr:sp macro="" textlink="">
          <xdr:nvSpPr>
            <xdr:cNvPr id="67598" name="Scroll Bar 14" hidden="1">
              <a:extLst>
                <a:ext uri="{63B3BB69-23CF-44E3-9099-C40C66FF867C}">
                  <a14:compatExt spid="_x0000_s67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0</xdr:colOff>
          <xdr:row>29</xdr:row>
          <xdr:rowOff>0</xdr:rowOff>
        </xdr:to>
        <xdr:sp macro="" textlink="">
          <xdr:nvSpPr>
            <xdr:cNvPr id="67599" name="Scroll Bar 15" hidden="1">
              <a:extLst>
                <a:ext uri="{63B3BB69-23CF-44E3-9099-C40C66FF867C}">
                  <a14:compatExt spid="_x0000_s67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0</xdr:colOff>
          <xdr:row>29</xdr:row>
          <xdr:rowOff>0</xdr:rowOff>
        </xdr:to>
        <xdr:sp macro="" textlink="">
          <xdr:nvSpPr>
            <xdr:cNvPr id="67600" name="Scroll Bar 16" hidden="1">
              <a:extLst>
                <a:ext uri="{63B3BB69-23CF-44E3-9099-C40C66FF867C}">
                  <a14:compatExt spid="_x0000_s67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0</xdr:colOff>
      <xdr:row>1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19</xdr:row>
      <xdr:rowOff>0</xdr:rowOff>
    </xdr:from>
    <xdr:to>
      <xdr:col>11</xdr:col>
      <xdr:colOff>1</xdr:colOff>
      <xdr:row>30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 dataDxfId="120">
      <calculatedColumnFormula>'ITEM STATS'!I66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19">
      <calculatedColumnFormula>'ENEMY STATS'!H4</calculatedColumnFormula>
    </tableColumn>
    <tableColumn id="6" name="AP" dataDxfId="118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U50" totalsRowShown="0">
  <autoFilter ref="L14:U50"/>
  <tableColumns count="10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  <tableColumn id="10" name="hacking" dataDxfId="117">
      <calculatedColumnFormula>'ITEM STATS'!B208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116">
      <calculatedColumnFormula>ROUND((((1-(($A44-1)/($A$53-1)))^2)*B$37)+(2*(1-(($A44-1)/($A$53-1)))*(($A44-1)/($A$53-1))*B$41)+(((($A44-1)/($A$53-1))^2)*B$39),0)</calculatedColumnFormula>
    </tableColumn>
    <tableColumn id="3" name="accuracy" dataDxfId="115">
      <calculatedColumnFormula>ROUND((((1-(($A44-1)/($A$53-1)))^2)*C$37)+(2*(1-(($A44-1)/($A$53-1)))*(($A44-1)/($A$53-1))*C$41)+(((($A44-1)/($A$53-1))^2)*C$39),0)</calculatedColumnFormula>
    </tableColumn>
    <tableColumn id="4" name="range" dataDxfId="114">
      <calculatedColumnFormula>ROUND((((1-(($A44-1)/($A$53-1)))^2)*D$37)+(2*(1-(($A44-1)/($A$53-1)))*(($A44-1)/($A$53-1))*D$41)+(((($A44-1)/($A$53-1))^2)*D$39),0)</calculatedColumnFormula>
    </tableColumn>
    <tableColumn id="5" name="rate of fire" dataDxfId="113">
      <calculatedColumnFormula>ROUND((((1-(($A44-1)/($A$53-1)))^2)*E$37)+(2*(1-(($A44-1)/($A$53-1)))*(($A44-1)/($A$53-1))*E$41)+(((($A44-1)/($A$53-1))^2)*E$39),0)</calculatedColumnFormula>
    </tableColumn>
    <tableColumn id="6" name="heat gen" dataDxfId="112">
      <calculatedColumnFormula>ROUND((((1-(($A44-1)/($A$53-1)))^2)*F$37)+(2*(1-(($A44-1)/($A$53-1)))*(($A44-1)/($A$53-1))*F$41)+(((($A44-1)/($A$53-1))^2)*F$39),0)</calculatedColumnFormula>
    </tableColumn>
    <tableColumn id="7" name="cooling rate" dataDxfId="111">
      <calculatedColumnFormula>ROUND((((1-(($A44-1)/($A$53-1)))^2)*G$37)+(2*(1-(($A44-1)/($A$53-1)))*(($A44-1)/($A$53-1))*G$41)+(((($A44-1)/($A$53-1))^2)*G$39),0)</calculatedColumnFormula>
    </tableColumn>
    <tableColumn id="8" name="max ammo" dataDxfId="110">
      <calculatedColumnFormula>ROUND((((1-(($A44-1)/($A$53-1)))^2)*H$37)+(2*(1-(($A44-1)/($A$53-1)))*(($A44-1)/($A$53-1))*H$41)+(((($A44-1)/($A$53-1))^2)*H$39),0)</calculatedColumnFormula>
    </tableColumn>
    <tableColumn id="9" name="value" dataDxfId="109">
      <calculatedColumnFormula>ROUND((((1-(($A44-1)/($A$53-1)))^2)*I$37)+(2*(1-(($A44-1)/($A$53-1)))*(($A44-1)/($A$53-1))*I$41)+(((($A44-1)/($A$53-1))^2)*I$39),-1)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J74" totalsRowShown="0">
  <autoFilter ref="A64:J74"/>
  <tableColumns count="10">
    <tableColumn id="1" name="wpnLvl"/>
    <tableColumn id="2" name="damage" dataDxfId="108">
      <calculatedColumnFormula>ROUND((((1-(($A65-1)/($A$74-1)))^2)*B$58)+(2*(1-(($A65-1)/($A$53-1)))*(($A65-1)/($A$53-1))*B$62)+(((($A65-1)/($A$53-1))^2)*B$60),0)</calculatedColumnFormula>
    </tableColumn>
    <tableColumn id="3" name="accuracy" dataDxfId="107">
      <calculatedColumnFormula>ROUND((((1-(($A65-1)/($A$74-1)))^2)*C$58)+(2*(1-(($A65-1)/($A$53-1)))*(($A65-1)/($A$53-1))*C$62)+(((($A65-1)/($A$53-1))^2)*C$60),0)</calculatedColumnFormula>
    </tableColumn>
    <tableColumn id="4" name="range" dataDxfId="106">
      <calculatedColumnFormula>ROUND((((1-(($A65-1)/($A$74-1)))^2)*D$58)+(2*(1-(($A65-1)/($A$53-1)))*(($A65-1)/($A$53-1))*D$62)+(((($A65-1)/($A$53-1))^2)*D$60),0)</calculatedColumnFormula>
    </tableColumn>
    <tableColumn id="5" name="rate of fire" dataDxfId="105">
      <calculatedColumnFormula>ROUND((((1-(($A65-1)/($A$74-1)))^2)*E$58)+(2*(1-(($A65-1)/($A$53-1)))*(($A65-1)/($A$53-1))*E$62)+(((($A65-1)/($A$53-1))^2)*E$60),0)</calculatedColumnFormula>
    </tableColumn>
    <tableColumn id="6" name="heat gen" dataDxfId="104">
      <calculatedColumnFormula>ROUND((((1-(($A65-1)/($A$74-1)))^2)*F$58)+(2*(1-(($A65-1)/($A$53-1)))*(($A65-1)/($A$53-1))*F$62)+(((($A65-1)/($A$53-1))^2)*F$60),0)</calculatedColumnFormula>
    </tableColumn>
    <tableColumn id="7" name="cooling rate" dataDxfId="103">
      <calculatedColumnFormula>ROUND((((1-(($A65-1)/($A$74-1)))^2)*G$58)+(2*(1-(($A65-1)/($A$53-1)))*(($A65-1)/($A$53-1))*G$62)+(((($A65-1)/($A$53-1))^2)*G$60),0)</calculatedColumnFormula>
    </tableColumn>
    <tableColumn id="8" name="max ammo" dataDxfId="102">
      <calculatedColumnFormula>ROUND((((1-(($A65-1)/($A$74-1)))^2)*H$58)+(2*(1-(($A65-1)/($A$53-1)))*(($A65-1)/($A$53-1))*H$62)+(((($A65-1)/($A$53-1))^2)*H$60),0)</calculatedColumnFormula>
    </tableColumn>
    <tableColumn id="9" name="value" dataDxfId="101">
      <calculatedColumnFormula>ROUND((((1-(($A65-1)/($A$74-1)))^2)*I$58)+(2*(1-(($A65-1)/($A$53-1)))*(($A65-1)/($A$53-1))*I$62)+(((($A65-1)/($A$53-1))^2)*I$60),-1)</calculatedColumnFormula>
    </tableColumn>
    <tableColumn id="10" name="hit%" dataDxfId="100">
      <calculatedColumnFormula>ROUND(Table2[[#This Row],[accuracy]]-(($J$63-3)/(Table2[[#This Row],[range]]/100)), 0)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J95" totalsRowShown="0">
  <autoFilter ref="A85:J95"/>
  <tableColumns count="10">
    <tableColumn id="1" name="wpnLvl"/>
    <tableColumn id="2" name="damage" dataDxfId="99">
      <calculatedColumnFormula>ROUND((((1-(($A86-1)/($A$95-1)))^2)*B$79)+(2*(1-(($A86-1)/($A$53-1)))*(($A86-1)/($A$53-1))*B$83)+(((($A86-1)/($A$53-1))^2)*B$81),0)</calculatedColumnFormula>
    </tableColumn>
    <tableColumn id="3" name="accuracy" dataDxfId="98">
      <calculatedColumnFormula>ROUND((((1-(($A86-1)/($A$95-1)))^2)*C$79)+(2*(1-(($A86-1)/($A$53-1)))*(($A86-1)/($A$53-1))*C$83)+(((($A86-1)/($A$53-1))^2)*C$81),0)</calculatedColumnFormula>
    </tableColumn>
    <tableColumn id="4" name="range" dataDxfId="97">
      <calculatedColumnFormula>ROUND((((1-(($A86-1)/($A$95-1)))^2)*D$79)+(2*(1-(($A86-1)/($A$53-1)))*(($A86-1)/($A$53-1))*D$83)+(((($A86-1)/($A$53-1))^2)*D$81),0)</calculatedColumnFormula>
    </tableColumn>
    <tableColumn id="5" name="rate of fire" dataDxfId="96">
      <calculatedColumnFormula>ROUND((((1-(($A86-1)/($A$95-1)))^2)*E$79)+(2*(1-(($A86-1)/($A$53-1)))*(($A86-1)/($A$53-1))*E$83)+(((($A86-1)/($A$53-1))^2)*E$81),0)</calculatedColumnFormula>
    </tableColumn>
    <tableColumn id="6" name="heat gen" dataDxfId="95">
      <calculatedColumnFormula>ROUND((((1-(($A86-1)/($A$95-1)))^2)*F$79)+(2*(1-(($A86-1)/($A$53-1)))*(($A86-1)/($A$53-1))*F$83)+(((($A86-1)/($A$53-1))^2)*F$81),0)</calculatedColumnFormula>
    </tableColumn>
    <tableColumn id="7" name="cooling rate" dataDxfId="94">
      <calculatedColumnFormula>ROUND((((1-(($A86-1)/($A$95-1)))^2)*G$79)+(2*(1-(($A86-1)/($A$53-1)))*(($A86-1)/($A$53-1))*G$83)+(((($A86-1)/($A$53-1))^2)*G$81),0)</calculatedColumnFormula>
    </tableColumn>
    <tableColumn id="8" name="max ammo" dataDxfId="93">
      <calculatedColumnFormula>ROUND((((1-(($A86-1)/($A$95-1)))^2)*H$79)+(2*(1-(($A86-1)/($A$53-1)))*(($A86-1)/($A$53-1))*H$83)+(((($A86-1)/($A$53-1))^2)*H$81),0)</calculatedColumnFormula>
    </tableColumn>
    <tableColumn id="9" name="value" dataDxfId="92">
      <calculatedColumnFormula>ROUND((((1-(($A86-1)/($A$95-1)))^2)*I$79)+(2*(1-(($A86-1)/($A$53-1)))*(($A86-1)/($A$53-1))*I$83)+(((($A86-1)/($A$53-1))^2)*I$81),-1)</calculatedColumnFormula>
    </tableColumn>
    <tableColumn id="10" name="hit%" dataDxfId="91">
      <calculatedColumnFormula>ROUND(Table3[[#This Row],[accuracy]]-(($J$63-3)/(Table3[[#This Row],[range]]/100)), 0)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J116" totalsRowShown="0">
  <autoFilter ref="A106:J116"/>
  <tableColumns count="10">
    <tableColumn id="1" name="wpnLvl"/>
    <tableColumn id="2" name="damage" dataDxfId="90">
      <calculatedColumnFormula>ROUND((((1-(($A107-1)/($A$116-1)))^2)*B$100)+(2*(1-(($A107-1)/($A$53-1)))*(($A107-1)/($A$53-1))*B$104)+(((($A107-1)/($A$53-1))^2)*B$102),0)</calculatedColumnFormula>
    </tableColumn>
    <tableColumn id="3" name="accuracy" dataDxfId="89">
      <calculatedColumnFormula>ROUND((((1-(($A107-1)/($A$116-1)))^2)*C$100)+(2*(1-(($A107-1)/($A$53-1)))*(($A107-1)/($A$53-1))*C$104)+(((($A107-1)/($A$53-1))^2)*C$102),0)</calculatedColumnFormula>
    </tableColumn>
    <tableColumn id="4" name="range" dataDxfId="88">
      <calculatedColumnFormula>ROUND((((1-(($A107-1)/($A$116-1)))^2)*D$100)+(2*(1-(($A107-1)/($A$53-1)))*(($A107-1)/($A$53-1))*D$104)+(((($A107-1)/($A$53-1))^2)*D$102),0)</calculatedColumnFormula>
    </tableColumn>
    <tableColumn id="5" name="rate of fire" dataDxfId="87">
      <calculatedColumnFormula>ROUND((((1-(($A107-1)/($A$116-1)))^2)*E$100)+(2*(1-(($A107-1)/($A$53-1)))*(($A107-1)/($A$53-1))*E$104)+(((($A107-1)/($A$53-1))^2)*E$102),0)</calculatedColumnFormula>
    </tableColumn>
    <tableColumn id="6" name="heat gen" dataDxfId="86">
      <calculatedColumnFormula>ROUND((((1-(($A107-1)/($A$116-1)))^2)*F$100)+(2*(1-(($A107-1)/($A$53-1)))*(($A107-1)/($A$53-1))*F$104)+(((($A107-1)/($A$53-1))^2)*F$102),0)</calculatedColumnFormula>
    </tableColumn>
    <tableColumn id="7" name="cooling rate" dataDxfId="85">
      <calculatedColumnFormula>ROUND((((1-(($A107-1)/($A$116-1)))^2)*G$100)+(2*(1-(($A107-1)/($A$53-1)))*(($A107-1)/($A$53-1))*G$104)+(((($A107-1)/($A$53-1))^2)*G$102),0)</calculatedColumnFormula>
    </tableColumn>
    <tableColumn id="8" name="max ammo" dataDxfId="84">
      <calculatedColumnFormula>ROUND((((1-(($A107-1)/($A$116-1)))^2)*H$100)+(2*(1-(($A107-1)/($A$53-1)))*(($A107-1)/($A$53-1))*H$104)+(((($A107-1)/($A$53-1))^2)*H$102),0)</calculatedColumnFormula>
    </tableColumn>
    <tableColumn id="9" name="value" dataDxfId="83">
      <calculatedColumnFormula>ROUND((((1-(($A107-1)/($A$116-1)))^2)*I$100)+(2*(1-(($A107-1)/($A$53-1)))*(($A107-1)/($A$53-1))*I$104)+(((($A107-1)/($A$53-1))^2)*I$102),-1)</calculatedColumnFormula>
    </tableColumn>
    <tableColumn id="10" name="hit%" dataDxfId="82">
      <calculatedColumnFormula>ROUND(Table4[[#This Row],[accuracy]]-(($J$63-3)/(Table4[[#This Row],[range]]/100)), 0)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81">
      <calculatedColumnFormula>ROUND((((1-(($A128-1)/($A$137-1)))^2)*B$121)+(2*(1-(($A128-1)/($A$53-1)))*(($A128-1)/($A$53-1))*B$125)+(((($A128-1)/($A$53-1))^2)*B$123),0)</calculatedColumnFormula>
    </tableColumn>
    <tableColumn id="3" name="accuracy" dataDxfId="80">
      <calculatedColumnFormula>ROUND((((1-(($A128-1)/($A$137-1)))^2)*C$121)+(2*(1-(($A128-1)/($A$53-1)))*(($A128-1)/($A$53-1))*C$125)+(((($A128-1)/($A$53-1))^2)*C$123),0)</calculatedColumnFormula>
    </tableColumn>
    <tableColumn id="4" name="range" dataDxfId="79">
      <calculatedColumnFormula>ROUND((((1-(($A128-1)/($A$137-1)))^2)*D$121)+(2*(1-(($A128-1)/($A$53-1)))*(($A128-1)/($A$53-1))*D$125)+(((($A128-1)/($A$53-1))^2)*D$123),0)</calculatedColumnFormula>
    </tableColumn>
    <tableColumn id="5" name="rate of fire" dataDxfId="78">
      <calculatedColumnFormula>ROUND((((1-(($A128-1)/($A$137-1)))^2)*E$121)+(2*(1-(($A128-1)/($A$53-1)))*(($A128-1)/($A$53-1))*E$125)+(((($A128-1)/($A$53-1))^2)*E$123),0)</calculatedColumnFormula>
    </tableColumn>
    <tableColumn id="6" name="heat gen" dataDxfId="77">
      <calculatedColumnFormula>ROUND((((1-(($A128-1)/($A$137-1)))^2)*F$121)+(2*(1-(($A128-1)/($A$53-1)))*(($A128-1)/($A$53-1))*F$125)+(((($A128-1)/($A$53-1))^2)*F$123),0)</calculatedColumnFormula>
    </tableColumn>
    <tableColumn id="7" name="cooling rate" dataDxfId="76">
      <calculatedColumnFormula>ROUND((((1-(($A128-1)/($A$137-1)))^2)*G$121)+(2*(1-(($A128-1)/($A$53-1)))*(($A128-1)/($A$53-1))*G$125)+(((($A128-1)/($A$53-1))^2)*G$123),0)</calculatedColumnFormula>
    </tableColumn>
    <tableColumn id="8" name="max ammo" dataDxfId="75">
      <calculatedColumnFormula>ROUND((((1-(($A128-1)/($A$137-1)))^2)*H$121)+(2*(1-(($A128-1)/($A$53-1)))*(($A128-1)/($A$53-1))*H$125)+(((($A128-1)/($A$53-1))^2)*H$123),0)</calculatedColumnFormula>
    </tableColumn>
    <tableColumn id="9" name="value" dataDxfId="74">
      <calculatedColumnFormula>ROUND((((1-(($A128-1)/($A$137-1)))^2)*I$121)+(2*(1-(($A128-1)/($A$53-1)))*(($A128-1)/($A$53-1))*I$125)+(((($A128-1)/($A$53-1))^2)*I$123),-1)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73">
      <calculatedColumnFormula>ROUND((((1-(($A149-1)/($A$158-1)))^2)*B$142)+(2*(1-(($A149-1)/($A$53-1)))*(($A149-1)/($A$53-1))*B$146)+(((($A149-1)/($A$53-1))^2)*B$144),0)</calculatedColumnFormula>
    </tableColumn>
    <tableColumn id="3" name="accuracy" dataDxfId="72">
      <calculatedColumnFormula>ROUND((((1-(($A149-1)/($A$158-1)))^2)*C$142)+(2*(1-(($A149-1)/($A$53-1)))*(($A149-1)/($A$53-1))*C$146)+(((($A149-1)/($A$53-1))^2)*C$144),0)</calculatedColumnFormula>
    </tableColumn>
    <tableColumn id="4" name="range" dataDxfId="71">
      <calculatedColumnFormula>ROUND((((1-(($A149-1)/($A$158-1)))^2)*D$142)+(2*(1-(($A149-1)/($A$53-1)))*(($A149-1)/($A$53-1))*D$146)+(((($A149-1)/($A$53-1))^2)*D$144),0)</calculatedColumnFormula>
    </tableColumn>
    <tableColumn id="5" name="rate of fire" dataDxfId="70">
      <calculatedColumnFormula>ROUND((((1-(($A149-1)/($A$158-1)))^2)*E$142)+(2*(1-(($A149-1)/($A$53-1)))*(($A149-1)/($A$53-1))*E$146)+(((($A149-1)/($A$53-1))^2)*E$144),0)</calculatedColumnFormula>
    </tableColumn>
    <tableColumn id="6" name="heat gen" dataDxfId="69">
      <calculatedColumnFormula>ROUND((((1-(($A149-1)/($A$158-1)))^2)*F$142)+(2*(1-(($A149-1)/($A$53-1)))*(($A149-1)/($A$53-1))*F$146)+(((($A149-1)/($A$53-1))^2)*F$144),0)</calculatedColumnFormula>
    </tableColumn>
    <tableColumn id="7" name="cooling rate" dataDxfId="68">
      <calculatedColumnFormula>ROUND((((1-(($A149-1)/($A$158-1)))^2)*G$142)+(2*(1-(($A149-1)/($A$53-1)))*(($A149-1)/($A$53-1))*G$146)+(((($A149-1)/($A$53-1))^2)*G$144),0)</calculatedColumnFormula>
    </tableColumn>
    <tableColumn id="8" name="max ammo" dataDxfId="67">
      <calculatedColumnFormula>ROUND((((1-(($A149-1)/($A$158-1)))^2)*H$142)+(2*(1-(($A149-1)/($A$53-1)))*(($A149-1)/($A$53-1))*H$146)+(((($A149-1)/($A$53-1))^2)*H$144),0)</calculatedColumnFormula>
    </tableColumn>
    <tableColumn id="9" name="value" dataDxfId="66">
      <calculatedColumnFormula>ROUND((((1-(($A149-1)/($A$158-1)))^2)*I$142)+(2*(1-(($A149-1)/($A$53-1)))*(($A149-1)/($A$53-1))*I$146)+(((($A149-1)/($A$53-1))^2)*I$144),-1)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65">
      <calculatedColumnFormula>ROUND((((1-(($A170-1)/($A$179-1)))^2)*B$163)+(2*(1-(($A170-1)/($A$53-1)))*(($A170-1)/($A$53-1))*B$167)+(((($A170-1)/($A$53-1))^2)*B$165),0)</calculatedColumnFormula>
    </tableColumn>
    <tableColumn id="3" name="accuracy" dataDxfId="64">
      <calculatedColumnFormula>ROUND((((1-(($A170-1)/($A$179-1)))^2)*C$163)+(2*(1-(($A170-1)/($A$53-1)))*(($A170-1)/($A$53-1))*C$167)+(((($A170-1)/($A$53-1))^2)*C$165),0)</calculatedColumnFormula>
    </tableColumn>
    <tableColumn id="4" name="range" dataDxfId="63">
      <calculatedColumnFormula>ROUND((((1-(($A170-1)/($A$179-1)))^2)*D$163)+(2*(1-(($A170-1)/($A$53-1)))*(($A170-1)/($A$53-1))*D$167)+(((($A170-1)/($A$53-1))^2)*D$165),0)</calculatedColumnFormula>
    </tableColumn>
    <tableColumn id="5" name="rate of fire" dataDxfId="62">
      <calculatedColumnFormula>ROUND((((1-(($A170-1)/($A$179-1)))^2)*E$163)+(2*(1-(($A170-1)/($A$53-1)))*(($A170-1)/($A$53-1))*E$167)+(((($A170-1)/($A$53-1))^2)*E$165),0)</calculatedColumnFormula>
    </tableColumn>
    <tableColumn id="6" name="heat gen" dataDxfId="61">
      <calculatedColumnFormula>ROUND((((1-(($A170-1)/($A$179-1)))^2)*F$163)+(2*(1-(($A170-1)/($A$53-1)))*(($A170-1)/($A$53-1))*F$167)+(((($A170-1)/($A$53-1))^2)*F$165),0)</calculatedColumnFormula>
    </tableColumn>
    <tableColumn id="7" name="cooling rate" dataDxfId="60">
      <calculatedColumnFormula>ROUND((((1-(($A170-1)/($A$179-1)))^2)*G$163)+(2*(1-(($A170-1)/($A$53-1)))*(($A170-1)/($A$53-1))*G$167)+(((($A170-1)/($A$53-1))^2)*G$165),0)</calculatedColumnFormula>
    </tableColumn>
    <tableColumn id="8" name="max ammo" dataDxfId="59">
      <calculatedColumnFormula>ROUND((((1-(($A170-1)/($A$179-1)))^2)*H$163)+(2*(1-(($A170-1)/($A$53-1)))*(($A170-1)/($A$53-1))*H$167)+(((($A170-1)/($A$53-1))^2)*H$165),0)</calculatedColumnFormula>
    </tableColumn>
    <tableColumn id="9" name="value" dataDxfId="58">
      <calculatedColumnFormula>ROUND((((1-(($A170-1)/($A$179-1)))^2)*I$163)+(2*(1-(($A170-1)/($A$53-1)))*(($A170-1)/($A$53-1))*I$167)+(((($A170-1)/($A$53-1))^2)*I$165),-1)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Example" displayName="Example" ref="A3:F7" totalsRowShown="0">
  <autoFilter ref="A3:F7"/>
  <tableColumns count="6">
    <tableColumn id="1" name="ID"/>
    <tableColumn id="2" name="name"/>
    <tableColumn id="3" name="damage"/>
    <tableColumn id="4" name="speed"/>
    <tableColumn id="5" name="hitChance"/>
    <tableColumn id="6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table" Target="../tables/table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table" Target="../tables/table4.xml"/><Relationship Id="rId155" Type="http://schemas.openxmlformats.org/officeDocument/2006/relationships/table" Target="../tables/table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table" Target="../tables/table5.xml"/><Relationship Id="rId156" Type="http://schemas.openxmlformats.org/officeDocument/2006/relationships/table" Target="../tables/table1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table" Target="../tables/table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5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0.xml"/><Relationship Id="rId5" Type="http://schemas.openxmlformats.org/officeDocument/2006/relationships/ctrlProp" Target="../ctrlProps/ctrlProp149.xml"/><Relationship Id="rId4" Type="http://schemas.openxmlformats.org/officeDocument/2006/relationships/ctrlProp" Target="../ctrlProps/ctrlProp1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7.xml"/><Relationship Id="rId13" Type="http://schemas.openxmlformats.org/officeDocument/2006/relationships/ctrlProp" Target="../ctrlProps/ctrlProp162.xml"/><Relationship Id="rId18" Type="http://schemas.openxmlformats.org/officeDocument/2006/relationships/ctrlProp" Target="../ctrlProps/ctrlProp167.xml"/><Relationship Id="rId26" Type="http://schemas.openxmlformats.org/officeDocument/2006/relationships/ctrlProp" Target="../ctrlProps/ctrlProp175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70.xml"/><Relationship Id="rId7" Type="http://schemas.openxmlformats.org/officeDocument/2006/relationships/ctrlProp" Target="../ctrlProps/ctrlProp156.xml"/><Relationship Id="rId12" Type="http://schemas.openxmlformats.org/officeDocument/2006/relationships/ctrlProp" Target="../ctrlProps/ctrlProp161.xml"/><Relationship Id="rId17" Type="http://schemas.openxmlformats.org/officeDocument/2006/relationships/ctrlProp" Target="../ctrlProps/ctrlProp166.xml"/><Relationship Id="rId25" Type="http://schemas.openxmlformats.org/officeDocument/2006/relationships/ctrlProp" Target="../ctrlProps/ctrlProp17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5.xml"/><Relationship Id="rId20" Type="http://schemas.openxmlformats.org/officeDocument/2006/relationships/ctrlProp" Target="../ctrlProps/ctrlProp169.xml"/><Relationship Id="rId29" Type="http://schemas.openxmlformats.org/officeDocument/2006/relationships/ctrlProp" Target="../ctrlProps/ctrlProp17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5.xml"/><Relationship Id="rId11" Type="http://schemas.openxmlformats.org/officeDocument/2006/relationships/ctrlProp" Target="../ctrlProps/ctrlProp160.xml"/><Relationship Id="rId24" Type="http://schemas.openxmlformats.org/officeDocument/2006/relationships/ctrlProp" Target="../ctrlProps/ctrlProp173.xml"/><Relationship Id="rId5" Type="http://schemas.openxmlformats.org/officeDocument/2006/relationships/ctrlProp" Target="../ctrlProps/ctrlProp154.xml"/><Relationship Id="rId15" Type="http://schemas.openxmlformats.org/officeDocument/2006/relationships/ctrlProp" Target="../ctrlProps/ctrlProp164.xml"/><Relationship Id="rId23" Type="http://schemas.openxmlformats.org/officeDocument/2006/relationships/ctrlProp" Target="../ctrlProps/ctrlProp172.xml"/><Relationship Id="rId28" Type="http://schemas.openxmlformats.org/officeDocument/2006/relationships/ctrlProp" Target="../ctrlProps/ctrlProp177.xml"/><Relationship Id="rId10" Type="http://schemas.openxmlformats.org/officeDocument/2006/relationships/ctrlProp" Target="../ctrlProps/ctrlProp159.xml"/><Relationship Id="rId19" Type="http://schemas.openxmlformats.org/officeDocument/2006/relationships/ctrlProp" Target="../ctrlProps/ctrlProp168.xml"/><Relationship Id="rId4" Type="http://schemas.openxmlformats.org/officeDocument/2006/relationships/ctrlProp" Target="../ctrlProps/ctrlProp153.xml"/><Relationship Id="rId9" Type="http://schemas.openxmlformats.org/officeDocument/2006/relationships/ctrlProp" Target="../ctrlProps/ctrlProp158.xml"/><Relationship Id="rId14" Type="http://schemas.openxmlformats.org/officeDocument/2006/relationships/ctrlProp" Target="../ctrlProps/ctrlProp163.xml"/><Relationship Id="rId22" Type="http://schemas.openxmlformats.org/officeDocument/2006/relationships/ctrlProp" Target="../ctrlProps/ctrlProp171.xml"/><Relationship Id="rId27" Type="http://schemas.openxmlformats.org/officeDocument/2006/relationships/ctrlProp" Target="../ctrlProps/ctrlProp17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81.xml"/><Relationship Id="rId5" Type="http://schemas.openxmlformats.org/officeDocument/2006/relationships/ctrlProp" Target="../ctrlProps/ctrlProp180.xml"/><Relationship Id="rId4" Type="http://schemas.openxmlformats.org/officeDocument/2006/relationships/ctrlProp" Target="../ctrlProps/ctrlProp17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6.xml"/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26" Type="http://schemas.openxmlformats.org/officeDocument/2006/relationships/ctrlProp" Target="../ctrlProps/ctrlProp204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99.x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5" Type="http://schemas.openxmlformats.org/officeDocument/2006/relationships/ctrlProp" Target="../ctrlProps/ctrlProp203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94.xml"/><Relationship Id="rId20" Type="http://schemas.openxmlformats.org/officeDocument/2006/relationships/ctrlProp" Target="../ctrlProps/ctrlProp198.xml"/><Relationship Id="rId29" Type="http://schemas.openxmlformats.org/officeDocument/2006/relationships/ctrlProp" Target="../ctrlProps/ctrlProp207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24" Type="http://schemas.openxmlformats.org/officeDocument/2006/relationships/ctrlProp" Target="../ctrlProps/ctrlProp202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23" Type="http://schemas.openxmlformats.org/officeDocument/2006/relationships/ctrlProp" Target="../ctrlProps/ctrlProp201.xml"/><Relationship Id="rId28" Type="http://schemas.openxmlformats.org/officeDocument/2006/relationships/ctrlProp" Target="../ctrlProps/ctrlProp206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Relationship Id="rId22" Type="http://schemas.openxmlformats.org/officeDocument/2006/relationships/ctrlProp" Target="../ctrlProps/ctrlProp200.xml"/><Relationship Id="rId27" Type="http://schemas.openxmlformats.org/officeDocument/2006/relationships/ctrlProp" Target="../ctrlProps/ctrlProp20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11.xml"/><Relationship Id="rId5" Type="http://schemas.openxmlformats.org/officeDocument/2006/relationships/ctrlProp" Target="../ctrlProps/ctrlProp210.xml"/><Relationship Id="rId4" Type="http://schemas.openxmlformats.org/officeDocument/2006/relationships/ctrlProp" Target="../ctrlProps/ctrlProp20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12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15.xml"/><Relationship Id="rId5" Type="http://schemas.openxmlformats.org/officeDocument/2006/relationships/ctrlProp" Target="../ctrlProps/ctrlProp214.xml"/><Relationship Id="rId4" Type="http://schemas.openxmlformats.org/officeDocument/2006/relationships/ctrlProp" Target="../ctrlProps/ctrlProp21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0.xml"/><Relationship Id="rId13" Type="http://schemas.openxmlformats.org/officeDocument/2006/relationships/ctrlProp" Target="../ctrlProps/ctrlProp225.xml"/><Relationship Id="rId18" Type="http://schemas.openxmlformats.org/officeDocument/2006/relationships/ctrlProp" Target="../ctrlProps/ctrlProp230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33.xml"/><Relationship Id="rId7" Type="http://schemas.openxmlformats.org/officeDocument/2006/relationships/ctrlProp" Target="../ctrlProps/ctrlProp219.xml"/><Relationship Id="rId12" Type="http://schemas.openxmlformats.org/officeDocument/2006/relationships/ctrlProp" Target="../ctrlProps/ctrlProp224.xml"/><Relationship Id="rId17" Type="http://schemas.openxmlformats.org/officeDocument/2006/relationships/ctrlProp" Target="../ctrlProps/ctrlProp229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28.xml"/><Relationship Id="rId20" Type="http://schemas.openxmlformats.org/officeDocument/2006/relationships/ctrlProp" Target="../ctrlProps/ctrlProp23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18.xml"/><Relationship Id="rId11" Type="http://schemas.openxmlformats.org/officeDocument/2006/relationships/ctrlProp" Target="../ctrlProps/ctrlProp223.xml"/><Relationship Id="rId5" Type="http://schemas.openxmlformats.org/officeDocument/2006/relationships/ctrlProp" Target="../ctrlProps/ctrlProp217.xml"/><Relationship Id="rId15" Type="http://schemas.openxmlformats.org/officeDocument/2006/relationships/ctrlProp" Target="../ctrlProps/ctrlProp227.xml"/><Relationship Id="rId10" Type="http://schemas.openxmlformats.org/officeDocument/2006/relationships/ctrlProp" Target="../ctrlProps/ctrlProp222.xml"/><Relationship Id="rId19" Type="http://schemas.openxmlformats.org/officeDocument/2006/relationships/ctrlProp" Target="../ctrlProps/ctrlProp231.xml"/><Relationship Id="rId4" Type="http://schemas.openxmlformats.org/officeDocument/2006/relationships/ctrlProp" Target="../ctrlProps/ctrlProp216.xml"/><Relationship Id="rId9" Type="http://schemas.openxmlformats.org/officeDocument/2006/relationships/ctrlProp" Target="../ctrlProps/ctrlProp221.xml"/><Relationship Id="rId14" Type="http://schemas.openxmlformats.org/officeDocument/2006/relationships/ctrlProp" Target="../ctrlProps/ctrlProp22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8.xml"/><Relationship Id="rId13" Type="http://schemas.openxmlformats.org/officeDocument/2006/relationships/ctrlProp" Target="../ctrlProps/ctrlProp243.xml"/><Relationship Id="rId18" Type="http://schemas.openxmlformats.org/officeDocument/2006/relationships/ctrlProp" Target="../ctrlProps/ctrlProp248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237.xml"/><Relationship Id="rId12" Type="http://schemas.openxmlformats.org/officeDocument/2006/relationships/ctrlProp" Target="../ctrlProps/ctrlProp242.xml"/><Relationship Id="rId17" Type="http://schemas.openxmlformats.org/officeDocument/2006/relationships/ctrlProp" Target="../ctrlProps/ctrlProp247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246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36.xml"/><Relationship Id="rId11" Type="http://schemas.openxmlformats.org/officeDocument/2006/relationships/ctrlProp" Target="../ctrlProps/ctrlProp241.xml"/><Relationship Id="rId5" Type="http://schemas.openxmlformats.org/officeDocument/2006/relationships/ctrlProp" Target="../ctrlProps/ctrlProp235.xml"/><Relationship Id="rId15" Type="http://schemas.openxmlformats.org/officeDocument/2006/relationships/ctrlProp" Target="../ctrlProps/ctrlProp245.xml"/><Relationship Id="rId10" Type="http://schemas.openxmlformats.org/officeDocument/2006/relationships/ctrlProp" Target="../ctrlProps/ctrlProp240.xml"/><Relationship Id="rId19" Type="http://schemas.openxmlformats.org/officeDocument/2006/relationships/ctrlProp" Target="../ctrlProps/ctrlProp249.xml"/><Relationship Id="rId4" Type="http://schemas.openxmlformats.org/officeDocument/2006/relationships/ctrlProp" Target="../ctrlProps/ctrlProp234.xml"/><Relationship Id="rId9" Type="http://schemas.openxmlformats.org/officeDocument/2006/relationships/ctrlProp" Target="../ctrlProps/ctrlProp239.xml"/><Relationship Id="rId14" Type="http://schemas.openxmlformats.org/officeDocument/2006/relationships/ctrlProp" Target="../ctrlProps/ctrlProp24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4.xml"/><Relationship Id="rId13" Type="http://schemas.openxmlformats.org/officeDocument/2006/relationships/ctrlProp" Target="../ctrlProps/ctrlProp259.xml"/><Relationship Id="rId18" Type="http://schemas.openxmlformats.org/officeDocument/2006/relationships/ctrlProp" Target="../ctrlProps/ctrlProp264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253.xml"/><Relationship Id="rId12" Type="http://schemas.openxmlformats.org/officeDocument/2006/relationships/ctrlProp" Target="../ctrlProps/ctrlProp258.xml"/><Relationship Id="rId17" Type="http://schemas.openxmlformats.org/officeDocument/2006/relationships/ctrlProp" Target="../ctrlProps/ctrlProp263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62.xml"/><Relationship Id="rId20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52.xml"/><Relationship Id="rId11" Type="http://schemas.openxmlformats.org/officeDocument/2006/relationships/ctrlProp" Target="../ctrlProps/ctrlProp257.xml"/><Relationship Id="rId5" Type="http://schemas.openxmlformats.org/officeDocument/2006/relationships/ctrlProp" Target="../ctrlProps/ctrlProp251.xml"/><Relationship Id="rId15" Type="http://schemas.openxmlformats.org/officeDocument/2006/relationships/ctrlProp" Target="../ctrlProps/ctrlProp261.xml"/><Relationship Id="rId10" Type="http://schemas.openxmlformats.org/officeDocument/2006/relationships/ctrlProp" Target="../ctrlProps/ctrlProp256.xml"/><Relationship Id="rId19" Type="http://schemas.openxmlformats.org/officeDocument/2006/relationships/ctrlProp" Target="../ctrlProps/ctrlProp265.xml"/><Relationship Id="rId4" Type="http://schemas.openxmlformats.org/officeDocument/2006/relationships/ctrlProp" Target="../ctrlProps/ctrlProp250.xml"/><Relationship Id="rId9" Type="http://schemas.openxmlformats.org/officeDocument/2006/relationships/ctrlProp" Target="../ctrlProps/ctrlProp255.xml"/><Relationship Id="rId14" Type="http://schemas.openxmlformats.org/officeDocument/2006/relationships/ctrlProp" Target="../ctrlProps/ctrlProp2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2"/>
  <sheetViews>
    <sheetView zoomScale="85" zoomScaleNormal="85" workbookViewId="0">
      <selection activeCell="L5" sqref="L5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1" x14ac:dyDescent="0.25">
      <c r="A1" t="s">
        <v>145</v>
      </c>
      <c r="L1" t="s">
        <v>150</v>
      </c>
    </row>
    <row r="2" spans="1:21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1" x14ac:dyDescent="0.25">
      <c r="A3" t="s">
        <v>146</v>
      </c>
      <c r="B3">
        <v>1</v>
      </c>
      <c r="C3">
        <f>'ITEM STATS'!B44</f>
        <v>25</v>
      </c>
      <c r="D3">
        <f>'ITEM STATS'!C44</f>
        <v>85</v>
      </c>
      <c r="E3">
        <f>'ITEM STATS'!D44</f>
        <v>25</v>
      </c>
      <c r="F3">
        <f>'ITEM STATS'!E44</f>
        <v>1</v>
      </c>
      <c r="G3">
        <f>'ITEM STATS'!F44</f>
        <v>26</v>
      </c>
      <c r="H3">
        <f>'ITEM STATS'!G44</f>
        <v>10</v>
      </c>
      <c r="I3">
        <f>'ITEM STATS'!H44</f>
        <v>0</v>
      </c>
      <c r="J3">
        <f>'ITEM STATS'!I44</f>
        <v>100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1" x14ac:dyDescent="0.25">
      <c r="A4" t="s">
        <v>146</v>
      </c>
      <c r="B4">
        <v>2</v>
      </c>
      <c r="C4">
        <f>'ITEM STATS'!B45</f>
        <v>30</v>
      </c>
      <c r="D4">
        <f>'ITEM STATS'!C45</f>
        <v>86</v>
      </c>
      <c r="E4">
        <f>'ITEM STATS'!D45</f>
        <v>25</v>
      </c>
      <c r="F4">
        <f>'ITEM STATS'!E45</f>
        <v>1</v>
      </c>
      <c r="G4">
        <f>'ITEM STATS'!F45</f>
        <v>27</v>
      </c>
      <c r="H4">
        <f>'ITEM STATS'!G45</f>
        <v>11</v>
      </c>
      <c r="I4">
        <f>'ITEM STATS'!H45</f>
        <v>0</v>
      </c>
      <c r="J4">
        <f>'ITEM STATS'!I45</f>
        <v>100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1" x14ac:dyDescent="0.25">
      <c r="A5" t="s">
        <v>146</v>
      </c>
      <c r="B5">
        <v>3</v>
      </c>
      <c r="C5">
        <f>'ITEM STATS'!B46</f>
        <v>34</v>
      </c>
      <c r="D5">
        <f>'ITEM STATS'!C46</f>
        <v>86</v>
      </c>
      <c r="E5">
        <f>'ITEM STATS'!D46</f>
        <v>26</v>
      </c>
      <c r="F5">
        <f>'ITEM STATS'!E46</f>
        <v>1</v>
      </c>
      <c r="G5">
        <f>'ITEM STATS'!F46</f>
        <v>29</v>
      </c>
      <c r="H5">
        <f>'ITEM STATS'!G46</f>
        <v>13</v>
      </c>
      <c r="I5">
        <f>'ITEM STATS'!H46</f>
        <v>0</v>
      </c>
      <c r="J5">
        <f>'ITEM STATS'!I46</f>
        <v>100</v>
      </c>
    </row>
    <row r="6" spans="1:21" x14ac:dyDescent="0.25">
      <c r="A6" t="s">
        <v>146</v>
      </c>
      <c r="B6">
        <v>4</v>
      </c>
      <c r="C6">
        <f>'ITEM STATS'!B47</f>
        <v>38</v>
      </c>
      <c r="D6">
        <f>'ITEM STATS'!C47</f>
        <v>87</v>
      </c>
      <c r="E6">
        <f>'ITEM STATS'!D47</f>
        <v>27</v>
      </c>
      <c r="F6">
        <f>'ITEM STATS'!E47</f>
        <v>1</v>
      </c>
      <c r="G6">
        <f>'ITEM STATS'!F47</f>
        <v>30</v>
      </c>
      <c r="H6">
        <f>'ITEM STATS'!G47</f>
        <v>14</v>
      </c>
      <c r="I6">
        <f>'ITEM STATS'!H47</f>
        <v>0</v>
      </c>
      <c r="J6">
        <f>'ITEM STATS'!I47</f>
        <v>100</v>
      </c>
    </row>
    <row r="7" spans="1:21" x14ac:dyDescent="0.25">
      <c r="A7" t="s">
        <v>146</v>
      </c>
      <c r="B7">
        <v>5</v>
      </c>
      <c r="C7">
        <f>'ITEM STATS'!B48</f>
        <v>41</v>
      </c>
      <c r="D7">
        <f>'ITEM STATS'!C48</f>
        <v>87</v>
      </c>
      <c r="E7">
        <f>'ITEM STATS'!D48</f>
        <v>27</v>
      </c>
      <c r="F7">
        <f>'ITEM STATS'!E48</f>
        <v>1</v>
      </c>
      <c r="G7">
        <f>'ITEM STATS'!F48</f>
        <v>30</v>
      </c>
      <c r="H7">
        <f>'ITEM STATS'!G48</f>
        <v>16</v>
      </c>
      <c r="I7">
        <f>'ITEM STATS'!H48</f>
        <v>0</v>
      </c>
      <c r="J7">
        <f>'ITEM STATS'!I48</f>
        <v>100</v>
      </c>
    </row>
    <row r="8" spans="1:21" x14ac:dyDescent="0.25">
      <c r="A8" t="s">
        <v>146</v>
      </c>
      <c r="B8">
        <v>6</v>
      </c>
      <c r="C8">
        <f>'ITEM STATS'!B49</f>
        <v>44</v>
      </c>
      <c r="D8">
        <f>'ITEM STATS'!C49</f>
        <v>88</v>
      </c>
      <c r="E8">
        <f>'ITEM STATS'!D49</f>
        <v>29</v>
      </c>
      <c r="F8">
        <f>'ITEM STATS'!E49</f>
        <v>2</v>
      </c>
      <c r="G8">
        <f>'ITEM STATS'!F49</f>
        <v>31</v>
      </c>
      <c r="H8">
        <f>'ITEM STATS'!G49</f>
        <v>18</v>
      </c>
      <c r="I8">
        <f>'ITEM STATS'!H49</f>
        <v>0</v>
      </c>
      <c r="J8">
        <f>'ITEM STATS'!I49</f>
        <v>100</v>
      </c>
    </row>
    <row r="9" spans="1:21" x14ac:dyDescent="0.25">
      <c r="A9" t="s">
        <v>146</v>
      </c>
      <c r="B9">
        <v>7</v>
      </c>
      <c r="C9">
        <f>'ITEM STATS'!B50</f>
        <v>46</v>
      </c>
      <c r="D9">
        <f>'ITEM STATS'!C50</f>
        <v>89</v>
      </c>
      <c r="E9">
        <f>'ITEM STATS'!D50</f>
        <v>30</v>
      </c>
      <c r="F9">
        <f>'ITEM STATS'!E50</f>
        <v>2</v>
      </c>
      <c r="G9">
        <f>'ITEM STATS'!F50</f>
        <v>32</v>
      </c>
      <c r="H9">
        <f>'ITEM STATS'!G50</f>
        <v>19</v>
      </c>
      <c r="I9">
        <f>'ITEM STATS'!H50</f>
        <v>0</v>
      </c>
      <c r="J9">
        <f>'ITEM STATS'!I50</f>
        <v>100</v>
      </c>
    </row>
    <row r="10" spans="1:21" x14ac:dyDescent="0.25">
      <c r="A10" t="s">
        <v>146</v>
      </c>
      <c r="B10">
        <v>8</v>
      </c>
      <c r="C10">
        <f>'ITEM STATS'!B51</f>
        <v>48</v>
      </c>
      <c r="D10">
        <f>'ITEM STATS'!C51</f>
        <v>89</v>
      </c>
      <c r="E10">
        <f>'ITEM STATS'!D51</f>
        <v>31</v>
      </c>
      <c r="F10">
        <f>'ITEM STATS'!E51</f>
        <v>2</v>
      </c>
      <c r="G10">
        <f>'ITEM STATS'!F51</f>
        <v>32</v>
      </c>
      <c r="H10">
        <f>'ITEM STATS'!G51</f>
        <v>21</v>
      </c>
      <c r="I10">
        <f>'ITEM STATS'!H51</f>
        <v>0</v>
      </c>
      <c r="J10">
        <f>'ITEM STATS'!I51</f>
        <v>100</v>
      </c>
    </row>
    <row r="11" spans="1:21" x14ac:dyDescent="0.25">
      <c r="A11" t="s">
        <v>146</v>
      </c>
      <c r="B11">
        <v>9</v>
      </c>
      <c r="C11">
        <f>'ITEM STATS'!B52</f>
        <v>49</v>
      </c>
      <c r="D11">
        <f>'ITEM STATS'!C52</f>
        <v>90</v>
      </c>
      <c r="E11">
        <f>'ITEM STATS'!D52</f>
        <v>33</v>
      </c>
      <c r="F11">
        <f>'ITEM STATS'!E52</f>
        <v>2</v>
      </c>
      <c r="G11">
        <f>'ITEM STATS'!F52</f>
        <v>33</v>
      </c>
      <c r="H11">
        <f>'ITEM STATS'!G52</f>
        <v>23</v>
      </c>
      <c r="I11">
        <f>'ITEM STATS'!H52</f>
        <v>0</v>
      </c>
      <c r="J11">
        <f>'ITEM STATS'!I52</f>
        <v>100</v>
      </c>
    </row>
    <row r="12" spans="1:21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35</v>
      </c>
      <c r="F12">
        <f>'ITEM STATS'!E53</f>
        <v>2</v>
      </c>
      <c r="G12">
        <f>'ITEM STATS'!F53</f>
        <v>33</v>
      </c>
      <c r="H12">
        <f>'ITEM STATS'!G53</f>
        <v>25</v>
      </c>
      <c r="I12">
        <f>'ITEM STATS'!H53</f>
        <v>0</v>
      </c>
      <c r="J12">
        <f>'ITEM STATS'!I53</f>
        <v>100</v>
      </c>
    </row>
    <row r="13" spans="1:21" x14ac:dyDescent="0.25">
      <c r="A13" t="s">
        <v>29</v>
      </c>
      <c r="B13">
        <v>1</v>
      </c>
      <c r="C13">
        <f>'ITEM STATS'!B65</f>
        <v>25</v>
      </c>
      <c r="D13">
        <f>'ITEM STATS'!C65</f>
        <v>85</v>
      </c>
      <c r="E13">
        <f>'ITEM STATS'!D65</f>
        <v>25</v>
      </c>
      <c r="F13">
        <f>'ITEM STATS'!E65</f>
        <v>1</v>
      </c>
      <c r="G13">
        <f>'ITEM STATS'!F65</f>
        <v>26</v>
      </c>
      <c r="H13">
        <f>'ITEM STATS'!G65</f>
        <v>10</v>
      </c>
      <c r="I13">
        <f>'ITEM STATS'!H65</f>
        <v>30</v>
      </c>
      <c r="J13">
        <f>'ITEM STATS'!I65</f>
        <v>1100</v>
      </c>
      <c r="L13" t="s">
        <v>167</v>
      </c>
    </row>
    <row r="14" spans="1:21" x14ac:dyDescent="0.25">
      <c r="A14" t="s">
        <v>29</v>
      </c>
      <c r="B14">
        <v>2</v>
      </c>
      <c r="C14">
        <f>'ITEM STATS'!B66</f>
        <v>30</v>
      </c>
      <c r="D14">
        <f>'ITEM STATS'!C66</f>
        <v>86</v>
      </c>
      <c r="E14">
        <f>'ITEM STATS'!D66</f>
        <v>25</v>
      </c>
      <c r="F14">
        <f>'ITEM STATS'!E66</f>
        <v>1</v>
      </c>
      <c r="G14">
        <f>'ITEM STATS'!F66</f>
        <v>27</v>
      </c>
      <c r="H14">
        <f>'ITEM STATS'!G66</f>
        <v>11</v>
      </c>
      <c r="I14">
        <f>'ITEM STATS'!H66</f>
        <v>30</v>
      </c>
      <c r="J14">
        <f>'ITEM STATS'!I66</f>
        <v>1170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194</v>
      </c>
      <c r="R14" t="s">
        <v>177</v>
      </c>
      <c r="S14" t="s">
        <v>89</v>
      </c>
      <c r="T14" t="s">
        <v>176</v>
      </c>
      <c r="U14" t="s">
        <v>279</v>
      </c>
    </row>
    <row r="15" spans="1:21" x14ac:dyDescent="0.25">
      <c r="A15" t="s">
        <v>29</v>
      </c>
      <c r="B15">
        <v>3</v>
      </c>
      <c r="C15">
        <f>'ITEM STATS'!B67</f>
        <v>34</v>
      </c>
      <c r="D15">
        <f>'ITEM STATS'!C67</f>
        <v>86</v>
      </c>
      <c r="E15">
        <f>'ITEM STATS'!D67</f>
        <v>26</v>
      </c>
      <c r="F15">
        <f>'ITEM STATS'!E67</f>
        <v>1</v>
      </c>
      <c r="G15">
        <f>'ITEM STATS'!F67</f>
        <v>29</v>
      </c>
      <c r="H15">
        <f>'ITEM STATS'!G67</f>
        <v>13</v>
      </c>
      <c r="I15">
        <f>'ITEM STATS'!H67</f>
        <v>30</v>
      </c>
      <c r="J15">
        <f>'ITEM STATS'!I67</f>
        <v>1370</v>
      </c>
      <c r="L15" t="s">
        <v>170</v>
      </c>
      <c r="M15">
        <v>1</v>
      </c>
      <c r="N15">
        <f>'ITEM STATS'!B194</f>
        <v>2</v>
      </c>
    </row>
    <row r="16" spans="1:21" x14ac:dyDescent="0.25">
      <c r="A16" t="s">
        <v>29</v>
      </c>
      <c r="B16">
        <v>4</v>
      </c>
      <c r="C16">
        <f>'ITEM STATS'!B68</f>
        <v>38</v>
      </c>
      <c r="D16">
        <f>'ITEM STATS'!C68</f>
        <v>87</v>
      </c>
      <c r="E16">
        <f>'ITEM STATS'!D68</f>
        <v>27</v>
      </c>
      <c r="F16">
        <f>'ITEM STATS'!E68</f>
        <v>1</v>
      </c>
      <c r="G16">
        <f>'ITEM STATS'!F68</f>
        <v>30</v>
      </c>
      <c r="H16">
        <f>'ITEM STATS'!G68</f>
        <v>14</v>
      </c>
      <c r="I16">
        <f>'ITEM STATS'!H68</f>
        <v>30</v>
      </c>
      <c r="J16">
        <f>'ITEM STATS'!I68</f>
        <v>1710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87</v>
      </c>
      <c r="E17">
        <f>'ITEM STATS'!D69</f>
        <v>27</v>
      </c>
      <c r="F17">
        <f>'ITEM STATS'!E69</f>
        <v>1</v>
      </c>
      <c r="G17">
        <f>'ITEM STATS'!F69</f>
        <v>30</v>
      </c>
      <c r="H17">
        <f>'ITEM STATS'!G69</f>
        <v>16</v>
      </c>
      <c r="I17">
        <f>'ITEM STATS'!H69</f>
        <v>30</v>
      </c>
      <c r="J17">
        <f>'ITEM STATS'!I69</f>
        <v>2190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88</v>
      </c>
      <c r="E18">
        <f>'ITEM STATS'!D70</f>
        <v>29</v>
      </c>
      <c r="F18">
        <f>'ITEM STATS'!E70</f>
        <v>2</v>
      </c>
      <c r="G18">
        <f>'ITEM STATS'!F70</f>
        <v>31</v>
      </c>
      <c r="H18">
        <f>'ITEM STATS'!G70</f>
        <v>18</v>
      </c>
      <c r="I18">
        <f>'ITEM STATS'!H70</f>
        <v>30</v>
      </c>
      <c r="J18">
        <f>'ITEM STATS'!I70</f>
        <v>2800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89</v>
      </c>
      <c r="E19">
        <f>'ITEM STATS'!D71</f>
        <v>30</v>
      </c>
      <c r="F19">
        <f>'ITEM STATS'!E71</f>
        <v>2</v>
      </c>
      <c r="G19">
        <f>'ITEM STATS'!F71</f>
        <v>32</v>
      </c>
      <c r="H19">
        <f>'ITEM STATS'!G71</f>
        <v>19</v>
      </c>
      <c r="I19">
        <f>'ITEM STATS'!H71</f>
        <v>30</v>
      </c>
      <c r="J19">
        <f>'ITEM STATS'!I71</f>
        <v>3540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89</v>
      </c>
      <c r="E20">
        <f>'ITEM STATS'!D72</f>
        <v>31</v>
      </c>
      <c r="F20">
        <f>'ITEM STATS'!E72</f>
        <v>2</v>
      </c>
      <c r="G20">
        <f>'ITEM STATS'!F72</f>
        <v>32</v>
      </c>
      <c r="H20">
        <f>'ITEM STATS'!G72</f>
        <v>21</v>
      </c>
      <c r="I20">
        <f>'ITEM STATS'!H72</f>
        <v>30</v>
      </c>
      <c r="J20">
        <f>'ITEM STATS'!I72</f>
        <v>4430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90</v>
      </c>
      <c r="E21">
        <f>'ITEM STATS'!D73</f>
        <v>33</v>
      </c>
      <c r="F21">
        <f>'ITEM STATS'!E73</f>
        <v>2</v>
      </c>
      <c r="G21">
        <f>'ITEM STATS'!F73</f>
        <v>33</v>
      </c>
      <c r="H21">
        <f>'ITEM STATS'!G73</f>
        <v>23</v>
      </c>
      <c r="I21">
        <f>'ITEM STATS'!H73</f>
        <v>30</v>
      </c>
      <c r="J21">
        <f>'ITEM STATS'!I73</f>
        <v>5450</v>
      </c>
      <c r="L21" t="s">
        <v>169</v>
      </c>
      <c r="M21">
        <v>2</v>
      </c>
      <c r="O21">
        <f>'ITEM STATS'!L195</f>
        <v>8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35</v>
      </c>
      <c r="F22">
        <f>'ITEM STATS'!E74</f>
        <v>2</v>
      </c>
      <c r="G22">
        <f>'ITEM STATS'!F74</f>
        <v>33</v>
      </c>
      <c r="H22">
        <f>'ITEM STATS'!G74</f>
        <v>25</v>
      </c>
      <c r="I22">
        <f>'ITEM STATS'!H74</f>
        <v>30</v>
      </c>
      <c r="J22">
        <f>'ITEM STATS'!I74</f>
        <v>6600</v>
      </c>
      <c r="L22" t="s">
        <v>169</v>
      </c>
      <c r="M22">
        <v>3</v>
      </c>
      <c r="O22">
        <f>'ITEM STATS'!L196</f>
        <v>10</v>
      </c>
    </row>
    <row r="23" spans="1:17" x14ac:dyDescent="0.25">
      <c r="A23" t="s">
        <v>30</v>
      </c>
      <c r="B23">
        <v>1</v>
      </c>
      <c r="C23">
        <f>'ITEM STATS'!B86</f>
        <v>45</v>
      </c>
      <c r="D23">
        <f>'ITEM STATS'!C86</f>
        <v>80</v>
      </c>
      <c r="E23">
        <f>'ITEM STATS'!D86</f>
        <v>60</v>
      </c>
      <c r="F23">
        <f>'ITEM STATS'!E86</f>
        <v>1</v>
      </c>
      <c r="G23">
        <f>'ITEM STATS'!F86</f>
        <v>55</v>
      </c>
      <c r="H23">
        <f>'ITEM STATS'!G86</f>
        <v>15</v>
      </c>
      <c r="I23">
        <f>'ITEM STATS'!H86</f>
        <v>15</v>
      </c>
      <c r="J23">
        <f>'ITEM STATS'!I86</f>
        <v>1900</v>
      </c>
      <c r="L23" t="s">
        <v>169</v>
      </c>
      <c r="M23">
        <v>4</v>
      </c>
      <c r="O23">
        <f>'ITEM STATS'!L197</f>
        <v>13</v>
      </c>
    </row>
    <row r="24" spans="1:17" x14ac:dyDescent="0.25">
      <c r="A24" t="s">
        <v>30</v>
      </c>
      <c r="B24">
        <v>2</v>
      </c>
      <c r="C24">
        <f>'ITEM STATS'!B87</f>
        <v>55</v>
      </c>
      <c r="D24">
        <f>'ITEM STATS'!C87</f>
        <v>81</v>
      </c>
      <c r="E24">
        <f>'ITEM STATS'!D87</f>
        <v>61</v>
      </c>
      <c r="F24">
        <f>'ITEM STATS'!E87</f>
        <v>1</v>
      </c>
      <c r="G24">
        <f>'ITEM STATS'!F87</f>
        <v>58</v>
      </c>
      <c r="H24">
        <f>'ITEM STATS'!G87</f>
        <v>16</v>
      </c>
      <c r="I24">
        <f>'ITEM STATS'!H87</f>
        <v>15</v>
      </c>
      <c r="J24">
        <f>'ITEM STATS'!I87</f>
        <v>1990</v>
      </c>
      <c r="L24" t="s">
        <v>169</v>
      </c>
      <c r="M24">
        <v>5</v>
      </c>
      <c r="O24">
        <f>'ITEM STATS'!L198</f>
        <v>15</v>
      </c>
    </row>
    <row r="25" spans="1:17" x14ac:dyDescent="0.25">
      <c r="A25" t="s">
        <v>30</v>
      </c>
      <c r="B25">
        <v>3</v>
      </c>
      <c r="C25">
        <f>'ITEM STATS'!B88</f>
        <v>65</v>
      </c>
      <c r="D25">
        <f>'ITEM STATS'!C88</f>
        <v>81</v>
      </c>
      <c r="E25">
        <f>'ITEM STATS'!D88</f>
        <v>63</v>
      </c>
      <c r="F25">
        <f>'ITEM STATS'!E88</f>
        <v>1</v>
      </c>
      <c r="G25">
        <f>'ITEM STATS'!F88</f>
        <v>60</v>
      </c>
      <c r="H25">
        <f>'ITEM STATS'!G88</f>
        <v>17</v>
      </c>
      <c r="I25">
        <f>'ITEM STATS'!H88</f>
        <v>15</v>
      </c>
      <c r="J25">
        <f>'ITEM STATS'!I88</f>
        <v>2260</v>
      </c>
      <c r="L25" t="s">
        <v>172</v>
      </c>
      <c r="M25">
        <v>1</v>
      </c>
      <c r="P25">
        <f>'ITEM STATS'!B209</f>
        <v>15</v>
      </c>
    </row>
    <row r="26" spans="1:17" x14ac:dyDescent="0.25">
      <c r="A26" t="s">
        <v>30</v>
      </c>
      <c r="B26">
        <v>4</v>
      </c>
      <c r="C26">
        <f>'ITEM STATS'!B89</f>
        <v>73</v>
      </c>
      <c r="D26">
        <f>'ITEM STATS'!C89</f>
        <v>82</v>
      </c>
      <c r="E26">
        <f>'ITEM STATS'!D89</f>
        <v>65</v>
      </c>
      <c r="F26">
        <f>'ITEM STATS'!E89</f>
        <v>1</v>
      </c>
      <c r="G26">
        <f>'ITEM STATS'!F89</f>
        <v>63</v>
      </c>
      <c r="H26">
        <f>'ITEM STATS'!G89</f>
        <v>18</v>
      </c>
      <c r="I26">
        <f>'ITEM STATS'!H89</f>
        <v>15</v>
      </c>
      <c r="J26">
        <f>'ITEM STATS'!I89</f>
        <v>2700</v>
      </c>
      <c r="L26" t="s">
        <v>172</v>
      </c>
      <c r="M26">
        <v>2</v>
      </c>
      <c r="P26">
        <f>'ITEM STATS'!B210</f>
        <v>23</v>
      </c>
    </row>
    <row r="27" spans="1:17" x14ac:dyDescent="0.25">
      <c r="A27" t="s">
        <v>30</v>
      </c>
      <c r="B27">
        <v>5</v>
      </c>
      <c r="C27">
        <f>'ITEM STATS'!B90</f>
        <v>80</v>
      </c>
      <c r="D27">
        <f>'ITEM STATS'!C90</f>
        <v>82</v>
      </c>
      <c r="E27">
        <f>'ITEM STATS'!D90</f>
        <v>69</v>
      </c>
      <c r="F27">
        <f>'ITEM STATS'!E90</f>
        <v>1</v>
      </c>
      <c r="G27">
        <f>'ITEM STATS'!F90</f>
        <v>65</v>
      </c>
      <c r="H27">
        <f>'ITEM STATS'!G90</f>
        <v>19</v>
      </c>
      <c r="I27">
        <f>'ITEM STATS'!H90</f>
        <v>15</v>
      </c>
      <c r="J27">
        <f>'ITEM STATS'!I90</f>
        <v>3320</v>
      </c>
      <c r="L27" t="s">
        <v>172</v>
      </c>
      <c r="M27">
        <v>3</v>
      </c>
      <c r="P27">
        <f>'ITEM STATS'!B211</f>
        <v>30</v>
      </c>
    </row>
    <row r="28" spans="1:17" x14ac:dyDescent="0.25">
      <c r="A28" t="s">
        <v>30</v>
      </c>
      <c r="B28">
        <v>6</v>
      </c>
      <c r="C28">
        <f>'ITEM STATS'!B91</f>
        <v>86</v>
      </c>
      <c r="D28">
        <f>'ITEM STATS'!C91</f>
        <v>83</v>
      </c>
      <c r="E28">
        <f>'ITEM STATS'!D91</f>
        <v>73</v>
      </c>
      <c r="F28">
        <f>'ITEM STATS'!E91</f>
        <v>1</v>
      </c>
      <c r="G28">
        <f>'ITEM STATS'!F91</f>
        <v>66</v>
      </c>
      <c r="H28">
        <f>'ITEM STATS'!G91</f>
        <v>20</v>
      </c>
      <c r="I28">
        <f>'ITEM STATS'!H91</f>
        <v>15</v>
      </c>
      <c r="J28">
        <f>'ITEM STATS'!I91</f>
        <v>4120</v>
      </c>
      <c r="L28" t="s">
        <v>172</v>
      </c>
      <c r="M28">
        <v>4</v>
      </c>
      <c r="P28">
        <f>'ITEM STATS'!B212</f>
        <v>38</v>
      </c>
    </row>
    <row r="29" spans="1:17" x14ac:dyDescent="0.25">
      <c r="A29" t="s">
        <v>30</v>
      </c>
      <c r="B29">
        <v>7</v>
      </c>
      <c r="C29">
        <f>'ITEM STATS'!B92</f>
        <v>91</v>
      </c>
      <c r="D29">
        <f>'ITEM STATS'!C92</f>
        <v>84</v>
      </c>
      <c r="E29">
        <f>'ITEM STATS'!D92</f>
        <v>77</v>
      </c>
      <c r="F29">
        <f>'ITEM STATS'!E92</f>
        <v>1</v>
      </c>
      <c r="G29">
        <f>'ITEM STATS'!F92</f>
        <v>68</v>
      </c>
      <c r="H29">
        <f>'ITEM STATS'!G92</f>
        <v>21</v>
      </c>
      <c r="I29">
        <f>'ITEM STATS'!H92</f>
        <v>15</v>
      </c>
      <c r="J29">
        <f>'ITEM STATS'!I92</f>
        <v>5100</v>
      </c>
      <c r="L29" t="s">
        <v>172</v>
      </c>
      <c r="M29">
        <v>5</v>
      </c>
      <c r="P29">
        <f>'ITEM STATS'!B213</f>
        <v>45</v>
      </c>
    </row>
    <row r="30" spans="1:17" x14ac:dyDescent="0.25">
      <c r="A30" t="s">
        <v>30</v>
      </c>
      <c r="B30">
        <v>8</v>
      </c>
      <c r="C30">
        <f>'ITEM STATS'!B93</f>
        <v>95</v>
      </c>
      <c r="D30">
        <f>'ITEM STATS'!C93</f>
        <v>84</v>
      </c>
      <c r="E30">
        <f>'ITEM STATS'!D93</f>
        <v>82</v>
      </c>
      <c r="F30">
        <f>'ITEM STATS'!E93</f>
        <v>1</v>
      </c>
      <c r="G30">
        <f>'ITEM STATS'!F93</f>
        <v>69</v>
      </c>
      <c r="H30">
        <f>'ITEM STATS'!G93</f>
        <v>22</v>
      </c>
      <c r="I30">
        <f>'ITEM STATS'!H93</f>
        <v>15</v>
      </c>
      <c r="J30">
        <f>'ITEM STATS'!I93</f>
        <v>6260</v>
      </c>
      <c r="L30" t="s">
        <v>173</v>
      </c>
      <c r="M30">
        <v>1</v>
      </c>
      <c r="Q30">
        <f>'ITEM STATS'!L209</f>
        <v>10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85</v>
      </c>
      <c r="E31">
        <f>'ITEM STATS'!D94</f>
        <v>88</v>
      </c>
      <c r="F31">
        <f>'ITEM STATS'!E94</f>
        <v>1</v>
      </c>
      <c r="G31">
        <f>'ITEM STATS'!F94</f>
        <v>70</v>
      </c>
      <c r="H31">
        <f>'ITEM STATS'!G94</f>
        <v>24</v>
      </c>
      <c r="I31">
        <f>'ITEM STATS'!H94</f>
        <v>15</v>
      </c>
      <c r="J31">
        <f>'ITEM STATS'!I94</f>
        <v>7590</v>
      </c>
      <c r="L31" t="s">
        <v>173</v>
      </c>
      <c r="M31">
        <v>2</v>
      </c>
      <c r="Q31">
        <f>'ITEM STATS'!L210</f>
        <v>13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85</v>
      </c>
      <c r="E32">
        <f>'ITEM STATS'!D95</f>
        <v>95</v>
      </c>
      <c r="F32">
        <f>'ITEM STATS'!E95</f>
        <v>1</v>
      </c>
      <c r="G32">
        <f>'ITEM STATS'!F95</f>
        <v>70</v>
      </c>
      <c r="H32">
        <f>'ITEM STATS'!G95</f>
        <v>25</v>
      </c>
      <c r="I32">
        <f>'ITEM STATS'!H95</f>
        <v>15</v>
      </c>
      <c r="J32">
        <f>'ITEM STATS'!I95</f>
        <v>9100</v>
      </c>
      <c r="L32" t="s">
        <v>173</v>
      </c>
      <c r="M32">
        <v>3</v>
      </c>
      <c r="Q32">
        <f>'ITEM STATS'!L211</f>
        <v>15</v>
      </c>
    </row>
    <row r="33" spans="1:21" x14ac:dyDescent="0.25">
      <c r="A33" t="s">
        <v>31</v>
      </c>
      <c r="B33">
        <v>1</v>
      </c>
      <c r="C33">
        <f>'ITEM STATS'!B107</f>
        <v>15</v>
      </c>
      <c r="D33">
        <f>'ITEM STATS'!C107</f>
        <v>85</v>
      </c>
      <c r="E33">
        <f>'ITEM STATS'!D107</f>
        <v>15</v>
      </c>
      <c r="F33">
        <f>'ITEM STATS'!E107</f>
        <v>2</v>
      </c>
      <c r="G33">
        <f>'ITEM STATS'!F107</f>
        <v>20</v>
      </c>
      <c r="H33">
        <f>'ITEM STATS'!G107</f>
        <v>10</v>
      </c>
      <c r="I33">
        <f>'ITEM STATS'!H107</f>
        <v>60</v>
      </c>
      <c r="J33">
        <f>'ITEM STATS'!I107</f>
        <v>1200</v>
      </c>
      <c r="L33" t="s">
        <v>173</v>
      </c>
      <c r="M33">
        <v>4</v>
      </c>
      <c r="Q33">
        <f>'ITEM STATS'!L212</f>
        <v>18</v>
      </c>
    </row>
    <row r="34" spans="1:21" x14ac:dyDescent="0.25">
      <c r="A34" t="s">
        <v>31</v>
      </c>
      <c r="B34">
        <v>2</v>
      </c>
      <c r="C34">
        <f>'ITEM STATS'!B108</f>
        <v>19</v>
      </c>
      <c r="D34">
        <f>'ITEM STATS'!C108</f>
        <v>86</v>
      </c>
      <c r="E34">
        <f>'ITEM STATS'!D108</f>
        <v>15</v>
      </c>
      <c r="F34">
        <f>'ITEM STATS'!E108</f>
        <v>2</v>
      </c>
      <c r="G34">
        <f>'ITEM STATS'!F108</f>
        <v>21</v>
      </c>
      <c r="H34">
        <f>'ITEM STATS'!G108</f>
        <v>11</v>
      </c>
      <c r="I34">
        <f>'ITEM STATS'!H108</f>
        <v>60</v>
      </c>
      <c r="J34">
        <f>'ITEM STATS'!I108</f>
        <v>1280</v>
      </c>
      <c r="L34" t="s">
        <v>173</v>
      </c>
      <c r="M34">
        <v>5</v>
      </c>
      <c r="Q34">
        <f>'ITEM STATS'!L213</f>
        <v>20</v>
      </c>
    </row>
    <row r="35" spans="1:21" x14ac:dyDescent="0.25">
      <c r="A35" t="s">
        <v>31</v>
      </c>
      <c r="B35">
        <v>3</v>
      </c>
      <c r="C35">
        <f>'ITEM STATS'!B109</f>
        <v>22</v>
      </c>
      <c r="D35">
        <f>'ITEM STATS'!C109</f>
        <v>86</v>
      </c>
      <c r="E35">
        <f>'ITEM STATS'!D109</f>
        <v>16</v>
      </c>
      <c r="F35">
        <f>'ITEM STATS'!E109</f>
        <v>2</v>
      </c>
      <c r="G35">
        <f>'ITEM STATS'!F109</f>
        <v>21</v>
      </c>
      <c r="H35">
        <f>'ITEM STATS'!G109</f>
        <v>13</v>
      </c>
      <c r="I35">
        <f>'ITEM STATS'!H109</f>
        <v>60</v>
      </c>
      <c r="J35">
        <f>'ITEM STATS'!I109</f>
        <v>1500</v>
      </c>
      <c r="L35" t="s">
        <v>174</v>
      </c>
      <c r="M35">
        <v>1</v>
      </c>
      <c r="R35">
        <f>'ITEM STATS'!B224</f>
        <v>30</v>
      </c>
    </row>
    <row r="36" spans="1:21" x14ac:dyDescent="0.25">
      <c r="A36" t="s">
        <v>31</v>
      </c>
      <c r="B36">
        <v>4</v>
      </c>
      <c r="C36">
        <f>'ITEM STATS'!B110</f>
        <v>25</v>
      </c>
      <c r="D36">
        <f>'ITEM STATS'!C110</f>
        <v>87</v>
      </c>
      <c r="E36">
        <f>'ITEM STATS'!D110</f>
        <v>16</v>
      </c>
      <c r="F36">
        <f>'ITEM STATS'!E110</f>
        <v>3</v>
      </c>
      <c r="G36">
        <f>'ITEM STATS'!F110</f>
        <v>22</v>
      </c>
      <c r="H36">
        <f>'ITEM STATS'!G110</f>
        <v>14</v>
      </c>
      <c r="I36">
        <f>'ITEM STATS'!H110</f>
        <v>60</v>
      </c>
      <c r="J36">
        <f>'ITEM STATS'!I110</f>
        <v>1880</v>
      </c>
      <c r="L36" t="s">
        <v>174</v>
      </c>
      <c r="M36">
        <v>2</v>
      </c>
      <c r="R36">
        <f>'ITEM STATS'!B225</f>
        <v>45</v>
      </c>
    </row>
    <row r="37" spans="1:21" x14ac:dyDescent="0.25">
      <c r="A37" t="s">
        <v>31</v>
      </c>
      <c r="B37">
        <v>5</v>
      </c>
      <c r="C37">
        <f>'ITEM STATS'!B111</f>
        <v>28</v>
      </c>
      <c r="D37">
        <f>'ITEM STATS'!C111</f>
        <v>87</v>
      </c>
      <c r="E37">
        <f>'ITEM STATS'!D111</f>
        <v>17</v>
      </c>
      <c r="F37">
        <f>'ITEM STATS'!E111</f>
        <v>3</v>
      </c>
      <c r="G37">
        <f>'ITEM STATS'!F111</f>
        <v>23</v>
      </c>
      <c r="H37">
        <f>'ITEM STATS'!G111</f>
        <v>16</v>
      </c>
      <c r="I37">
        <f>'ITEM STATS'!H111</f>
        <v>60</v>
      </c>
      <c r="J37">
        <f>'ITEM STATS'!I111</f>
        <v>2400</v>
      </c>
      <c r="L37" t="s">
        <v>174</v>
      </c>
      <c r="M37">
        <v>3</v>
      </c>
      <c r="R37">
        <f>'ITEM STATS'!B226</f>
        <v>60</v>
      </c>
    </row>
    <row r="38" spans="1:21" x14ac:dyDescent="0.25">
      <c r="A38" t="s">
        <v>31</v>
      </c>
      <c r="B38">
        <v>6</v>
      </c>
      <c r="C38">
        <f>'ITEM STATS'!B112</f>
        <v>30</v>
      </c>
      <c r="D38">
        <f>'ITEM STATS'!C112</f>
        <v>88</v>
      </c>
      <c r="E38">
        <f>'ITEM STATS'!D112</f>
        <v>18</v>
      </c>
      <c r="F38">
        <f>'ITEM STATS'!E112</f>
        <v>3</v>
      </c>
      <c r="G38">
        <f>'ITEM STATS'!F112</f>
        <v>23</v>
      </c>
      <c r="H38">
        <f>'ITEM STATS'!G112</f>
        <v>18</v>
      </c>
      <c r="I38">
        <f>'ITEM STATS'!H112</f>
        <v>60</v>
      </c>
      <c r="J38">
        <f>'ITEM STATS'!I112</f>
        <v>3080</v>
      </c>
      <c r="L38" t="s">
        <v>174</v>
      </c>
      <c r="M38">
        <v>4</v>
      </c>
      <c r="R38">
        <f>'ITEM STATS'!B227</f>
        <v>75</v>
      </c>
    </row>
    <row r="39" spans="1:21" x14ac:dyDescent="0.25">
      <c r="A39" t="s">
        <v>31</v>
      </c>
      <c r="B39">
        <v>7</v>
      </c>
      <c r="C39">
        <f>'ITEM STATS'!B113</f>
        <v>32</v>
      </c>
      <c r="D39">
        <f>'ITEM STATS'!C113</f>
        <v>89</v>
      </c>
      <c r="E39">
        <f>'ITEM STATS'!D113</f>
        <v>19</v>
      </c>
      <c r="F39">
        <f>'ITEM STATS'!E113</f>
        <v>3</v>
      </c>
      <c r="G39">
        <f>'ITEM STATS'!F113</f>
        <v>23</v>
      </c>
      <c r="H39">
        <f>'ITEM STATS'!G113</f>
        <v>19</v>
      </c>
      <c r="I39">
        <f>'ITEM STATS'!H113</f>
        <v>60</v>
      </c>
      <c r="J39">
        <f>'ITEM STATS'!I113</f>
        <v>3910</v>
      </c>
      <c r="L39" t="s">
        <v>174</v>
      </c>
      <c r="M39">
        <v>5</v>
      </c>
      <c r="R39">
        <f>'ITEM STATS'!B228</f>
        <v>90</v>
      </c>
    </row>
    <row r="40" spans="1:21" x14ac:dyDescent="0.25">
      <c r="A40" t="s">
        <v>31</v>
      </c>
      <c r="B40">
        <v>8</v>
      </c>
      <c r="C40">
        <f>'ITEM STATS'!B114</f>
        <v>33</v>
      </c>
      <c r="D40">
        <f>'ITEM STATS'!C114</f>
        <v>89</v>
      </c>
      <c r="E40">
        <f>'ITEM STATS'!D114</f>
        <v>20</v>
      </c>
      <c r="F40">
        <f>'ITEM STATS'!E114</f>
        <v>4</v>
      </c>
      <c r="G40">
        <f>'ITEM STATS'!F114</f>
        <v>24</v>
      </c>
      <c r="H40">
        <f>'ITEM STATS'!G114</f>
        <v>21</v>
      </c>
      <c r="I40">
        <f>'ITEM STATS'!H114</f>
        <v>60</v>
      </c>
      <c r="J40">
        <f>'ITEM STATS'!I114</f>
        <v>4890</v>
      </c>
      <c r="L40" t="s">
        <v>191</v>
      </c>
      <c r="M40">
        <v>1</v>
      </c>
      <c r="S40">
        <f>'ITEM STATS'!L224</f>
        <v>20</v>
      </c>
    </row>
    <row r="41" spans="1:21" x14ac:dyDescent="0.25">
      <c r="A41" t="s">
        <v>31</v>
      </c>
      <c r="B41">
        <v>9</v>
      </c>
      <c r="C41">
        <f>'ITEM STATS'!B115</f>
        <v>34</v>
      </c>
      <c r="D41">
        <f>'ITEM STATS'!C115</f>
        <v>90</v>
      </c>
      <c r="E41">
        <f>'ITEM STATS'!D115</f>
        <v>21</v>
      </c>
      <c r="F41">
        <f>'ITEM STATS'!E115</f>
        <v>4</v>
      </c>
      <c r="G41">
        <f>'ITEM STATS'!F115</f>
        <v>24</v>
      </c>
      <c r="H41">
        <f>'ITEM STATS'!G115</f>
        <v>23</v>
      </c>
      <c r="I41">
        <f>'ITEM STATS'!H115</f>
        <v>60</v>
      </c>
      <c r="J41">
        <f>'ITEM STATS'!I115</f>
        <v>6020</v>
      </c>
      <c r="L41" t="s">
        <v>191</v>
      </c>
      <c r="M41">
        <v>2</v>
      </c>
      <c r="S41">
        <f>'ITEM STATS'!L225</f>
        <v>40</v>
      </c>
    </row>
    <row r="42" spans="1:21" x14ac:dyDescent="0.25">
      <c r="A42" t="s">
        <v>31</v>
      </c>
      <c r="B42">
        <v>10</v>
      </c>
      <c r="C42">
        <f>'ITEM STATS'!B116</f>
        <v>35</v>
      </c>
      <c r="D42">
        <f>'ITEM STATS'!C116</f>
        <v>90</v>
      </c>
      <c r="E42">
        <f>'ITEM STATS'!D116</f>
        <v>23</v>
      </c>
      <c r="F42">
        <f>'ITEM STATS'!E116</f>
        <v>4</v>
      </c>
      <c r="G42">
        <f>'ITEM STATS'!F116</f>
        <v>24</v>
      </c>
      <c r="H42">
        <f>'ITEM STATS'!G116</f>
        <v>25</v>
      </c>
      <c r="I42">
        <f>'ITEM STATS'!H116</f>
        <v>60</v>
      </c>
      <c r="J42">
        <f>'ITEM STATS'!I116</f>
        <v>7300</v>
      </c>
      <c r="L42" t="s">
        <v>191</v>
      </c>
      <c r="M42">
        <v>3</v>
      </c>
      <c r="S42">
        <f>'ITEM STATS'!L226</f>
        <v>60</v>
      </c>
    </row>
    <row r="43" spans="1:21" x14ac:dyDescent="0.25">
      <c r="A43" t="s">
        <v>34</v>
      </c>
      <c r="B43">
        <v>1</v>
      </c>
      <c r="C43">
        <f>'ITEM STATS'!B128</f>
        <v>25</v>
      </c>
      <c r="D43">
        <f>'ITEM STATS'!C128</f>
        <v>90</v>
      </c>
      <c r="E43">
        <f>'ITEM STATS'!D128</f>
        <v>10</v>
      </c>
      <c r="F43">
        <f>'ITEM STATS'!E128</f>
        <v>1</v>
      </c>
      <c r="G43">
        <f>'ITEM STATS'!F128</f>
        <v>26</v>
      </c>
      <c r="H43">
        <f>'ITEM STATS'!G128</f>
        <v>10</v>
      </c>
      <c r="I43">
        <f>'ITEM STATS'!H128</f>
        <v>35</v>
      </c>
      <c r="J43">
        <f>'ITEM STATS'!I128</f>
        <v>1500</v>
      </c>
      <c r="L43" t="s">
        <v>191</v>
      </c>
      <c r="M43">
        <v>4</v>
      </c>
      <c r="S43">
        <f>'ITEM STATS'!L227</f>
        <v>80</v>
      </c>
    </row>
    <row r="44" spans="1:21" x14ac:dyDescent="0.25">
      <c r="A44" t="s">
        <v>34</v>
      </c>
      <c r="B44">
        <v>2</v>
      </c>
      <c r="C44">
        <f>'ITEM STATS'!B129</f>
        <v>30</v>
      </c>
      <c r="D44">
        <f>'ITEM STATS'!C129</f>
        <v>91</v>
      </c>
      <c r="E44">
        <f>'ITEM STATS'!D129</f>
        <v>10</v>
      </c>
      <c r="F44">
        <f>'ITEM STATS'!E129</f>
        <v>1</v>
      </c>
      <c r="G44">
        <f>'ITEM STATS'!F129</f>
        <v>27</v>
      </c>
      <c r="H44">
        <f>'ITEM STATS'!G129</f>
        <v>11</v>
      </c>
      <c r="I44">
        <f>'ITEM STATS'!H129</f>
        <v>35</v>
      </c>
      <c r="J44">
        <f>'ITEM STATS'!I129</f>
        <v>1580</v>
      </c>
      <c r="L44" t="s">
        <v>191</v>
      </c>
      <c r="M44">
        <v>5</v>
      </c>
      <c r="S44">
        <f>'ITEM STATS'!L228</f>
        <v>100</v>
      </c>
    </row>
    <row r="45" spans="1:21" x14ac:dyDescent="0.25">
      <c r="A45" t="s">
        <v>34</v>
      </c>
      <c r="B45">
        <v>3</v>
      </c>
      <c r="C45">
        <f>'ITEM STATS'!B130</f>
        <v>34</v>
      </c>
      <c r="D45">
        <f>'ITEM STATS'!C130</f>
        <v>91</v>
      </c>
      <c r="E45">
        <f>'ITEM STATS'!D130</f>
        <v>10</v>
      </c>
      <c r="F45">
        <f>'ITEM STATS'!E130</f>
        <v>1</v>
      </c>
      <c r="G45">
        <f>'ITEM STATS'!F130</f>
        <v>29</v>
      </c>
      <c r="H45">
        <f>'ITEM STATS'!G130</f>
        <v>12</v>
      </c>
      <c r="I45">
        <f>'ITEM STATS'!H130</f>
        <v>35</v>
      </c>
      <c r="J45">
        <f>'ITEM STATS'!I130</f>
        <v>1830</v>
      </c>
      <c r="L45" t="s">
        <v>171</v>
      </c>
      <c r="M45">
        <v>1</v>
      </c>
      <c r="T45" t="b">
        <v>1</v>
      </c>
    </row>
    <row r="46" spans="1:21" x14ac:dyDescent="0.25">
      <c r="A46" t="s">
        <v>34</v>
      </c>
      <c r="B46">
        <v>4</v>
      </c>
      <c r="C46">
        <f>'ITEM STATS'!B131</f>
        <v>38</v>
      </c>
      <c r="D46">
        <f>'ITEM STATS'!C131</f>
        <v>92</v>
      </c>
      <c r="E46">
        <f>'ITEM STATS'!D131</f>
        <v>11</v>
      </c>
      <c r="F46">
        <f>'ITEM STATS'!E131</f>
        <v>2</v>
      </c>
      <c r="G46">
        <f>'ITEM STATS'!F131</f>
        <v>30</v>
      </c>
      <c r="H46">
        <f>'ITEM STATS'!G131</f>
        <v>13</v>
      </c>
      <c r="I46">
        <f>'ITEM STATS'!H131</f>
        <v>35</v>
      </c>
      <c r="J46">
        <f>'ITEM STATS'!I131</f>
        <v>2230</v>
      </c>
      <c r="L46" t="s">
        <v>278</v>
      </c>
      <c r="M46">
        <v>1</v>
      </c>
      <c r="U46">
        <f>'ITEM STATS'!B239</f>
        <v>10</v>
      </c>
    </row>
    <row r="47" spans="1:21" x14ac:dyDescent="0.25">
      <c r="A47" t="s">
        <v>34</v>
      </c>
      <c r="B47">
        <v>5</v>
      </c>
      <c r="C47">
        <f>'ITEM STATS'!B132</f>
        <v>41</v>
      </c>
      <c r="D47">
        <f>'ITEM STATS'!C132</f>
        <v>92</v>
      </c>
      <c r="E47">
        <f>'ITEM STATS'!D132</f>
        <v>11</v>
      </c>
      <c r="F47">
        <f>'ITEM STATS'!E132</f>
        <v>2</v>
      </c>
      <c r="G47">
        <f>'ITEM STATS'!F132</f>
        <v>30</v>
      </c>
      <c r="H47">
        <f>'ITEM STATS'!G132</f>
        <v>14</v>
      </c>
      <c r="I47">
        <f>'ITEM STATS'!H132</f>
        <v>35</v>
      </c>
      <c r="J47">
        <f>'ITEM STATS'!I132</f>
        <v>2800</v>
      </c>
      <c r="L47" t="s">
        <v>278</v>
      </c>
      <c r="M47">
        <v>2</v>
      </c>
      <c r="U47">
        <f>'ITEM STATS'!B240</f>
        <v>20</v>
      </c>
    </row>
    <row r="48" spans="1:21" x14ac:dyDescent="0.25">
      <c r="A48" t="s">
        <v>34</v>
      </c>
      <c r="B48">
        <v>6</v>
      </c>
      <c r="C48">
        <f>'ITEM STATS'!B133</f>
        <v>44</v>
      </c>
      <c r="D48">
        <f>'ITEM STATS'!C133</f>
        <v>93</v>
      </c>
      <c r="E48">
        <f>'ITEM STATS'!D133</f>
        <v>12</v>
      </c>
      <c r="F48">
        <f>'ITEM STATS'!E133</f>
        <v>2</v>
      </c>
      <c r="G48">
        <f>'ITEM STATS'!F133</f>
        <v>31</v>
      </c>
      <c r="H48">
        <f>'ITEM STATS'!G133</f>
        <v>15</v>
      </c>
      <c r="I48">
        <f>'ITEM STATS'!H133</f>
        <v>35</v>
      </c>
      <c r="J48">
        <f>'ITEM STATS'!I133</f>
        <v>3540</v>
      </c>
      <c r="L48" t="s">
        <v>278</v>
      </c>
      <c r="M48">
        <v>3</v>
      </c>
      <c r="U48">
        <f>'ITEM STATS'!B241</f>
        <v>30</v>
      </c>
    </row>
    <row r="49" spans="1:21" x14ac:dyDescent="0.25">
      <c r="A49" t="s">
        <v>34</v>
      </c>
      <c r="B49">
        <v>7</v>
      </c>
      <c r="C49">
        <f>'ITEM STATS'!B134</f>
        <v>46</v>
      </c>
      <c r="D49">
        <f>'ITEM STATS'!C134</f>
        <v>94</v>
      </c>
      <c r="E49">
        <f>'ITEM STATS'!D134</f>
        <v>12</v>
      </c>
      <c r="F49">
        <f>'ITEM STATS'!E134</f>
        <v>2</v>
      </c>
      <c r="G49">
        <f>'ITEM STATS'!F134</f>
        <v>32</v>
      </c>
      <c r="H49">
        <f>'ITEM STATS'!G134</f>
        <v>16</v>
      </c>
      <c r="I49">
        <f>'ITEM STATS'!H134</f>
        <v>35</v>
      </c>
      <c r="J49">
        <f>'ITEM STATS'!I134</f>
        <v>4430</v>
      </c>
      <c r="L49" t="s">
        <v>278</v>
      </c>
      <c r="M49">
        <v>4</v>
      </c>
      <c r="U49">
        <f>'ITEM STATS'!B242</f>
        <v>40</v>
      </c>
    </row>
    <row r="50" spans="1:21" x14ac:dyDescent="0.25">
      <c r="A50" t="s">
        <v>34</v>
      </c>
      <c r="B50">
        <v>8</v>
      </c>
      <c r="C50">
        <f>'ITEM STATS'!B135</f>
        <v>48</v>
      </c>
      <c r="D50">
        <f>'ITEM STATS'!C135</f>
        <v>94</v>
      </c>
      <c r="E50">
        <f>'ITEM STATS'!D135</f>
        <v>13</v>
      </c>
      <c r="F50">
        <f>'ITEM STATS'!E135</f>
        <v>3</v>
      </c>
      <c r="G50">
        <f>'ITEM STATS'!F135</f>
        <v>32</v>
      </c>
      <c r="H50">
        <f>'ITEM STATS'!G135</f>
        <v>17</v>
      </c>
      <c r="I50">
        <f>'ITEM STATS'!H135</f>
        <v>35</v>
      </c>
      <c r="J50">
        <f>'ITEM STATS'!I135</f>
        <v>5490</v>
      </c>
      <c r="L50" t="s">
        <v>278</v>
      </c>
      <c r="M50">
        <v>5</v>
      </c>
      <c r="U50">
        <f>'ITEM STATS'!B243</f>
        <v>50</v>
      </c>
    </row>
    <row r="51" spans="1:21" x14ac:dyDescent="0.25">
      <c r="A51" t="s">
        <v>34</v>
      </c>
      <c r="B51">
        <v>9</v>
      </c>
      <c r="C51">
        <f>'ITEM STATS'!B136</f>
        <v>49</v>
      </c>
      <c r="D51">
        <f>'ITEM STATS'!C136</f>
        <v>95</v>
      </c>
      <c r="E51">
        <f>'ITEM STATS'!D136</f>
        <v>14</v>
      </c>
      <c r="F51">
        <f>'ITEM STATS'!E136</f>
        <v>3</v>
      </c>
      <c r="G51">
        <f>'ITEM STATS'!F136</f>
        <v>33</v>
      </c>
      <c r="H51">
        <f>'ITEM STATS'!G136</f>
        <v>19</v>
      </c>
      <c r="I51">
        <f>'ITEM STATS'!H136</f>
        <v>35</v>
      </c>
      <c r="J51">
        <f>'ITEM STATS'!I136</f>
        <v>6710</v>
      </c>
    </row>
    <row r="52" spans="1:21" x14ac:dyDescent="0.25">
      <c r="A52" t="s">
        <v>34</v>
      </c>
      <c r="B52">
        <v>10</v>
      </c>
      <c r="C52">
        <f>'ITEM STATS'!B137</f>
        <v>50</v>
      </c>
      <c r="D52">
        <f>'ITEM STATS'!C137</f>
        <v>95</v>
      </c>
      <c r="E52">
        <f>'ITEM STATS'!D137</f>
        <v>15</v>
      </c>
      <c r="F52">
        <f>'ITEM STATS'!E137</f>
        <v>3</v>
      </c>
      <c r="G52">
        <f>'ITEM STATS'!F137</f>
        <v>33</v>
      </c>
      <c r="H52">
        <f>'ITEM STATS'!G137</f>
        <v>20</v>
      </c>
      <c r="I52">
        <f>'ITEM STATS'!H137</f>
        <v>35</v>
      </c>
      <c r="J52">
        <f>'ITEM STATS'!I137</f>
        <v>8100</v>
      </c>
    </row>
    <row r="53" spans="1:21" x14ac:dyDescent="0.25">
      <c r="A53" t="s">
        <v>32</v>
      </c>
      <c r="B53">
        <v>1</v>
      </c>
      <c r="C53">
        <f>'ITEM STATS'!B149</f>
        <v>20</v>
      </c>
      <c r="D53">
        <f>'ITEM STATS'!C149</f>
        <v>80</v>
      </c>
      <c r="E53">
        <f>'ITEM STATS'!D149</f>
        <v>3</v>
      </c>
      <c r="F53">
        <f>'ITEM STATS'!E149</f>
        <v>1</v>
      </c>
      <c r="G53">
        <f>'ITEM STATS'!F149</f>
        <v>15</v>
      </c>
      <c r="H53">
        <f>'ITEM STATS'!G149</f>
        <v>5</v>
      </c>
      <c r="I53">
        <f>'ITEM STATS'!H149</f>
        <v>0</v>
      </c>
      <c r="J53">
        <f>'ITEM STATS'!I149</f>
        <v>1100</v>
      </c>
    </row>
    <row r="54" spans="1:21" x14ac:dyDescent="0.25">
      <c r="A54" t="s">
        <v>32</v>
      </c>
      <c r="B54">
        <v>2</v>
      </c>
      <c r="C54">
        <f>'ITEM STATS'!B150</f>
        <v>25</v>
      </c>
      <c r="D54">
        <f>'ITEM STATS'!C150</f>
        <v>82</v>
      </c>
      <c r="E54">
        <f>'ITEM STATS'!D150</f>
        <v>3</v>
      </c>
      <c r="F54">
        <f>'ITEM STATS'!E150</f>
        <v>1</v>
      </c>
      <c r="G54">
        <f>'ITEM STATS'!F150</f>
        <v>17</v>
      </c>
      <c r="H54">
        <f>'ITEM STATS'!G150</f>
        <v>6</v>
      </c>
      <c r="I54">
        <f>'ITEM STATS'!H150</f>
        <v>0</v>
      </c>
      <c r="J54">
        <f>'ITEM STATS'!I150</f>
        <v>1170</v>
      </c>
    </row>
    <row r="55" spans="1:21" x14ac:dyDescent="0.25">
      <c r="A55" t="s">
        <v>32</v>
      </c>
      <c r="B55">
        <v>3</v>
      </c>
      <c r="C55">
        <f>'ITEM STATS'!B151</f>
        <v>29</v>
      </c>
      <c r="D55">
        <f>'ITEM STATS'!C151</f>
        <v>84</v>
      </c>
      <c r="E55">
        <f>'ITEM STATS'!D151</f>
        <v>3</v>
      </c>
      <c r="F55">
        <f>'ITEM STATS'!E151</f>
        <v>1</v>
      </c>
      <c r="G55">
        <f>'ITEM STATS'!F151</f>
        <v>18</v>
      </c>
      <c r="H55">
        <f>'ITEM STATS'!G151</f>
        <v>7</v>
      </c>
      <c r="I55">
        <f>'ITEM STATS'!H151</f>
        <v>0</v>
      </c>
      <c r="J55">
        <f>'ITEM STATS'!I151</f>
        <v>1380</v>
      </c>
    </row>
    <row r="56" spans="1:21" x14ac:dyDescent="0.25">
      <c r="A56" t="s">
        <v>32</v>
      </c>
      <c r="B56">
        <v>4</v>
      </c>
      <c r="C56">
        <f>'ITEM STATS'!B152</f>
        <v>33</v>
      </c>
      <c r="D56">
        <f>'ITEM STATS'!C152</f>
        <v>86</v>
      </c>
      <c r="E56">
        <f>'ITEM STATS'!D152</f>
        <v>3</v>
      </c>
      <c r="F56">
        <f>'ITEM STATS'!E152</f>
        <v>1</v>
      </c>
      <c r="G56">
        <f>'ITEM STATS'!F152</f>
        <v>20</v>
      </c>
      <c r="H56">
        <f>'ITEM STATS'!G152</f>
        <v>8</v>
      </c>
      <c r="I56">
        <f>'ITEM STATS'!H152</f>
        <v>0</v>
      </c>
      <c r="J56">
        <f>'ITEM STATS'!I152</f>
        <v>1730</v>
      </c>
    </row>
    <row r="57" spans="1:21" x14ac:dyDescent="0.25">
      <c r="A57" t="s">
        <v>32</v>
      </c>
      <c r="B57">
        <v>5</v>
      </c>
      <c r="C57">
        <f>'ITEM STATS'!B153</f>
        <v>36</v>
      </c>
      <c r="D57">
        <f>'ITEM STATS'!C153</f>
        <v>87</v>
      </c>
      <c r="E57">
        <f>'ITEM STATS'!D153</f>
        <v>3</v>
      </c>
      <c r="F57">
        <f>'ITEM STATS'!E153</f>
        <v>1</v>
      </c>
      <c r="G57">
        <f>'ITEM STATS'!F153</f>
        <v>21</v>
      </c>
      <c r="H57">
        <f>'ITEM STATS'!G153</f>
        <v>9</v>
      </c>
      <c r="I57">
        <f>'ITEM STATS'!H153</f>
        <v>0</v>
      </c>
      <c r="J57">
        <f>'ITEM STATS'!I153</f>
        <v>2230</v>
      </c>
    </row>
    <row r="58" spans="1:21" x14ac:dyDescent="0.25">
      <c r="A58" t="s">
        <v>32</v>
      </c>
      <c r="B58">
        <v>6</v>
      </c>
      <c r="C58">
        <f>'ITEM STATS'!B154</f>
        <v>39</v>
      </c>
      <c r="D58">
        <f>'ITEM STATS'!C154</f>
        <v>89</v>
      </c>
      <c r="E58">
        <f>'ITEM STATS'!D154</f>
        <v>3</v>
      </c>
      <c r="F58">
        <f>'ITEM STATS'!E154</f>
        <v>2</v>
      </c>
      <c r="G58">
        <f>'ITEM STATS'!F154</f>
        <v>22</v>
      </c>
      <c r="H58">
        <f>'ITEM STATS'!G154</f>
        <v>10</v>
      </c>
      <c r="I58">
        <f>'ITEM STATS'!H154</f>
        <v>0</v>
      </c>
      <c r="J58">
        <f>'ITEM STATS'!I154</f>
        <v>2860</v>
      </c>
    </row>
    <row r="59" spans="1:21" x14ac:dyDescent="0.25">
      <c r="A59" t="s">
        <v>32</v>
      </c>
      <c r="B59">
        <v>7</v>
      </c>
      <c r="C59">
        <f>'ITEM STATS'!B155</f>
        <v>41</v>
      </c>
      <c r="D59">
        <f>'ITEM STATS'!C155</f>
        <v>91</v>
      </c>
      <c r="E59">
        <f>'ITEM STATS'!D155</f>
        <v>3</v>
      </c>
      <c r="F59">
        <f>'ITEM STATS'!E155</f>
        <v>2</v>
      </c>
      <c r="G59">
        <f>'ITEM STATS'!F155</f>
        <v>23</v>
      </c>
      <c r="H59">
        <f>'ITEM STATS'!G155</f>
        <v>11</v>
      </c>
      <c r="I59">
        <f>'ITEM STATS'!H155</f>
        <v>0</v>
      </c>
      <c r="J59">
        <f>'ITEM STATS'!I155</f>
        <v>3630</v>
      </c>
    </row>
    <row r="60" spans="1:21" x14ac:dyDescent="0.25">
      <c r="A60" t="s">
        <v>32</v>
      </c>
      <c r="B60">
        <v>8</v>
      </c>
      <c r="C60">
        <f>'ITEM STATS'!B156</f>
        <v>43</v>
      </c>
      <c r="D60">
        <f>'ITEM STATS'!C156</f>
        <v>92</v>
      </c>
      <c r="E60">
        <f>'ITEM STATS'!D156</f>
        <v>3</v>
      </c>
      <c r="F60">
        <f>'ITEM STATS'!E156</f>
        <v>2</v>
      </c>
      <c r="G60">
        <f>'ITEM STATS'!F156</f>
        <v>23</v>
      </c>
      <c r="H60">
        <f>'ITEM STATS'!G156</f>
        <v>12</v>
      </c>
      <c r="I60">
        <f>'ITEM STATS'!H156</f>
        <v>0</v>
      </c>
      <c r="J60">
        <f>'ITEM STATS'!I156</f>
        <v>4550</v>
      </c>
    </row>
    <row r="61" spans="1:21" x14ac:dyDescent="0.25">
      <c r="A61" t="s">
        <v>32</v>
      </c>
      <c r="B61">
        <v>9</v>
      </c>
      <c r="C61">
        <f>'ITEM STATS'!B157</f>
        <v>44</v>
      </c>
      <c r="D61">
        <f>'ITEM STATS'!C157</f>
        <v>94</v>
      </c>
      <c r="E61">
        <f>'ITEM STATS'!D157</f>
        <v>3</v>
      </c>
      <c r="F61">
        <f>'ITEM STATS'!E157</f>
        <v>2</v>
      </c>
      <c r="G61">
        <f>'ITEM STATS'!F157</f>
        <v>24</v>
      </c>
      <c r="H61">
        <f>'ITEM STATS'!G157</f>
        <v>14</v>
      </c>
      <c r="I61">
        <f>'ITEM STATS'!H157</f>
        <v>0</v>
      </c>
      <c r="J61">
        <f>'ITEM STATS'!I157</f>
        <v>5600</v>
      </c>
    </row>
    <row r="62" spans="1:21" x14ac:dyDescent="0.25">
      <c r="A62" t="s">
        <v>32</v>
      </c>
      <c r="B62">
        <v>10</v>
      </c>
      <c r="C62">
        <f>'ITEM STATS'!B158</f>
        <v>45</v>
      </c>
      <c r="D62">
        <f>'ITEM STATS'!C158</f>
        <v>95</v>
      </c>
      <c r="E62">
        <f>'ITEM STATS'!D158</f>
        <v>3</v>
      </c>
      <c r="F62">
        <f>'ITEM STATS'!E158</f>
        <v>2</v>
      </c>
      <c r="G62">
        <f>'ITEM STATS'!F158</f>
        <v>24</v>
      </c>
      <c r="H62">
        <f>'ITEM STATS'!G158</f>
        <v>15</v>
      </c>
      <c r="I62">
        <f>'ITEM STATS'!H158</f>
        <v>0</v>
      </c>
      <c r="J62">
        <f>'ITEM STATS'!I158</f>
        <v>6800</v>
      </c>
    </row>
    <row r="63" spans="1:21" x14ac:dyDescent="0.25">
      <c r="A63" t="s">
        <v>33</v>
      </c>
      <c r="B63">
        <v>1</v>
      </c>
      <c r="C63">
        <f>'ITEM STATS'!B170</f>
        <v>45</v>
      </c>
      <c r="D63">
        <f>'ITEM STATS'!C170</f>
        <v>70</v>
      </c>
      <c r="E63">
        <f>'ITEM STATS'!D170</f>
        <v>80</v>
      </c>
      <c r="F63">
        <f>'ITEM STATS'!E170</f>
        <v>1</v>
      </c>
      <c r="G63">
        <f>'ITEM STATS'!F170</f>
        <v>40</v>
      </c>
      <c r="H63">
        <f>'ITEM STATS'!G170</f>
        <v>10</v>
      </c>
      <c r="I63">
        <f>'ITEM STATS'!H170</f>
        <v>15</v>
      </c>
      <c r="J63">
        <f>'ITEM STATS'!I170</f>
        <v>2000</v>
      </c>
    </row>
    <row r="64" spans="1:21" x14ac:dyDescent="0.25">
      <c r="A64" t="s">
        <v>33</v>
      </c>
      <c r="B64">
        <v>2</v>
      </c>
      <c r="C64">
        <f>'ITEM STATS'!B171</f>
        <v>54</v>
      </c>
      <c r="D64">
        <f>'ITEM STATS'!C171</f>
        <v>72</v>
      </c>
      <c r="E64">
        <f>'ITEM STATS'!D171</f>
        <v>81</v>
      </c>
      <c r="F64">
        <f>'ITEM STATS'!E171</f>
        <v>1</v>
      </c>
      <c r="G64">
        <f>'ITEM STATS'!F171</f>
        <v>40</v>
      </c>
      <c r="H64">
        <f>'ITEM STATS'!G171</f>
        <v>12</v>
      </c>
      <c r="I64">
        <f>'ITEM STATS'!H171</f>
        <v>15</v>
      </c>
      <c r="J64">
        <f>'ITEM STATS'!I171</f>
        <v>2090</v>
      </c>
    </row>
    <row r="65" spans="1:10" x14ac:dyDescent="0.25">
      <c r="A65" t="s">
        <v>33</v>
      </c>
      <c r="B65">
        <v>3</v>
      </c>
      <c r="C65">
        <f>'ITEM STATS'!B172</f>
        <v>61</v>
      </c>
      <c r="D65">
        <f>'ITEM STATS'!C172</f>
        <v>74</v>
      </c>
      <c r="E65">
        <f>'ITEM STATS'!D172</f>
        <v>82</v>
      </c>
      <c r="F65">
        <f>'ITEM STATS'!E172</f>
        <v>1</v>
      </c>
      <c r="G65">
        <f>'ITEM STATS'!F172</f>
        <v>40</v>
      </c>
      <c r="H65">
        <f>'ITEM STATS'!G172</f>
        <v>14</v>
      </c>
      <c r="I65">
        <f>'ITEM STATS'!H172</f>
        <v>15</v>
      </c>
      <c r="J65">
        <f>'ITEM STATS'!I172</f>
        <v>2380</v>
      </c>
    </row>
    <row r="66" spans="1:10" x14ac:dyDescent="0.25">
      <c r="A66" t="s">
        <v>33</v>
      </c>
      <c r="B66">
        <v>4</v>
      </c>
      <c r="C66">
        <f>'ITEM STATS'!B173</f>
        <v>68</v>
      </c>
      <c r="D66">
        <f>'ITEM STATS'!C173</f>
        <v>76</v>
      </c>
      <c r="E66">
        <f>'ITEM STATS'!D173</f>
        <v>83</v>
      </c>
      <c r="F66">
        <f>'ITEM STATS'!E173</f>
        <v>2</v>
      </c>
      <c r="G66">
        <f>'ITEM STATS'!F173</f>
        <v>40</v>
      </c>
      <c r="H66">
        <f>'ITEM STATS'!G173</f>
        <v>16</v>
      </c>
      <c r="I66">
        <f>'ITEM STATS'!H173</f>
        <v>15</v>
      </c>
      <c r="J66">
        <f>'ITEM STATS'!I173</f>
        <v>2840</v>
      </c>
    </row>
    <row r="67" spans="1:10" x14ac:dyDescent="0.25">
      <c r="A67" t="s">
        <v>33</v>
      </c>
      <c r="B67">
        <v>5</v>
      </c>
      <c r="C67">
        <f>'ITEM STATS'!B174</f>
        <v>74</v>
      </c>
      <c r="D67">
        <f>'ITEM STATS'!C174</f>
        <v>77</v>
      </c>
      <c r="E67">
        <f>'ITEM STATS'!D174</f>
        <v>85</v>
      </c>
      <c r="F67">
        <f>'ITEM STATS'!E174</f>
        <v>2</v>
      </c>
      <c r="G67">
        <f>'ITEM STATS'!F174</f>
        <v>40</v>
      </c>
      <c r="H67">
        <f>'ITEM STATS'!G174</f>
        <v>18</v>
      </c>
      <c r="I67">
        <f>'ITEM STATS'!H174</f>
        <v>15</v>
      </c>
      <c r="J67">
        <f>'ITEM STATS'!I174</f>
        <v>3500</v>
      </c>
    </row>
    <row r="68" spans="1:10" x14ac:dyDescent="0.25">
      <c r="A68" t="s">
        <v>33</v>
      </c>
      <c r="B68">
        <v>6</v>
      </c>
      <c r="C68">
        <f>'ITEM STATS'!B175</f>
        <v>79</v>
      </c>
      <c r="D68">
        <f>'ITEM STATS'!C175</f>
        <v>79</v>
      </c>
      <c r="E68">
        <f>'ITEM STATS'!D175</f>
        <v>87</v>
      </c>
      <c r="F68">
        <f>'ITEM STATS'!E175</f>
        <v>2</v>
      </c>
      <c r="G68">
        <f>'ITEM STATS'!F175</f>
        <v>40</v>
      </c>
      <c r="H68">
        <f>'ITEM STATS'!G175</f>
        <v>20</v>
      </c>
      <c r="I68">
        <f>'ITEM STATS'!H175</f>
        <v>15</v>
      </c>
      <c r="J68">
        <f>'ITEM STATS'!I175</f>
        <v>4350</v>
      </c>
    </row>
    <row r="69" spans="1:10" x14ac:dyDescent="0.25">
      <c r="A69" t="s">
        <v>33</v>
      </c>
      <c r="B69">
        <v>7</v>
      </c>
      <c r="C69">
        <f>'ITEM STATS'!B176</f>
        <v>83</v>
      </c>
      <c r="D69">
        <f>'ITEM STATS'!C176</f>
        <v>81</v>
      </c>
      <c r="E69">
        <f>'ITEM STATS'!D176</f>
        <v>90</v>
      </c>
      <c r="F69">
        <f>'ITEM STATS'!E176</f>
        <v>2</v>
      </c>
      <c r="G69">
        <f>'ITEM STATS'!F176</f>
        <v>40</v>
      </c>
      <c r="H69">
        <f>'ITEM STATS'!G176</f>
        <v>22</v>
      </c>
      <c r="I69">
        <f>'ITEM STATS'!H176</f>
        <v>15</v>
      </c>
      <c r="J69">
        <f>'ITEM STATS'!I176</f>
        <v>5380</v>
      </c>
    </row>
    <row r="70" spans="1:10" x14ac:dyDescent="0.25">
      <c r="A70" t="s">
        <v>33</v>
      </c>
      <c r="B70">
        <v>8</v>
      </c>
      <c r="C70">
        <f>'ITEM STATS'!B177</f>
        <v>86</v>
      </c>
      <c r="D70">
        <f>'ITEM STATS'!C177</f>
        <v>82</v>
      </c>
      <c r="E70">
        <f>'ITEM STATS'!D177</f>
        <v>93</v>
      </c>
      <c r="F70">
        <f>'ITEM STATS'!E177</f>
        <v>3</v>
      </c>
      <c r="G70">
        <f>'ITEM STATS'!F177</f>
        <v>40</v>
      </c>
      <c r="H70">
        <f>'ITEM STATS'!G177</f>
        <v>25</v>
      </c>
      <c r="I70">
        <f>'ITEM STATS'!H177</f>
        <v>15</v>
      </c>
      <c r="J70">
        <f>'ITEM STATS'!I177</f>
        <v>6600</v>
      </c>
    </row>
    <row r="71" spans="1:10" x14ac:dyDescent="0.25">
      <c r="A71" t="s">
        <v>33</v>
      </c>
      <c r="B71">
        <v>9</v>
      </c>
      <c r="C71">
        <f>'ITEM STATS'!B178</f>
        <v>89</v>
      </c>
      <c r="D71">
        <f>'ITEM STATS'!C178</f>
        <v>84</v>
      </c>
      <c r="E71">
        <f>'ITEM STATS'!D178</f>
        <v>96</v>
      </c>
      <c r="F71">
        <f>'ITEM STATS'!E178</f>
        <v>3</v>
      </c>
      <c r="G71">
        <f>'ITEM STATS'!F178</f>
        <v>40</v>
      </c>
      <c r="H71">
        <f>'ITEM STATS'!G178</f>
        <v>27</v>
      </c>
      <c r="I71">
        <f>'ITEM STATS'!H178</f>
        <v>15</v>
      </c>
      <c r="J71">
        <f>'ITEM STATS'!I178</f>
        <v>8000</v>
      </c>
    </row>
    <row r="72" spans="1:10" x14ac:dyDescent="0.25">
      <c r="A72" t="s">
        <v>33</v>
      </c>
      <c r="B72">
        <v>10</v>
      </c>
      <c r="C72">
        <f>'ITEM STATS'!B179</f>
        <v>90</v>
      </c>
      <c r="D72">
        <f>'ITEM STATS'!C179</f>
        <v>85</v>
      </c>
      <c r="E72">
        <f>'ITEM STATS'!D179</f>
        <v>100</v>
      </c>
      <c r="F72">
        <f>'ITEM STATS'!E179</f>
        <v>3</v>
      </c>
      <c r="G72">
        <f>'ITEM STATS'!F179</f>
        <v>40</v>
      </c>
      <c r="H72">
        <f>'ITEM STATS'!G179</f>
        <v>30</v>
      </c>
      <c r="I72">
        <f>'ITEM STATS'!H179</f>
        <v>15</v>
      </c>
      <c r="J72">
        <f>'ITEM STATS'!I179</f>
        <v>9600</v>
      </c>
    </row>
  </sheetData>
  <conditionalFormatting sqref="C3:C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5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conditionalFormatting sqref="U46:U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{7A454B02-02F0-4235-9008-0E01C1A5D9A9}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N15:N50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O15:O50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P15:P50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Q15:Q50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R15:R50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S15:S50</xm:sqref>
        </x14:conditionalFormatting>
        <x14:conditionalFormatting xmlns:xm="http://schemas.microsoft.com/office/excel/2006/main">
          <x14:cfRule type="dataBar" id="{7A454B02-02F0-4235-9008-0E01C1A5D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U46:U50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3:N243"/>
  <sheetViews>
    <sheetView topLeftCell="A187" workbookViewId="0">
      <selection activeCell="L209" sqref="L209:L213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195</v>
      </c>
      <c r="F17" t="s">
        <v>74</v>
      </c>
      <c r="G17" t="s">
        <v>75</v>
      </c>
      <c r="H17" t="s">
        <v>195</v>
      </c>
      <c r="K17" t="s">
        <v>74</v>
      </c>
      <c r="L17" t="s">
        <v>75</v>
      </c>
      <c r="M17" t="s">
        <v>195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  <c r="I30" t="s">
        <v>193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0.1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  <c r="I31">
        <f>I32/100</f>
        <v>0</v>
      </c>
    </row>
    <row r="32" spans="1:13" x14ac:dyDescent="0.25">
      <c r="B32">
        <v>90</v>
      </c>
      <c r="C32">
        <v>60</v>
      </c>
      <c r="D32">
        <v>10</v>
      </c>
      <c r="E32">
        <v>50</v>
      </c>
      <c r="F32">
        <v>90</v>
      </c>
      <c r="G32">
        <v>40</v>
      </c>
      <c r="H32">
        <v>80</v>
      </c>
      <c r="I32">
        <v>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85</v>
      </c>
      <c r="D37">
        <v>25</v>
      </c>
      <c r="E37">
        <v>1</v>
      </c>
      <c r="F37">
        <v>26</v>
      </c>
      <c r="G37">
        <v>10</v>
      </c>
      <c r="H37">
        <v>0</v>
      </c>
      <c r="I37">
        <v>100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35</v>
      </c>
      <c r="E39">
        <v>2</v>
      </c>
      <c r="F39">
        <v>33</v>
      </c>
      <c r="G39">
        <v>25</v>
      </c>
      <c r="H39">
        <v>0</v>
      </c>
      <c r="I39">
        <v>100</v>
      </c>
    </row>
    <row r="41" spans="1:9" x14ac:dyDescent="0.25">
      <c r="A41" t="s">
        <v>78</v>
      </c>
      <c r="B41">
        <f t="shared" ref="B41:G41" si="7">B37+((B39-B37)*(B31))</f>
        <v>47.5</v>
      </c>
      <c r="C41">
        <f t="shared" si="7"/>
        <v>88</v>
      </c>
      <c r="D41">
        <f t="shared" si="7"/>
        <v>26</v>
      </c>
      <c r="E41">
        <f t="shared" si="7"/>
        <v>1.5</v>
      </c>
      <c r="F41">
        <f t="shared" si="7"/>
        <v>32.299999999999997</v>
      </c>
      <c r="G41">
        <f t="shared" si="7"/>
        <v>16</v>
      </c>
      <c r="H41">
        <f>H37+((H39-H37)*(H31))</f>
        <v>0</v>
      </c>
      <c r="I41">
        <f>I37+((I39-I37)*(I31))</f>
        <v>100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85</v>
      </c>
      <c r="D44">
        <f t="shared" si="8"/>
        <v>25</v>
      </c>
      <c r="E44">
        <f t="shared" si="8"/>
        <v>1</v>
      </c>
      <c r="F44">
        <f t="shared" si="8"/>
        <v>26</v>
      </c>
      <c r="G44">
        <f t="shared" si="8"/>
        <v>10</v>
      </c>
      <c r="H44">
        <f>ROUND((((1-(($A44-1)/($A$53-1)))^2)*H$37)+(2*(1-(($A44-1)/($A$53-1)))*(($A44-1)/($A$53-1))*H$41)+(((($A44-1)/($A$53-1))^2)*H$39),0)</f>
        <v>0</v>
      </c>
      <c r="I44">
        <f t="shared" ref="I44:I53" si="9">ROUND((((1-(($A44-1)/($A$53-1)))^2)*I$37)+(2*(1-(($A44-1)/($A$53-1)))*(($A44-1)/($A$53-1))*I$41)+(((($A44-1)/($A$53-1))^2)*I$39),-1)</f>
        <v>100</v>
      </c>
    </row>
    <row r="45" spans="1:9" x14ac:dyDescent="0.25">
      <c r="A45">
        <v>2</v>
      </c>
      <c r="B45">
        <f t="shared" ref="B45:B53" si="10">ROUND((((1-(($A45-1)/($A$53-1)))^2)*B$37)+(2*(1-(($A45-1)/($A$53-1)))*(($A45-1)/($A$53-1))*B$41)+(((($A45-1)/($A$53-1))^2)*B$39),0)</f>
        <v>30</v>
      </c>
      <c r="C45">
        <f t="shared" si="8"/>
        <v>86</v>
      </c>
      <c r="D45">
        <f t="shared" si="8"/>
        <v>25</v>
      </c>
      <c r="E45">
        <f t="shared" si="8"/>
        <v>1</v>
      </c>
      <c r="F45">
        <f t="shared" si="8"/>
        <v>27</v>
      </c>
      <c r="G45">
        <f t="shared" si="8"/>
        <v>11</v>
      </c>
      <c r="H45">
        <f t="shared" si="8"/>
        <v>0</v>
      </c>
      <c r="I45">
        <f t="shared" si="9"/>
        <v>100</v>
      </c>
    </row>
    <row r="46" spans="1:9" x14ac:dyDescent="0.25">
      <c r="A46">
        <v>3</v>
      </c>
      <c r="B46">
        <f t="shared" si="10"/>
        <v>34</v>
      </c>
      <c r="C46">
        <f t="shared" si="8"/>
        <v>86</v>
      </c>
      <c r="D46">
        <f t="shared" si="8"/>
        <v>26</v>
      </c>
      <c r="E46">
        <f t="shared" si="8"/>
        <v>1</v>
      </c>
      <c r="F46">
        <f t="shared" si="8"/>
        <v>29</v>
      </c>
      <c r="G46">
        <f t="shared" si="8"/>
        <v>13</v>
      </c>
      <c r="H46">
        <f t="shared" si="8"/>
        <v>0</v>
      </c>
      <c r="I46">
        <f t="shared" si="9"/>
        <v>100</v>
      </c>
    </row>
    <row r="47" spans="1:9" x14ac:dyDescent="0.25">
      <c r="A47">
        <v>4</v>
      </c>
      <c r="B47">
        <f t="shared" si="10"/>
        <v>38</v>
      </c>
      <c r="C47">
        <f t="shared" si="8"/>
        <v>87</v>
      </c>
      <c r="D47">
        <f t="shared" si="8"/>
        <v>27</v>
      </c>
      <c r="E47">
        <f t="shared" si="8"/>
        <v>1</v>
      </c>
      <c r="F47">
        <f t="shared" si="8"/>
        <v>30</v>
      </c>
      <c r="G47">
        <f t="shared" si="8"/>
        <v>14</v>
      </c>
      <c r="H47">
        <f t="shared" si="8"/>
        <v>0</v>
      </c>
      <c r="I47">
        <f t="shared" si="9"/>
        <v>100</v>
      </c>
    </row>
    <row r="48" spans="1:9" x14ac:dyDescent="0.25">
      <c r="A48">
        <v>5</v>
      </c>
      <c r="B48">
        <f t="shared" si="10"/>
        <v>41</v>
      </c>
      <c r="C48">
        <f t="shared" si="8"/>
        <v>87</v>
      </c>
      <c r="D48">
        <f t="shared" si="8"/>
        <v>27</v>
      </c>
      <c r="E48">
        <f t="shared" si="8"/>
        <v>1</v>
      </c>
      <c r="F48">
        <f t="shared" si="8"/>
        <v>30</v>
      </c>
      <c r="G48">
        <f t="shared" si="8"/>
        <v>16</v>
      </c>
      <c r="H48">
        <f t="shared" si="8"/>
        <v>0</v>
      </c>
      <c r="I48">
        <f t="shared" si="9"/>
        <v>100</v>
      </c>
    </row>
    <row r="49" spans="1:10" x14ac:dyDescent="0.25">
      <c r="A49">
        <v>6</v>
      </c>
      <c r="B49">
        <f t="shared" si="10"/>
        <v>44</v>
      </c>
      <c r="C49">
        <f t="shared" si="8"/>
        <v>88</v>
      </c>
      <c r="D49">
        <f t="shared" si="8"/>
        <v>29</v>
      </c>
      <c r="E49">
        <f t="shared" si="8"/>
        <v>2</v>
      </c>
      <c r="F49">
        <f t="shared" si="8"/>
        <v>31</v>
      </c>
      <c r="G49">
        <f t="shared" si="8"/>
        <v>18</v>
      </c>
      <c r="H49">
        <f t="shared" si="8"/>
        <v>0</v>
      </c>
      <c r="I49">
        <f t="shared" si="9"/>
        <v>100</v>
      </c>
    </row>
    <row r="50" spans="1:10" x14ac:dyDescent="0.25">
      <c r="A50">
        <v>7</v>
      </c>
      <c r="B50">
        <f t="shared" si="10"/>
        <v>46</v>
      </c>
      <c r="C50">
        <f t="shared" si="8"/>
        <v>89</v>
      </c>
      <c r="D50">
        <f t="shared" si="8"/>
        <v>30</v>
      </c>
      <c r="E50">
        <f t="shared" si="8"/>
        <v>2</v>
      </c>
      <c r="F50">
        <f t="shared" si="8"/>
        <v>32</v>
      </c>
      <c r="G50">
        <f t="shared" si="8"/>
        <v>19</v>
      </c>
      <c r="H50">
        <f t="shared" si="8"/>
        <v>0</v>
      </c>
      <c r="I50">
        <f t="shared" si="9"/>
        <v>100</v>
      </c>
    </row>
    <row r="51" spans="1:10" x14ac:dyDescent="0.25">
      <c r="A51">
        <v>8</v>
      </c>
      <c r="B51">
        <f t="shared" si="10"/>
        <v>48</v>
      </c>
      <c r="C51">
        <f t="shared" si="8"/>
        <v>89</v>
      </c>
      <c r="D51">
        <f t="shared" si="8"/>
        <v>31</v>
      </c>
      <c r="E51">
        <f t="shared" si="8"/>
        <v>2</v>
      </c>
      <c r="F51">
        <f t="shared" si="8"/>
        <v>32</v>
      </c>
      <c r="G51">
        <f t="shared" si="8"/>
        <v>21</v>
      </c>
      <c r="H51">
        <f t="shared" si="8"/>
        <v>0</v>
      </c>
      <c r="I51">
        <f t="shared" si="9"/>
        <v>100</v>
      </c>
    </row>
    <row r="52" spans="1:10" x14ac:dyDescent="0.25">
      <c r="A52">
        <v>9</v>
      </c>
      <c r="B52">
        <f t="shared" si="10"/>
        <v>49</v>
      </c>
      <c r="C52">
        <f t="shared" si="8"/>
        <v>90</v>
      </c>
      <c r="D52">
        <f t="shared" si="8"/>
        <v>33</v>
      </c>
      <c r="E52">
        <f t="shared" si="8"/>
        <v>2</v>
      </c>
      <c r="F52">
        <f t="shared" si="8"/>
        <v>33</v>
      </c>
      <c r="G52">
        <f t="shared" si="8"/>
        <v>23</v>
      </c>
      <c r="H52">
        <f t="shared" si="8"/>
        <v>0</v>
      </c>
      <c r="I52">
        <f t="shared" si="9"/>
        <v>100</v>
      </c>
    </row>
    <row r="53" spans="1:10" x14ac:dyDescent="0.25">
      <c r="A53">
        <v>10</v>
      </c>
      <c r="B53">
        <f t="shared" si="10"/>
        <v>50</v>
      </c>
      <c r="C53">
        <f t="shared" si="8"/>
        <v>90</v>
      </c>
      <c r="D53">
        <f t="shared" si="8"/>
        <v>35</v>
      </c>
      <c r="E53">
        <f t="shared" si="8"/>
        <v>2</v>
      </c>
      <c r="F53">
        <f t="shared" si="8"/>
        <v>33</v>
      </c>
      <c r="G53">
        <f t="shared" si="8"/>
        <v>25</v>
      </c>
      <c r="H53">
        <f t="shared" si="8"/>
        <v>0</v>
      </c>
      <c r="I53">
        <f t="shared" si="9"/>
        <v>100</v>
      </c>
    </row>
    <row r="56" spans="1:10" x14ac:dyDescent="0.25">
      <c r="A56" t="s">
        <v>28</v>
      </c>
      <c r="B56" t="s">
        <v>29</v>
      </c>
      <c r="C56" t="s">
        <v>10</v>
      </c>
    </row>
    <row r="57" spans="1:10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10" x14ac:dyDescent="0.25">
      <c r="A58" t="s">
        <v>79</v>
      </c>
      <c r="B58">
        <v>25</v>
      </c>
      <c r="C58">
        <v>85</v>
      </c>
      <c r="D58">
        <v>25</v>
      </c>
      <c r="E58">
        <v>1</v>
      </c>
      <c r="F58">
        <v>26</v>
      </c>
      <c r="G58">
        <v>10</v>
      </c>
      <c r="H58">
        <v>30</v>
      </c>
      <c r="I58">
        <f>I59*10</f>
        <v>1100</v>
      </c>
    </row>
    <row r="59" spans="1:10" x14ac:dyDescent="0.25">
      <c r="F59">
        <v>15</v>
      </c>
      <c r="I59">
        <v>110</v>
      </c>
    </row>
    <row r="60" spans="1:10" x14ac:dyDescent="0.25">
      <c r="A60" t="s">
        <v>80</v>
      </c>
      <c r="B60">
        <v>50</v>
      </c>
      <c r="C60">
        <v>90</v>
      </c>
      <c r="D60">
        <v>35</v>
      </c>
      <c r="E60">
        <v>2</v>
      </c>
      <c r="F60">
        <v>33</v>
      </c>
      <c r="G60">
        <v>25</v>
      </c>
      <c r="H60">
        <v>30</v>
      </c>
      <c r="I60">
        <f>I61*10</f>
        <v>6600</v>
      </c>
    </row>
    <row r="61" spans="1:10" x14ac:dyDescent="0.25">
      <c r="I61">
        <v>660</v>
      </c>
    </row>
    <row r="62" spans="1:10" x14ac:dyDescent="0.25">
      <c r="A62" t="s">
        <v>78</v>
      </c>
      <c r="B62">
        <f t="shared" ref="B62:I62" si="11">B58+((B60-B58)*(B$31))</f>
        <v>47.5</v>
      </c>
      <c r="C62">
        <f t="shared" si="11"/>
        <v>88</v>
      </c>
      <c r="D62">
        <f t="shared" si="11"/>
        <v>26</v>
      </c>
      <c r="E62">
        <f t="shared" si="11"/>
        <v>1.5</v>
      </c>
      <c r="F62">
        <f t="shared" si="11"/>
        <v>32.299999999999997</v>
      </c>
      <c r="G62">
        <f t="shared" si="11"/>
        <v>16</v>
      </c>
      <c r="H62">
        <f t="shared" si="11"/>
        <v>30</v>
      </c>
      <c r="I62">
        <f t="shared" si="11"/>
        <v>1100</v>
      </c>
    </row>
    <row r="63" spans="1:10" x14ac:dyDescent="0.25">
      <c r="J63">
        <v>9</v>
      </c>
    </row>
    <row r="64" spans="1:10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  <c r="J64" t="s">
        <v>467</v>
      </c>
    </row>
    <row r="65" spans="1:10" x14ac:dyDescent="0.25">
      <c r="A65">
        <v>1</v>
      </c>
      <c r="B65">
        <f t="shared" ref="B65:H74" si="12">ROUND((((1-(($A65-1)/($A$74-1)))^2)*B$58)+(2*(1-(($A65-1)/($A$53-1)))*(($A65-1)/($A$53-1))*B$62)+(((($A65-1)/($A$53-1))^2)*B$60),0)</f>
        <v>25</v>
      </c>
      <c r="C65">
        <f t="shared" si="12"/>
        <v>85</v>
      </c>
      <c r="D65">
        <f t="shared" si="12"/>
        <v>25</v>
      </c>
      <c r="E65">
        <f>ROUND((((1-(($A65-1)/($A$74-1)))^2)*E$58)+(2*(1-(($A65-1)/($A$53-1)))*(($A65-1)/($A$53-1))*E$62)+(((($A65-1)/($A$53-1))^2)*E$60),0)</f>
        <v>1</v>
      </c>
      <c r="F65">
        <f t="shared" si="12"/>
        <v>26</v>
      </c>
      <c r="G65">
        <f t="shared" si="12"/>
        <v>10</v>
      </c>
      <c r="H65">
        <f t="shared" si="12"/>
        <v>30</v>
      </c>
      <c r="I65">
        <f t="shared" ref="I65:I74" si="13">ROUND((((1-(($A65-1)/($A$74-1)))^2)*I$58)+(2*(1-(($A65-1)/($A$53-1)))*(($A65-1)/($A$53-1))*I$62)+(((($A65-1)/($A$53-1))^2)*I$60),-1)</f>
        <v>1100</v>
      </c>
      <c r="J65" s="13">
        <f>ROUND(Table2[[#This Row],[accuracy]]-(($J$63-3)/(Table2[[#This Row],[range]]/100)), 0)</f>
        <v>61</v>
      </c>
    </row>
    <row r="66" spans="1:10" x14ac:dyDescent="0.25">
      <c r="A66">
        <v>2</v>
      </c>
      <c r="B66">
        <f t="shared" si="12"/>
        <v>30</v>
      </c>
      <c r="C66">
        <f t="shared" si="12"/>
        <v>86</v>
      </c>
      <c r="D66">
        <f t="shared" si="12"/>
        <v>25</v>
      </c>
      <c r="E66">
        <f t="shared" si="12"/>
        <v>1</v>
      </c>
      <c r="F66">
        <f t="shared" si="12"/>
        <v>27</v>
      </c>
      <c r="G66">
        <f t="shared" si="12"/>
        <v>11</v>
      </c>
      <c r="H66">
        <f t="shared" si="12"/>
        <v>30</v>
      </c>
      <c r="I66">
        <f t="shared" si="13"/>
        <v>1170</v>
      </c>
      <c r="J66" s="13">
        <f>ROUND(Table2[[#This Row],[accuracy]]-(($J$63-3)/(Table2[[#This Row],[range]]/100)), 0)</f>
        <v>62</v>
      </c>
    </row>
    <row r="67" spans="1:10" x14ac:dyDescent="0.25">
      <c r="A67">
        <v>3</v>
      </c>
      <c r="B67">
        <f t="shared" si="12"/>
        <v>34</v>
      </c>
      <c r="C67">
        <f t="shared" si="12"/>
        <v>86</v>
      </c>
      <c r="D67">
        <f t="shared" si="12"/>
        <v>26</v>
      </c>
      <c r="E67">
        <f>ROUND((((1-(($A67-1)/($A$74-1)))^2)*E$58)+(2*(1-(($A67-1)/($A$53-1)))*(($A67-1)/($A$53-1))*E$62)+(((($A67-1)/($A$53-1))^2)*E$60),0)</f>
        <v>1</v>
      </c>
      <c r="F67">
        <f t="shared" si="12"/>
        <v>29</v>
      </c>
      <c r="G67">
        <f t="shared" si="12"/>
        <v>13</v>
      </c>
      <c r="H67">
        <f t="shared" si="12"/>
        <v>30</v>
      </c>
      <c r="I67">
        <f t="shared" si="13"/>
        <v>1370</v>
      </c>
      <c r="J67" s="13">
        <f>ROUND(Table2[[#This Row],[accuracy]]-(($J$63-3)/(Table2[[#This Row],[range]]/100)), 0)</f>
        <v>63</v>
      </c>
    </row>
    <row r="68" spans="1:10" x14ac:dyDescent="0.25">
      <c r="A68">
        <v>4</v>
      </c>
      <c r="B68">
        <f t="shared" si="12"/>
        <v>38</v>
      </c>
      <c r="C68">
        <f t="shared" si="12"/>
        <v>87</v>
      </c>
      <c r="D68">
        <f t="shared" si="12"/>
        <v>27</v>
      </c>
      <c r="E68">
        <f t="shared" si="12"/>
        <v>1</v>
      </c>
      <c r="F68">
        <f t="shared" si="12"/>
        <v>30</v>
      </c>
      <c r="G68">
        <f t="shared" si="12"/>
        <v>14</v>
      </c>
      <c r="H68">
        <f t="shared" si="12"/>
        <v>30</v>
      </c>
      <c r="I68">
        <f t="shared" si="13"/>
        <v>1710</v>
      </c>
      <c r="J68" s="13">
        <f>ROUND(Table2[[#This Row],[accuracy]]-(($J$63-3)/(Table2[[#This Row],[range]]/100)), 0)</f>
        <v>65</v>
      </c>
    </row>
    <row r="69" spans="1:10" x14ac:dyDescent="0.25">
      <c r="A69">
        <v>5</v>
      </c>
      <c r="B69">
        <f t="shared" si="12"/>
        <v>41</v>
      </c>
      <c r="C69">
        <f t="shared" si="12"/>
        <v>87</v>
      </c>
      <c r="D69">
        <f t="shared" si="12"/>
        <v>27</v>
      </c>
      <c r="E69">
        <f t="shared" si="12"/>
        <v>1</v>
      </c>
      <c r="F69">
        <f t="shared" si="12"/>
        <v>30</v>
      </c>
      <c r="G69">
        <f t="shared" si="12"/>
        <v>16</v>
      </c>
      <c r="H69">
        <f t="shared" si="12"/>
        <v>30</v>
      </c>
      <c r="I69">
        <f t="shared" si="13"/>
        <v>2190</v>
      </c>
      <c r="J69" s="13">
        <f>ROUND(Table2[[#This Row],[accuracy]]-(($J$63-3)/(Table2[[#This Row],[range]]/100)), 0)</f>
        <v>65</v>
      </c>
    </row>
    <row r="70" spans="1:10" x14ac:dyDescent="0.25">
      <c r="A70">
        <v>6</v>
      </c>
      <c r="B70">
        <f t="shared" si="12"/>
        <v>44</v>
      </c>
      <c r="C70">
        <f t="shared" si="12"/>
        <v>88</v>
      </c>
      <c r="D70">
        <f t="shared" si="12"/>
        <v>29</v>
      </c>
      <c r="E70">
        <f t="shared" si="12"/>
        <v>2</v>
      </c>
      <c r="F70">
        <f t="shared" si="12"/>
        <v>31</v>
      </c>
      <c r="G70">
        <f t="shared" si="12"/>
        <v>18</v>
      </c>
      <c r="H70">
        <f t="shared" si="12"/>
        <v>30</v>
      </c>
      <c r="I70">
        <f t="shared" si="13"/>
        <v>2800</v>
      </c>
      <c r="J70" s="13">
        <f>ROUND(Table2[[#This Row],[accuracy]]-(($J$63-3)/(Table2[[#This Row],[range]]/100)), 0)</f>
        <v>67</v>
      </c>
    </row>
    <row r="71" spans="1:10" x14ac:dyDescent="0.25">
      <c r="A71">
        <v>7</v>
      </c>
      <c r="B71">
        <f t="shared" si="12"/>
        <v>46</v>
      </c>
      <c r="C71">
        <f t="shared" si="12"/>
        <v>89</v>
      </c>
      <c r="D71">
        <f t="shared" si="12"/>
        <v>30</v>
      </c>
      <c r="E71">
        <f t="shared" si="12"/>
        <v>2</v>
      </c>
      <c r="F71">
        <f t="shared" si="12"/>
        <v>32</v>
      </c>
      <c r="G71">
        <f t="shared" si="12"/>
        <v>19</v>
      </c>
      <c r="H71">
        <f t="shared" si="12"/>
        <v>30</v>
      </c>
      <c r="I71">
        <f t="shared" si="13"/>
        <v>3540</v>
      </c>
      <c r="J71" s="13">
        <f>ROUND(Table2[[#This Row],[accuracy]]-(($J$63-3)/(Table2[[#This Row],[range]]/100)), 0)</f>
        <v>69</v>
      </c>
    </row>
    <row r="72" spans="1:10" x14ac:dyDescent="0.25">
      <c r="A72">
        <v>8</v>
      </c>
      <c r="B72">
        <f t="shared" si="12"/>
        <v>48</v>
      </c>
      <c r="C72">
        <f t="shared" si="12"/>
        <v>89</v>
      </c>
      <c r="D72">
        <f t="shared" si="12"/>
        <v>31</v>
      </c>
      <c r="E72">
        <f t="shared" si="12"/>
        <v>2</v>
      </c>
      <c r="F72">
        <f t="shared" si="12"/>
        <v>32</v>
      </c>
      <c r="G72">
        <f t="shared" si="12"/>
        <v>21</v>
      </c>
      <c r="H72">
        <f t="shared" si="12"/>
        <v>30</v>
      </c>
      <c r="I72">
        <f t="shared" si="13"/>
        <v>4430</v>
      </c>
      <c r="J72" s="13">
        <f>ROUND(Table2[[#This Row],[accuracy]]-(($J$63-3)/(Table2[[#This Row],[range]]/100)), 0)</f>
        <v>70</v>
      </c>
    </row>
    <row r="73" spans="1:10" x14ac:dyDescent="0.25">
      <c r="A73">
        <v>9</v>
      </c>
      <c r="B73">
        <f t="shared" si="12"/>
        <v>49</v>
      </c>
      <c r="C73">
        <f t="shared" si="12"/>
        <v>90</v>
      </c>
      <c r="D73">
        <f t="shared" si="12"/>
        <v>33</v>
      </c>
      <c r="E73">
        <f t="shared" si="12"/>
        <v>2</v>
      </c>
      <c r="F73">
        <f t="shared" si="12"/>
        <v>33</v>
      </c>
      <c r="G73">
        <f t="shared" si="12"/>
        <v>23</v>
      </c>
      <c r="H73">
        <f t="shared" si="12"/>
        <v>30</v>
      </c>
      <c r="I73">
        <f t="shared" si="13"/>
        <v>5450</v>
      </c>
      <c r="J73" s="13">
        <f>ROUND(Table2[[#This Row],[accuracy]]-(($J$63-3)/(Table2[[#This Row],[range]]/100)), 0)</f>
        <v>72</v>
      </c>
    </row>
    <row r="74" spans="1:10" x14ac:dyDescent="0.25">
      <c r="A74">
        <v>10</v>
      </c>
      <c r="B74">
        <f t="shared" si="12"/>
        <v>50</v>
      </c>
      <c r="C74">
        <f t="shared" si="12"/>
        <v>90</v>
      </c>
      <c r="D74">
        <f t="shared" si="12"/>
        <v>35</v>
      </c>
      <c r="E74">
        <f t="shared" si="12"/>
        <v>2</v>
      </c>
      <c r="F74">
        <f t="shared" si="12"/>
        <v>33</v>
      </c>
      <c r="G74">
        <f t="shared" si="12"/>
        <v>25</v>
      </c>
      <c r="H74">
        <f t="shared" si="12"/>
        <v>30</v>
      </c>
      <c r="I74">
        <f t="shared" si="13"/>
        <v>6600</v>
      </c>
      <c r="J74" s="13">
        <f>ROUND(Table2[[#This Row],[accuracy]]-(($J$63-3)/(Table2[[#This Row],[range]]/100)), 0)</f>
        <v>73</v>
      </c>
    </row>
    <row r="77" spans="1:10" x14ac:dyDescent="0.25">
      <c r="A77" t="s">
        <v>28</v>
      </c>
      <c r="B77" t="s">
        <v>30</v>
      </c>
      <c r="C77" t="s">
        <v>125</v>
      </c>
    </row>
    <row r="78" spans="1:10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10" x14ac:dyDescent="0.25">
      <c r="A79" t="s">
        <v>79</v>
      </c>
      <c r="B79">
        <v>45</v>
      </c>
      <c r="C79">
        <v>80</v>
      </c>
      <c r="D79">
        <v>60</v>
      </c>
      <c r="E79">
        <v>1</v>
      </c>
      <c r="F79">
        <v>55</v>
      </c>
      <c r="G79">
        <v>15</v>
      </c>
      <c r="H79">
        <v>15</v>
      </c>
      <c r="I79">
        <f>I80*10</f>
        <v>1900</v>
      </c>
    </row>
    <row r="80" spans="1:10" x14ac:dyDescent="0.25">
      <c r="F80">
        <v>15</v>
      </c>
      <c r="I80">
        <v>190</v>
      </c>
    </row>
    <row r="81" spans="1:10" x14ac:dyDescent="0.25">
      <c r="A81" t="s">
        <v>80</v>
      </c>
      <c r="B81">
        <v>100</v>
      </c>
      <c r="C81">
        <v>85</v>
      </c>
      <c r="D81">
        <v>95</v>
      </c>
      <c r="E81">
        <v>1</v>
      </c>
      <c r="F81">
        <v>70</v>
      </c>
      <c r="G81">
        <v>25</v>
      </c>
      <c r="H81">
        <v>15</v>
      </c>
      <c r="I81">
        <f>I82*10</f>
        <v>9100</v>
      </c>
    </row>
    <row r="82" spans="1:10" x14ac:dyDescent="0.25">
      <c r="I82">
        <v>910</v>
      </c>
    </row>
    <row r="83" spans="1:10" x14ac:dyDescent="0.25">
      <c r="A83" t="s">
        <v>78</v>
      </c>
      <c r="B83">
        <f t="shared" ref="B83:I83" si="14">B79+((B81-B79)*(B$31))</f>
        <v>94.5</v>
      </c>
      <c r="C83">
        <f t="shared" si="14"/>
        <v>83</v>
      </c>
      <c r="D83">
        <f t="shared" si="14"/>
        <v>63.5</v>
      </c>
      <c r="E83">
        <f t="shared" si="14"/>
        <v>1</v>
      </c>
      <c r="F83">
        <f t="shared" si="14"/>
        <v>68.5</v>
      </c>
      <c r="G83">
        <f t="shared" si="14"/>
        <v>19</v>
      </c>
      <c r="H83">
        <f t="shared" si="14"/>
        <v>15</v>
      </c>
      <c r="I83">
        <f t="shared" si="14"/>
        <v>1900</v>
      </c>
    </row>
    <row r="85" spans="1:10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  <c r="J85" t="s">
        <v>467</v>
      </c>
    </row>
    <row r="86" spans="1:10" x14ac:dyDescent="0.25">
      <c r="A86">
        <v>1</v>
      </c>
      <c r="B86">
        <f t="shared" ref="B86:H95" si="15">ROUND((((1-(($A86-1)/($A$95-1)))^2)*B$79)+(2*(1-(($A86-1)/($A$53-1)))*(($A86-1)/($A$53-1))*B$83)+(((($A86-1)/($A$53-1))^2)*B$81),0)</f>
        <v>45</v>
      </c>
      <c r="C86">
        <f t="shared" si="15"/>
        <v>80</v>
      </c>
      <c r="D86">
        <f t="shared" si="15"/>
        <v>60</v>
      </c>
      <c r="E86">
        <f t="shared" si="15"/>
        <v>1</v>
      </c>
      <c r="F86">
        <f t="shared" si="15"/>
        <v>55</v>
      </c>
      <c r="G86">
        <f t="shared" si="15"/>
        <v>15</v>
      </c>
      <c r="H86">
        <f t="shared" si="15"/>
        <v>15</v>
      </c>
      <c r="I86">
        <f t="shared" ref="I86:I95" si="16">ROUND((((1-(($A86-1)/($A$95-1)))^2)*I$79)+(2*(1-(($A86-1)/($A$53-1)))*(($A86-1)/($A$53-1))*I$83)+(((($A86-1)/($A$53-1))^2)*I$81),-1)</f>
        <v>1900</v>
      </c>
      <c r="J86" s="13">
        <f>ROUND(Table3[[#This Row],[accuracy]]-(($J$63-3)/(Table3[[#This Row],[range]]/100)), 0)</f>
        <v>70</v>
      </c>
    </row>
    <row r="87" spans="1:10" x14ac:dyDescent="0.25">
      <c r="A87">
        <v>2</v>
      </c>
      <c r="B87">
        <f t="shared" si="15"/>
        <v>55</v>
      </c>
      <c r="C87">
        <f t="shared" si="15"/>
        <v>81</v>
      </c>
      <c r="D87">
        <f t="shared" si="15"/>
        <v>61</v>
      </c>
      <c r="E87">
        <f t="shared" si="15"/>
        <v>1</v>
      </c>
      <c r="F87">
        <f t="shared" si="15"/>
        <v>58</v>
      </c>
      <c r="G87">
        <f t="shared" si="15"/>
        <v>16</v>
      </c>
      <c r="H87">
        <f t="shared" si="15"/>
        <v>15</v>
      </c>
      <c r="I87">
        <f t="shared" si="16"/>
        <v>1990</v>
      </c>
      <c r="J87" s="13">
        <f>ROUND(Table3[[#This Row],[accuracy]]-(($J$63-3)/(Table3[[#This Row],[range]]/100)), 0)</f>
        <v>71</v>
      </c>
    </row>
    <row r="88" spans="1:10" x14ac:dyDescent="0.25">
      <c r="A88">
        <v>3</v>
      </c>
      <c r="B88">
        <f t="shared" si="15"/>
        <v>65</v>
      </c>
      <c r="C88">
        <f t="shared" si="15"/>
        <v>81</v>
      </c>
      <c r="D88">
        <f t="shared" si="15"/>
        <v>63</v>
      </c>
      <c r="E88">
        <f t="shared" si="15"/>
        <v>1</v>
      </c>
      <c r="F88">
        <f t="shared" si="15"/>
        <v>60</v>
      </c>
      <c r="G88">
        <f t="shared" si="15"/>
        <v>17</v>
      </c>
      <c r="H88">
        <f t="shared" si="15"/>
        <v>15</v>
      </c>
      <c r="I88">
        <f t="shared" si="16"/>
        <v>2260</v>
      </c>
      <c r="J88" s="13">
        <f>ROUND(Table3[[#This Row],[accuracy]]-(($J$63-3)/(Table3[[#This Row],[range]]/100)), 0)</f>
        <v>71</v>
      </c>
    </row>
    <row r="89" spans="1:10" x14ac:dyDescent="0.25">
      <c r="A89">
        <v>4</v>
      </c>
      <c r="B89">
        <f t="shared" si="15"/>
        <v>73</v>
      </c>
      <c r="C89">
        <f t="shared" si="15"/>
        <v>82</v>
      </c>
      <c r="D89">
        <f t="shared" si="15"/>
        <v>65</v>
      </c>
      <c r="E89">
        <f t="shared" si="15"/>
        <v>1</v>
      </c>
      <c r="F89">
        <f t="shared" si="15"/>
        <v>63</v>
      </c>
      <c r="G89">
        <f t="shared" si="15"/>
        <v>18</v>
      </c>
      <c r="H89">
        <f t="shared" si="15"/>
        <v>15</v>
      </c>
      <c r="I89">
        <f t="shared" si="16"/>
        <v>2700</v>
      </c>
      <c r="J89" s="13">
        <f>ROUND(Table3[[#This Row],[accuracy]]-(($J$63-3)/(Table3[[#This Row],[range]]/100)), 0)</f>
        <v>73</v>
      </c>
    </row>
    <row r="90" spans="1:10" x14ac:dyDescent="0.25">
      <c r="A90">
        <v>5</v>
      </c>
      <c r="B90">
        <f t="shared" si="15"/>
        <v>80</v>
      </c>
      <c r="C90">
        <f t="shared" si="15"/>
        <v>82</v>
      </c>
      <c r="D90">
        <f t="shared" si="15"/>
        <v>69</v>
      </c>
      <c r="E90">
        <f t="shared" si="15"/>
        <v>1</v>
      </c>
      <c r="F90">
        <f t="shared" si="15"/>
        <v>65</v>
      </c>
      <c r="G90">
        <f t="shared" si="15"/>
        <v>19</v>
      </c>
      <c r="H90">
        <f t="shared" si="15"/>
        <v>15</v>
      </c>
      <c r="I90">
        <f t="shared" si="16"/>
        <v>3320</v>
      </c>
      <c r="J90" s="13">
        <f>ROUND(Table3[[#This Row],[accuracy]]-(($J$63-3)/(Table3[[#This Row],[range]]/100)), 0)</f>
        <v>73</v>
      </c>
    </row>
    <row r="91" spans="1:10" x14ac:dyDescent="0.25">
      <c r="A91">
        <v>6</v>
      </c>
      <c r="B91">
        <f t="shared" si="15"/>
        <v>86</v>
      </c>
      <c r="C91">
        <f t="shared" si="15"/>
        <v>83</v>
      </c>
      <c r="D91">
        <f t="shared" si="15"/>
        <v>73</v>
      </c>
      <c r="E91">
        <f t="shared" si="15"/>
        <v>1</v>
      </c>
      <c r="F91">
        <f t="shared" si="15"/>
        <v>66</v>
      </c>
      <c r="G91">
        <f t="shared" si="15"/>
        <v>20</v>
      </c>
      <c r="H91">
        <f t="shared" si="15"/>
        <v>15</v>
      </c>
      <c r="I91">
        <f t="shared" si="16"/>
        <v>4120</v>
      </c>
      <c r="J91" s="13">
        <f>ROUND(Table3[[#This Row],[accuracy]]-(($J$63-3)/(Table3[[#This Row],[range]]/100)), 0)</f>
        <v>75</v>
      </c>
    </row>
    <row r="92" spans="1:10" x14ac:dyDescent="0.25">
      <c r="A92">
        <v>7</v>
      </c>
      <c r="B92">
        <f t="shared" si="15"/>
        <v>91</v>
      </c>
      <c r="C92">
        <f t="shared" si="15"/>
        <v>84</v>
      </c>
      <c r="D92">
        <f t="shared" si="15"/>
        <v>77</v>
      </c>
      <c r="E92">
        <f t="shared" si="15"/>
        <v>1</v>
      </c>
      <c r="F92">
        <f t="shared" si="15"/>
        <v>68</v>
      </c>
      <c r="G92">
        <f t="shared" si="15"/>
        <v>21</v>
      </c>
      <c r="H92">
        <f t="shared" si="15"/>
        <v>15</v>
      </c>
      <c r="I92">
        <f t="shared" si="16"/>
        <v>5100</v>
      </c>
      <c r="J92" s="13">
        <f>ROUND(Table3[[#This Row],[accuracy]]-(($J$63-3)/(Table3[[#This Row],[range]]/100)), 0)</f>
        <v>76</v>
      </c>
    </row>
    <row r="93" spans="1:10" x14ac:dyDescent="0.25">
      <c r="A93">
        <v>8</v>
      </c>
      <c r="B93">
        <f t="shared" si="15"/>
        <v>95</v>
      </c>
      <c r="C93">
        <f t="shared" si="15"/>
        <v>84</v>
      </c>
      <c r="D93">
        <f t="shared" si="15"/>
        <v>82</v>
      </c>
      <c r="E93">
        <f t="shared" si="15"/>
        <v>1</v>
      </c>
      <c r="F93">
        <f t="shared" si="15"/>
        <v>69</v>
      </c>
      <c r="G93">
        <f t="shared" si="15"/>
        <v>22</v>
      </c>
      <c r="H93">
        <f t="shared" si="15"/>
        <v>15</v>
      </c>
      <c r="I93">
        <f t="shared" si="16"/>
        <v>6260</v>
      </c>
      <c r="J93" s="13">
        <f>ROUND(Table3[[#This Row],[accuracy]]-(($J$63-3)/(Table3[[#This Row],[range]]/100)), 0)</f>
        <v>77</v>
      </c>
    </row>
    <row r="94" spans="1:10" x14ac:dyDescent="0.25">
      <c r="A94">
        <v>9</v>
      </c>
      <c r="B94">
        <f t="shared" si="15"/>
        <v>98</v>
      </c>
      <c r="C94">
        <f t="shared" si="15"/>
        <v>85</v>
      </c>
      <c r="D94">
        <f t="shared" si="15"/>
        <v>88</v>
      </c>
      <c r="E94">
        <f t="shared" si="15"/>
        <v>1</v>
      </c>
      <c r="F94">
        <f t="shared" si="15"/>
        <v>70</v>
      </c>
      <c r="G94">
        <f t="shared" si="15"/>
        <v>24</v>
      </c>
      <c r="H94">
        <f t="shared" si="15"/>
        <v>15</v>
      </c>
      <c r="I94">
        <f t="shared" si="16"/>
        <v>7590</v>
      </c>
      <c r="J94" s="13">
        <f>ROUND(Table3[[#This Row],[accuracy]]-(($J$63-3)/(Table3[[#This Row],[range]]/100)), 0)</f>
        <v>78</v>
      </c>
    </row>
    <row r="95" spans="1:10" x14ac:dyDescent="0.25">
      <c r="A95">
        <v>10</v>
      </c>
      <c r="B95">
        <f t="shared" si="15"/>
        <v>100</v>
      </c>
      <c r="C95">
        <f t="shared" si="15"/>
        <v>85</v>
      </c>
      <c r="D95">
        <f t="shared" si="15"/>
        <v>95</v>
      </c>
      <c r="E95">
        <f t="shared" si="15"/>
        <v>1</v>
      </c>
      <c r="F95">
        <f t="shared" si="15"/>
        <v>70</v>
      </c>
      <c r="G95">
        <f t="shared" si="15"/>
        <v>25</v>
      </c>
      <c r="H95">
        <f t="shared" si="15"/>
        <v>15</v>
      </c>
      <c r="I95">
        <f t="shared" si="16"/>
        <v>9100</v>
      </c>
      <c r="J95" s="13">
        <f>ROUND(Table3[[#This Row],[accuracy]]-(($J$63-3)/(Table3[[#This Row],[range]]/100)), 0)</f>
        <v>79</v>
      </c>
    </row>
    <row r="98" spans="1:10" x14ac:dyDescent="0.25">
      <c r="A98" t="s">
        <v>28</v>
      </c>
      <c r="B98" t="s">
        <v>31</v>
      </c>
      <c r="C98" t="s">
        <v>13</v>
      </c>
    </row>
    <row r="99" spans="1:10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10" x14ac:dyDescent="0.25">
      <c r="A100" t="s">
        <v>79</v>
      </c>
      <c r="B100">
        <v>15</v>
      </c>
      <c r="C100">
        <v>85</v>
      </c>
      <c r="D100">
        <v>15</v>
      </c>
      <c r="E100">
        <v>2</v>
      </c>
      <c r="F100">
        <v>20</v>
      </c>
      <c r="G100">
        <v>10</v>
      </c>
      <c r="H100">
        <v>60</v>
      </c>
      <c r="I100">
        <f>I101*10</f>
        <v>1200</v>
      </c>
    </row>
    <row r="101" spans="1:10" x14ac:dyDescent="0.25">
      <c r="F101">
        <v>15</v>
      </c>
      <c r="I101">
        <v>120</v>
      </c>
    </row>
    <row r="102" spans="1:10" x14ac:dyDescent="0.25">
      <c r="A102" t="s">
        <v>80</v>
      </c>
      <c r="B102">
        <v>35</v>
      </c>
      <c r="C102">
        <v>90</v>
      </c>
      <c r="D102">
        <v>23</v>
      </c>
      <c r="E102">
        <v>4</v>
      </c>
      <c r="F102">
        <v>24</v>
      </c>
      <c r="G102">
        <v>25</v>
      </c>
      <c r="H102">
        <v>60</v>
      </c>
      <c r="I102">
        <f>I103*10</f>
        <v>7300</v>
      </c>
    </row>
    <row r="103" spans="1:10" x14ac:dyDescent="0.25">
      <c r="I103">
        <v>730</v>
      </c>
    </row>
    <row r="104" spans="1:10" x14ac:dyDescent="0.25">
      <c r="A104" t="s">
        <v>78</v>
      </c>
      <c r="B104">
        <f t="shared" ref="B104:I104" si="17">B100+((B102-B100)*(B$31))</f>
        <v>33</v>
      </c>
      <c r="C104">
        <f t="shared" si="17"/>
        <v>88</v>
      </c>
      <c r="D104">
        <f t="shared" si="17"/>
        <v>15.8</v>
      </c>
      <c r="E104">
        <f t="shared" si="17"/>
        <v>3</v>
      </c>
      <c r="F104">
        <f t="shared" si="17"/>
        <v>23.6</v>
      </c>
      <c r="G104">
        <f t="shared" si="17"/>
        <v>16</v>
      </c>
      <c r="H104">
        <f t="shared" si="17"/>
        <v>60</v>
      </c>
      <c r="I104">
        <f t="shared" si="17"/>
        <v>1200</v>
      </c>
    </row>
    <row r="106" spans="1:10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  <c r="J106" t="s">
        <v>467</v>
      </c>
    </row>
    <row r="107" spans="1:10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H116" si="18">ROUND((((1-(($A107-1)/($A$116-1)))^2)*C$100)+(2*(1-(($A107-1)/($A$53-1)))*(($A107-1)/($A$53-1))*C$104)+(((($A107-1)/($A$53-1))^2)*C$102),0)</f>
        <v>85</v>
      </c>
      <c r="D107">
        <f t="shared" si="18"/>
        <v>15</v>
      </c>
      <c r="E107">
        <f>ROUND((((1-(($A107-1)/($A$116-1)))^2)*E$100)+(2*(1-(($A107-1)/($A$53-1)))*(($A107-1)/($A$53-1))*E$104)+(((($A107-1)/($A$53-1))^2)*E$102),0)</f>
        <v>2</v>
      </c>
      <c r="F107">
        <f t="shared" si="18"/>
        <v>20</v>
      </c>
      <c r="G107">
        <f t="shared" si="18"/>
        <v>10</v>
      </c>
      <c r="H107">
        <f t="shared" si="18"/>
        <v>60</v>
      </c>
      <c r="I107">
        <f t="shared" ref="I107:I116" si="19">ROUND((((1-(($A107-1)/($A$116-1)))^2)*I$100)+(2*(1-(($A107-1)/($A$53-1)))*(($A107-1)/($A$53-1))*I$104)+(((($A107-1)/($A$53-1))^2)*I$102),-1)</f>
        <v>1200</v>
      </c>
      <c r="J107" s="13">
        <f>ROUND(Table4[[#This Row],[accuracy]]-(($J$63-3)/(Table4[[#This Row],[range]]/100)), 0)</f>
        <v>45</v>
      </c>
    </row>
    <row r="108" spans="1:10" x14ac:dyDescent="0.25">
      <c r="A108">
        <v>2</v>
      </c>
      <c r="B108">
        <f t="shared" si="18"/>
        <v>19</v>
      </c>
      <c r="C108">
        <f t="shared" si="18"/>
        <v>86</v>
      </c>
      <c r="D108">
        <f t="shared" si="18"/>
        <v>15</v>
      </c>
      <c r="E108">
        <f t="shared" si="18"/>
        <v>2</v>
      </c>
      <c r="F108">
        <f t="shared" si="18"/>
        <v>21</v>
      </c>
      <c r="G108">
        <f t="shared" si="18"/>
        <v>11</v>
      </c>
      <c r="H108">
        <f t="shared" si="18"/>
        <v>60</v>
      </c>
      <c r="I108">
        <f t="shared" si="19"/>
        <v>1280</v>
      </c>
      <c r="J108" s="13">
        <f>ROUND(Table4[[#This Row],[accuracy]]-(($J$63-3)/(Table4[[#This Row],[range]]/100)), 0)</f>
        <v>46</v>
      </c>
    </row>
    <row r="109" spans="1:10" x14ac:dyDescent="0.25">
      <c r="A109">
        <v>3</v>
      </c>
      <c r="B109">
        <f t="shared" si="18"/>
        <v>22</v>
      </c>
      <c r="C109">
        <f t="shared" si="18"/>
        <v>86</v>
      </c>
      <c r="D109">
        <f t="shared" si="18"/>
        <v>16</v>
      </c>
      <c r="E109">
        <f t="shared" si="18"/>
        <v>2</v>
      </c>
      <c r="F109">
        <f t="shared" si="18"/>
        <v>21</v>
      </c>
      <c r="G109">
        <f t="shared" si="18"/>
        <v>13</v>
      </c>
      <c r="H109">
        <f t="shared" si="18"/>
        <v>60</v>
      </c>
      <c r="I109">
        <f t="shared" si="19"/>
        <v>1500</v>
      </c>
      <c r="J109" s="13">
        <f>ROUND(Table4[[#This Row],[accuracy]]-(($J$63-3)/(Table4[[#This Row],[range]]/100)), 0)</f>
        <v>49</v>
      </c>
    </row>
    <row r="110" spans="1:10" x14ac:dyDescent="0.25">
      <c r="A110">
        <v>4</v>
      </c>
      <c r="B110">
        <f t="shared" si="18"/>
        <v>25</v>
      </c>
      <c r="C110">
        <f t="shared" si="18"/>
        <v>87</v>
      </c>
      <c r="D110">
        <f t="shared" si="18"/>
        <v>16</v>
      </c>
      <c r="E110">
        <f t="shared" si="18"/>
        <v>3</v>
      </c>
      <c r="F110">
        <f t="shared" si="18"/>
        <v>22</v>
      </c>
      <c r="G110">
        <f t="shared" si="18"/>
        <v>14</v>
      </c>
      <c r="H110">
        <f t="shared" si="18"/>
        <v>60</v>
      </c>
      <c r="I110">
        <f t="shared" si="19"/>
        <v>1880</v>
      </c>
      <c r="J110" s="13">
        <f>ROUND(Table4[[#This Row],[accuracy]]-(($J$63-3)/(Table4[[#This Row],[range]]/100)), 0)</f>
        <v>50</v>
      </c>
    </row>
    <row r="111" spans="1:10" x14ac:dyDescent="0.25">
      <c r="A111">
        <v>5</v>
      </c>
      <c r="B111">
        <f t="shared" si="18"/>
        <v>28</v>
      </c>
      <c r="C111">
        <f t="shared" si="18"/>
        <v>87</v>
      </c>
      <c r="D111">
        <f t="shared" si="18"/>
        <v>17</v>
      </c>
      <c r="E111">
        <f t="shared" si="18"/>
        <v>3</v>
      </c>
      <c r="F111">
        <f t="shared" si="18"/>
        <v>23</v>
      </c>
      <c r="G111">
        <f t="shared" si="18"/>
        <v>16</v>
      </c>
      <c r="H111">
        <f t="shared" si="18"/>
        <v>60</v>
      </c>
      <c r="I111">
        <f t="shared" si="19"/>
        <v>2400</v>
      </c>
      <c r="J111" s="13">
        <f>ROUND(Table4[[#This Row],[accuracy]]-(($J$63-3)/(Table4[[#This Row],[range]]/100)), 0)</f>
        <v>52</v>
      </c>
    </row>
    <row r="112" spans="1:10" x14ac:dyDescent="0.25">
      <c r="A112">
        <v>6</v>
      </c>
      <c r="B112">
        <f t="shared" si="18"/>
        <v>30</v>
      </c>
      <c r="C112">
        <f t="shared" si="18"/>
        <v>88</v>
      </c>
      <c r="D112">
        <f t="shared" si="18"/>
        <v>18</v>
      </c>
      <c r="E112">
        <f t="shared" si="18"/>
        <v>3</v>
      </c>
      <c r="F112">
        <f t="shared" si="18"/>
        <v>23</v>
      </c>
      <c r="G112">
        <f t="shared" si="18"/>
        <v>18</v>
      </c>
      <c r="H112">
        <f t="shared" si="18"/>
        <v>60</v>
      </c>
      <c r="I112">
        <f t="shared" si="19"/>
        <v>3080</v>
      </c>
      <c r="J112" s="13">
        <f>ROUND(Table4[[#This Row],[accuracy]]-(($J$63-3)/(Table4[[#This Row],[range]]/100)), 0)</f>
        <v>55</v>
      </c>
    </row>
    <row r="113" spans="1:10" x14ac:dyDescent="0.25">
      <c r="A113">
        <v>7</v>
      </c>
      <c r="B113">
        <f t="shared" si="18"/>
        <v>32</v>
      </c>
      <c r="C113">
        <f t="shared" si="18"/>
        <v>89</v>
      </c>
      <c r="D113">
        <f t="shared" si="18"/>
        <v>19</v>
      </c>
      <c r="E113">
        <f t="shared" si="18"/>
        <v>3</v>
      </c>
      <c r="F113">
        <f t="shared" si="18"/>
        <v>23</v>
      </c>
      <c r="G113">
        <f t="shared" si="18"/>
        <v>19</v>
      </c>
      <c r="H113">
        <f t="shared" si="18"/>
        <v>60</v>
      </c>
      <c r="I113">
        <f t="shared" si="19"/>
        <v>3910</v>
      </c>
      <c r="J113" s="13">
        <f>ROUND(Table4[[#This Row],[accuracy]]-(($J$63-3)/(Table4[[#This Row],[range]]/100)), 0)</f>
        <v>57</v>
      </c>
    </row>
    <row r="114" spans="1:10" x14ac:dyDescent="0.25">
      <c r="A114">
        <v>8</v>
      </c>
      <c r="B114">
        <f t="shared" si="18"/>
        <v>33</v>
      </c>
      <c r="C114">
        <f t="shared" si="18"/>
        <v>89</v>
      </c>
      <c r="D114">
        <f t="shared" si="18"/>
        <v>20</v>
      </c>
      <c r="E114">
        <f t="shared" si="18"/>
        <v>4</v>
      </c>
      <c r="F114">
        <f t="shared" si="18"/>
        <v>24</v>
      </c>
      <c r="G114">
        <f t="shared" si="18"/>
        <v>21</v>
      </c>
      <c r="H114">
        <f t="shared" si="18"/>
        <v>60</v>
      </c>
      <c r="I114">
        <f t="shared" si="19"/>
        <v>4890</v>
      </c>
      <c r="J114" s="13">
        <f>ROUND(Table4[[#This Row],[accuracy]]-(($J$63-3)/(Table4[[#This Row],[range]]/100)), 0)</f>
        <v>59</v>
      </c>
    </row>
    <row r="115" spans="1:10" x14ac:dyDescent="0.25">
      <c r="A115">
        <v>9</v>
      </c>
      <c r="B115">
        <f t="shared" si="18"/>
        <v>34</v>
      </c>
      <c r="C115">
        <f t="shared" si="18"/>
        <v>90</v>
      </c>
      <c r="D115">
        <f t="shared" si="18"/>
        <v>21</v>
      </c>
      <c r="E115">
        <f t="shared" si="18"/>
        <v>4</v>
      </c>
      <c r="F115">
        <f t="shared" si="18"/>
        <v>24</v>
      </c>
      <c r="G115">
        <f t="shared" si="18"/>
        <v>23</v>
      </c>
      <c r="H115">
        <f t="shared" si="18"/>
        <v>60</v>
      </c>
      <c r="I115">
        <f t="shared" si="19"/>
        <v>6020</v>
      </c>
      <c r="J115" s="13">
        <f>ROUND(Table4[[#This Row],[accuracy]]-(($J$63-3)/(Table4[[#This Row],[range]]/100)), 0)</f>
        <v>61</v>
      </c>
    </row>
    <row r="116" spans="1:10" x14ac:dyDescent="0.25">
      <c r="A116">
        <v>10</v>
      </c>
      <c r="B116">
        <f t="shared" si="18"/>
        <v>35</v>
      </c>
      <c r="C116">
        <f t="shared" si="18"/>
        <v>90</v>
      </c>
      <c r="D116">
        <f t="shared" si="18"/>
        <v>23</v>
      </c>
      <c r="E116">
        <f t="shared" si="18"/>
        <v>4</v>
      </c>
      <c r="F116">
        <f t="shared" si="18"/>
        <v>24</v>
      </c>
      <c r="G116">
        <f t="shared" si="18"/>
        <v>25</v>
      </c>
      <c r="H116">
        <f t="shared" si="18"/>
        <v>60</v>
      </c>
      <c r="I116">
        <f t="shared" si="19"/>
        <v>7300</v>
      </c>
      <c r="J116" s="13">
        <f>ROUND(Table4[[#This Row],[accuracy]]-(($J$63-3)/(Table4[[#This Row],[range]]/100)), 0)</f>
        <v>64</v>
      </c>
    </row>
    <row r="119" spans="1:10" x14ac:dyDescent="0.25">
      <c r="A119" t="s">
        <v>28</v>
      </c>
      <c r="B119" t="s">
        <v>34</v>
      </c>
      <c r="C119" t="s">
        <v>124</v>
      </c>
    </row>
    <row r="120" spans="1:10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10" x14ac:dyDescent="0.25">
      <c r="A121" t="s">
        <v>79</v>
      </c>
      <c r="B121">
        <v>25</v>
      </c>
      <c r="C121">
        <v>90</v>
      </c>
      <c r="D121">
        <v>10</v>
      </c>
      <c r="E121">
        <v>1</v>
      </c>
      <c r="F121">
        <v>26</v>
      </c>
      <c r="G121">
        <v>10</v>
      </c>
      <c r="H121">
        <v>35</v>
      </c>
      <c r="I121">
        <f>I122*10</f>
        <v>1500</v>
      </c>
    </row>
    <row r="122" spans="1:10" x14ac:dyDescent="0.25">
      <c r="F122">
        <v>15</v>
      </c>
      <c r="I122">
        <v>150</v>
      </c>
    </row>
    <row r="123" spans="1:10" x14ac:dyDescent="0.25">
      <c r="A123" t="s">
        <v>80</v>
      </c>
      <c r="B123">
        <v>50</v>
      </c>
      <c r="C123">
        <v>95</v>
      </c>
      <c r="D123">
        <v>15</v>
      </c>
      <c r="E123">
        <v>3</v>
      </c>
      <c r="F123">
        <v>33</v>
      </c>
      <c r="G123">
        <v>20</v>
      </c>
      <c r="H123">
        <v>35</v>
      </c>
      <c r="I123">
        <f>I124*10</f>
        <v>8100</v>
      </c>
    </row>
    <row r="124" spans="1:10" x14ac:dyDescent="0.25">
      <c r="I124">
        <v>810</v>
      </c>
    </row>
    <row r="125" spans="1:10" x14ac:dyDescent="0.25">
      <c r="A125" t="s">
        <v>78</v>
      </c>
      <c r="B125">
        <f t="shared" ref="B125:I125" si="20">B121+((B123-B121)*(B$31))</f>
        <v>47.5</v>
      </c>
      <c r="C125">
        <f t="shared" si="20"/>
        <v>93</v>
      </c>
      <c r="D125">
        <f t="shared" si="20"/>
        <v>10.5</v>
      </c>
      <c r="E125">
        <f t="shared" si="20"/>
        <v>2</v>
      </c>
      <c r="F125">
        <f t="shared" si="20"/>
        <v>32.299999999999997</v>
      </c>
      <c r="G125">
        <f t="shared" si="20"/>
        <v>14</v>
      </c>
      <c r="H125">
        <f t="shared" si="20"/>
        <v>35</v>
      </c>
      <c r="I125">
        <f t="shared" si="20"/>
        <v>1500</v>
      </c>
    </row>
    <row r="127" spans="1:10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10" x14ac:dyDescent="0.25">
      <c r="A128">
        <v>1</v>
      </c>
      <c r="B128">
        <f t="shared" ref="B128:H137" si="21">ROUND((((1-(($A128-1)/($A$137-1)))^2)*B$121)+(2*(1-(($A128-1)/($A$53-1)))*(($A128-1)/($A$53-1))*B$125)+(((($A128-1)/($A$53-1))^2)*B$123),0)</f>
        <v>25</v>
      </c>
      <c r="C128">
        <f t="shared" ref="C128:H128" si="22">ROUND((((1-(($A128-1)/($A$137-1)))^2)*C$121)+(2*(1-(($A128-1)/($A$53-1)))*(($A128-1)/($A$53-1))*C$125)+(((($A128-1)/($A$53-1))^2)*C$123),0)</f>
        <v>90</v>
      </c>
      <c r="D128">
        <f t="shared" si="22"/>
        <v>10</v>
      </c>
      <c r="E128">
        <f t="shared" si="22"/>
        <v>1</v>
      </c>
      <c r="F128">
        <f t="shared" si="22"/>
        <v>26</v>
      </c>
      <c r="G128">
        <f t="shared" si="22"/>
        <v>10</v>
      </c>
      <c r="H128">
        <f t="shared" si="22"/>
        <v>35</v>
      </c>
      <c r="I128">
        <f t="shared" ref="I128:I137" si="23">ROUND((((1-(($A128-1)/($A$137-1)))^2)*I$121)+(2*(1-(($A128-1)/($A$53-1)))*(($A128-1)/($A$53-1))*I$125)+(((($A128-1)/($A$53-1))^2)*I$123),-1)</f>
        <v>1500</v>
      </c>
    </row>
    <row r="129" spans="1:9" x14ac:dyDescent="0.25">
      <c r="A129">
        <v>2</v>
      </c>
      <c r="B129">
        <f t="shared" si="21"/>
        <v>30</v>
      </c>
      <c r="C129">
        <f t="shared" si="21"/>
        <v>91</v>
      </c>
      <c r="D129">
        <f t="shared" si="21"/>
        <v>10</v>
      </c>
      <c r="E129">
        <f t="shared" si="21"/>
        <v>1</v>
      </c>
      <c r="F129">
        <f t="shared" si="21"/>
        <v>27</v>
      </c>
      <c r="G129">
        <f t="shared" si="21"/>
        <v>11</v>
      </c>
      <c r="H129">
        <f t="shared" si="21"/>
        <v>35</v>
      </c>
      <c r="I129">
        <f t="shared" si="23"/>
        <v>1580</v>
      </c>
    </row>
    <row r="130" spans="1:9" x14ac:dyDescent="0.25">
      <c r="A130">
        <v>3</v>
      </c>
      <c r="B130">
        <f t="shared" si="21"/>
        <v>34</v>
      </c>
      <c r="C130">
        <f t="shared" si="21"/>
        <v>91</v>
      </c>
      <c r="D130">
        <f t="shared" si="21"/>
        <v>10</v>
      </c>
      <c r="E130">
        <f t="shared" si="21"/>
        <v>1</v>
      </c>
      <c r="F130">
        <f t="shared" si="21"/>
        <v>29</v>
      </c>
      <c r="G130">
        <f t="shared" si="21"/>
        <v>12</v>
      </c>
      <c r="H130">
        <f t="shared" si="21"/>
        <v>35</v>
      </c>
      <c r="I130">
        <f t="shared" si="23"/>
        <v>1830</v>
      </c>
    </row>
    <row r="131" spans="1:9" x14ac:dyDescent="0.25">
      <c r="A131">
        <v>4</v>
      </c>
      <c r="B131">
        <f t="shared" si="21"/>
        <v>38</v>
      </c>
      <c r="C131">
        <f t="shared" si="21"/>
        <v>92</v>
      </c>
      <c r="D131">
        <f t="shared" si="21"/>
        <v>11</v>
      </c>
      <c r="E131">
        <f t="shared" si="21"/>
        <v>2</v>
      </c>
      <c r="F131">
        <f t="shared" si="21"/>
        <v>30</v>
      </c>
      <c r="G131">
        <f t="shared" si="21"/>
        <v>13</v>
      </c>
      <c r="H131">
        <f t="shared" si="21"/>
        <v>35</v>
      </c>
      <c r="I131">
        <f t="shared" si="23"/>
        <v>2230</v>
      </c>
    </row>
    <row r="132" spans="1:9" x14ac:dyDescent="0.25">
      <c r="A132">
        <v>5</v>
      </c>
      <c r="B132">
        <f t="shared" si="21"/>
        <v>41</v>
      </c>
      <c r="C132">
        <f t="shared" si="21"/>
        <v>92</v>
      </c>
      <c r="D132">
        <f t="shared" si="21"/>
        <v>11</v>
      </c>
      <c r="E132">
        <f t="shared" si="21"/>
        <v>2</v>
      </c>
      <c r="F132">
        <f t="shared" si="21"/>
        <v>30</v>
      </c>
      <c r="G132">
        <f t="shared" si="21"/>
        <v>14</v>
      </c>
      <c r="H132">
        <f>ROUND((((1-(($A132-1)/($A$137-1)))^2)*H$121)+(2*(1-(($A132-1)/($A$53-1)))*(($A132-1)/($A$53-1))*H$125)+(((($A132-1)/($A$53-1))^2)*H$123),0)</f>
        <v>35</v>
      </c>
      <c r="I132">
        <f t="shared" si="23"/>
        <v>2800</v>
      </c>
    </row>
    <row r="133" spans="1:9" x14ac:dyDescent="0.25">
      <c r="A133">
        <v>6</v>
      </c>
      <c r="B133">
        <f t="shared" si="21"/>
        <v>44</v>
      </c>
      <c r="C133">
        <f t="shared" si="21"/>
        <v>93</v>
      </c>
      <c r="D133">
        <f t="shared" si="21"/>
        <v>12</v>
      </c>
      <c r="E133">
        <f t="shared" si="21"/>
        <v>2</v>
      </c>
      <c r="F133">
        <f t="shared" si="21"/>
        <v>31</v>
      </c>
      <c r="G133">
        <f t="shared" si="21"/>
        <v>15</v>
      </c>
      <c r="H133">
        <f t="shared" si="21"/>
        <v>35</v>
      </c>
      <c r="I133">
        <f t="shared" si="23"/>
        <v>3540</v>
      </c>
    </row>
    <row r="134" spans="1:9" x14ac:dyDescent="0.25">
      <c r="A134">
        <v>7</v>
      </c>
      <c r="B134">
        <f t="shared" si="21"/>
        <v>46</v>
      </c>
      <c r="C134">
        <f t="shared" si="21"/>
        <v>94</v>
      </c>
      <c r="D134">
        <f t="shared" si="21"/>
        <v>12</v>
      </c>
      <c r="E134">
        <f t="shared" si="21"/>
        <v>2</v>
      </c>
      <c r="F134">
        <f t="shared" si="21"/>
        <v>32</v>
      </c>
      <c r="G134">
        <f t="shared" si="21"/>
        <v>16</v>
      </c>
      <c r="H134">
        <f t="shared" si="21"/>
        <v>35</v>
      </c>
      <c r="I134">
        <f t="shared" si="23"/>
        <v>4430</v>
      </c>
    </row>
    <row r="135" spans="1:9" x14ac:dyDescent="0.25">
      <c r="A135">
        <v>8</v>
      </c>
      <c r="B135">
        <f t="shared" si="21"/>
        <v>48</v>
      </c>
      <c r="C135">
        <f t="shared" si="21"/>
        <v>94</v>
      </c>
      <c r="D135">
        <f t="shared" si="21"/>
        <v>13</v>
      </c>
      <c r="E135">
        <f t="shared" si="21"/>
        <v>3</v>
      </c>
      <c r="F135">
        <f t="shared" si="21"/>
        <v>32</v>
      </c>
      <c r="G135">
        <f t="shared" si="21"/>
        <v>17</v>
      </c>
      <c r="H135">
        <f t="shared" si="21"/>
        <v>35</v>
      </c>
      <c r="I135">
        <f t="shared" si="23"/>
        <v>5490</v>
      </c>
    </row>
    <row r="136" spans="1:9" x14ac:dyDescent="0.25">
      <c r="A136">
        <v>9</v>
      </c>
      <c r="B136">
        <f t="shared" si="21"/>
        <v>49</v>
      </c>
      <c r="C136">
        <f t="shared" si="21"/>
        <v>95</v>
      </c>
      <c r="D136">
        <f t="shared" si="21"/>
        <v>14</v>
      </c>
      <c r="E136">
        <f t="shared" si="21"/>
        <v>3</v>
      </c>
      <c r="F136">
        <f t="shared" si="21"/>
        <v>33</v>
      </c>
      <c r="G136">
        <f t="shared" si="21"/>
        <v>19</v>
      </c>
      <c r="H136">
        <f t="shared" si="21"/>
        <v>35</v>
      </c>
      <c r="I136">
        <f t="shared" si="23"/>
        <v>6710</v>
      </c>
    </row>
    <row r="137" spans="1:9" x14ac:dyDescent="0.25">
      <c r="A137">
        <v>10</v>
      </c>
      <c r="B137">
        <f t="shared" si="21"/>
        <v>50</v>
      </c>
      <c r="C137">
        <f t="shared" si="21"/>
        <v>95</v>
      </c>
      <c r="D137">
        <f t="shared" si="21"/>
        <v>15</v>
      </c>
      <c r="E137">
        <f t="shared" si="21"/>
        <v>3</v>
      </c>
      <c r="F137">
        <f t="shared" si="21"/>
        <v>33</v>
      </c>
      <c r="G137">
        <f t="shared" si="21"/>
        <v>20</v>
      </c>
      <c r="H137">
        <f t="shared" si="21"/>
        <v>35</v>
      </c>
      <c r="I137">
        <f t="shared" si="23"/>
        <v>8100</v>
      </c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80</v>
      </c>
      <c r="D142">
        <v>3</v>
      </c>
      <c r="E142">
        <v>1</v>
      </c>
      <c r="F142">
        <v>15</v>
      </c>
      <c r="G142">
        <v>5</v>
      </c>
      <c r="H142">
        <v>0</v>
      </c>
      <c r="I142">
        <f>I143*10</f>
        <v>1100</v>
      </c>
    </row>
    <row r="143" spans="1:9" x14ac:dyDescent="0.25">
      <c r="F143">
        <v>15</v>
      </c>
      <c r="I143">
        <v>110</v>
      </c>
    </row>
    <row r="144" spans="1:9" x14ac:dyDescent="0.25">
      <c r="A144" t="s">
        <v>80</v>
      </c>
      <c r="B144">
        <v>45</v>
      </c>
      <c r="C144">
        <v>95</v>
      </c>
      <c r="D144">
        <v>3</v>
      </c>
      <c r="E144">
        <v>2</v>
      </c>
      <c r="F144">
        <v>24</v>
      </c>
      <c r="G144">
        <v>15</v>
      </c>
      <c r="H144">
        <v>0</v>
      </c>
      <c r="I144">
        <f>I145*10</f>
        <v>6800</v>
      </c>
    </row>
    <row r="145" spans="1:9" x14ac:dyDescent="0.25">
      <c r="I145">
        <v>680</v>
      </c>
    </row>
    <row r="146" spans="1:9" x14ac:dyDescent="0.25">
      <c r="A146" t="s">
        <v>78</v>
      </c>
      <c r="B146">
        <f t="shared" ref="B146:I146" si="24">B142+((B144-B142)*(B$31))</f>
        <v>42.5</v>
      </c>
      <c r="C146">
        <f t="shared" si="24"/>
        <v>89</v>
      </c>
      <c r="D146">
        <f t="shared" si="24"/>
        <v>3</v>
      </c>
      <c r="E146">
        <f t="shared" si="24"/>
        <v>1.5</v>
      </c>
      <c r="F146">
        <f t="shared" si="24"/>
        <v>23.1</v>
      </c>
      <c r="G146">
        <f t="shared" si="24"/>
        <v>9</v>
      </c>
      <c r="H146">
        <f t="shared" si="24"/>
        <v>0</v>
      </c>
      <c r="I146">
        <f t="shared" si="24"/>
        <v>1100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H158" si="25">ROUND((((1-(($A149-1)/($A$158-1)))^2)*C$142)+(2*(1-(($A149-1)/($A$53-1)))*(($A149-1)/($A$53-1))*C$146)+(((($A149-1)/($A$53-1))^2)*C$144),0)</f>
        <v>80</v>
      </c>
      <c r="D149">
        <f t="shared" si="25"/>
        <v>3</v>
      </c>
      <c r="E149">
        <f t="shared" si="25"/>
        <v>1</v>
      </c>
      <c r="F149">
        <f t="shared" si="25"/>
        <v>15</v>
      </c>
      <c r="G149">
        <f t="shared" si="25"/>
        <v>5</v>
      </c>
      <c r="H149">
        <f t="shared" si="25"/>
        <v>0</v>
      </c>
      <c r="I149">
        <f t="shared" ref="I149:I158" si="26">ROUND((((1-(($A149-1)/($A$158-1)))^2)*I$142)+(2*(1-(($A149-1)/($A$53-1)))*(($A149-1)/($A$53-1))*I$146)+(((($A149-1)/($A$53-1))^2)*I$144),-1)</f>
        <v>1100</v>
      </c>
    </row>
    <row r="150" spans="1:9" x14ac:dyDescent="0.25">
      <c r="A150">
        <v>2</v>
      </c>
      <c r="B150">
        <f t="shared" ref="B150:B158" si="27">ROUND((((1-(($A150-1)/($A$158-1)))^2)*B$142)+(2*(1-(($A150-1)/($A$53-1)))*(($A150-1)/($A$53-1))*B$146)+(((($A150-1)/($A$53-1))^2)*B$144),0)</f>
        <v>25</v>
      </c>
      <c r="C150">
        <f t="shared" si="25"/>
        <v>82</v>
      </c>
      <c r="D150">
        <f t="shared" si="25"/>
        <v>3</v>
      </c>
      <c r="E150">
        <f t="shared" si="25"/>
        <v>1</v>
      </c>
      <c r="F150">
        <f t="shared" si="25"/>
        <v>17</v>
      </c>
      <c r="G150">
        <f t="shared" si="25"/>
        <v>6</v>
      </c>
      <c r="H150">
        <f t="shared" si="25"/>
        <v>0</v>
      </c>
      <c r="I150">
        <f t="shared" si="26"/>
        <v>1170</v>
      </c>
    </row>
    <row r="151" spans="1:9" x14ac:dyDescent="0.25">
      <c r="A151">
        <v>3</v>
      </c>
      <c r="B151">
        <f t="shared" si="27"/>
        <v>29</v>
      </c>
      <c r="C151">
        <f t="shared" si="25"/>
        <v>84</v>
      </c>
      <c r="D151">
        <f t="shared" si="25"/>
        <v>3</v>
      </c>
      <c r="E151">
        <f t="shared" si="25"/>
        <v>1</v>
      </c>
      <c r="F151">
        <f t="shared" si="25"/>
        <v>18</v>
      </c>
      <c r="G151">
        <f t="shared" si="25"/>
        <v>7</v>
      </c>
      <c r="H151">
        <f t="shared" si="25"/>
        <v>0</v>
      </c>
      <c r="I151">
        <f t="shared" si="26"/>
        <v>1380</v>
      </c>
    </row>
    <row r="152" spans="1:9" x14ac:dyDescent="0.25">
      <c r="A152">
        <v>4</v>
      </c>
      <c r="B152">
        <f t="shared" si="27"/>
        <v>33</v>
      </c>
      <c r="C152">
        <f t="shared" si="25"/>
        <v>86</v>
      </c>
      <c r="D152">
        <f t="shared" si="25"/>
        <v>3</v>
      </c>
      <c r="E152">
        <f t="shared" si="25"/>
        <v>1</v>
      </c>
      <c r="F152">
        <f t="shared" si="25"/>
        <v>20</v>
      </c>
      <c r="G152">
        <f t="shared" si="25"/>
        <v>8</v>
      </c>
      <c r="H152">
        <f t="shared" si="25"/>
        <v>0</v>
      </c>
      <c r="I152">
        <f t="shared" si="26"/>
        <v>1730</v>
      </c>
    </row>
    <row r="153" spans="1:9" x14ac:dyDescent="0.25">
      <c r="A153">
        <v>5</v>
      </c>
      <c r="B153">
        <f t="shared" si="27"/>
        <v>36</v>
      </c>
      <c r="C153">
        <f t="shared" si="25"/>
        <v>87</v>
      </c>
      <c r="D153">
        <f t="shared" si="25"/>
        <v>3</v>
      </c>
      <c r="E153">
        <f t="shared" si="25"/>
        <v>1</v>
      </c>
      <c r="F153">
        <f t="shared" si="25"/>
        <v>21</v>
      </c>
      <c r="G153">
        <f t="shared" si="25"/>
        <v>9</v>
      </c>
      <c r="H153">
        <f t="shared" si="25"/>
        <v>0</v>
      </c>
      <c r="I153">
        <f t="shared" si="26"/>
        <v>2230</v>
      </c>
    </row>
    <row r="154" spans="1:9" x14ac:dyDescent="0.25">
      <c r="A154">
        <v>6</v>
      </c>
      <c r="B154">
        <f t="shared" si="27"/>
        <v>39</v>
      </c>
      <c r="C154">
        <f t="shared" si="25"/>
        <v>89</v>
      </c>
      <c r="D154">
        <f t="shared" si="25"/>
        <v>3</v>
      </c>
      <c r="E154">
        <f t="shared" si="25"/>
        <v>2</v>
      </c>
      <c r="F154">
        <f t="shared" si="25"/>
        <v>22</v>
      </c>
      <c r="G154">
        <f t="shared" si="25"/>
        <v>10</v>
      </c>
      <c r="H154">
        <f t="shared" si="25"/>
        <v>0</v>
      </c>
      <c r="I154">
        <f t="shared" si="26"/>
        <v>2860</v>
      </c>
    </row>
    <row r="155" spans="1:9" x14ac:dyDescent="0.25">
      <c r="A155">
        <v>7</v>
      </c>
      <c r="B155">
        <f t="shared" si="27"/>
        <v>41</v>
      </c>
      <c r="C155">
        <f t="shared" si="25"/>
        <v>91</v>
      </c>
      <c r="D155">
        <f t="shared" si="25"/>
        <v>3</v>
      </c>
      <c r="E155">
        <f t="shared" si="25"/>
        <v>2</v>
      </c>
      <c r="F155">
        <f t="shared" si="25"/>
        <v>23</v>
      </c>
      <c r="G155">
        <f t="shared" si="25"/>
        <v>11</v>
      </c>
      <c r="H155">
        <f t="shared" si="25"/>
        <v>0</v>
      </c>
      <c r="I155">
        <f t="shared" si="26"/>
        <v>3630</v>
      </c>
    </row>
    <row r="156" spans="1:9" x14ac:dyDescent="0.25">
      <c r="A156">
        <v>8</v>
      </c>
      <c r="B156">
        <f t="shared" si="27"/>
        <v>43</v>
      </c>
      <c r="C156">
        <f t="shared" si="25"/>
        <v>92</v>
      </c>
      <c r="D156">
        <f t="shared" si="25"/>
        <v>3</v>
      </c>
      <c r="E156">
        <f t="shared" si="25"/>
        <v>2</v>
      </c>
      <c r="F156">
        <f t="shared" si="25"/>
        <v>23</v>
      </c>
      <c r="G156">
        <f t="shared" si="25"/>
        <v>12</v>
      </c>
      <c r="H156">
        <f t="shared" si="25"/>
        <v>0</v>
      </c>
      <c r="I156">
        <f t="shared" si="26"/>
        <v>4550</v>
      </c>
    </row>
    <row r="157" spans="1:9" x14ac:dyDescent="0.25">
      <c r="A157">
        <v>9</v>
      </c>
      <c r="B157">
        <f t="shared" si="27"/>
        <v>44</v>
      </c>
      <c r="C157">
        <f t="shared" si="25"/>
        <v>94</v>
      </c>
      <c r="D157">
        <f t="shared" si="25"/>
        <v>3</v>
      </c>
      <c r="E157">
        <f t="shared" si="25"/>
        <v>2</v>
      </c>
      <c r="F157">
        <f t="shared" si="25"/>
        <v>24</v>
      </c>
      <c r="G157">
        <f>ROUND((((1-(($A157-1)/($A$158-1)))^2)*G$142)+(2*(1-(($A157-1)/($A$53-1)))*(($A157-1)/($A$53-1))*G$146)+(((($A157-1)/($A$53-1))^2)*G$144),0)</f>
        <v>14</v>
      </c>
      <c r="H157">
        <f t="shared" si="25"/>
        <v>0</v>
      </c>
      <c r="I157">
        <f t="shared" si="26"/>
        <v>5600</v>
      </c>
    </row>
    <row r="158" spans="1:9" x14ac:dyDescent="0.25">
      <c r="A158">
        <v>10</v>
      </c>
      <c r="B158">
        <f t="shared" si="27"/>
        <v>45</v>
      </c>
      <c r="C158">
        <f t="shared" si="25"/>
        <v>95</v>
      </c>
      <c r="D158">
        <f t="shared" si="25"/>
        <v>3</v>
      </c>
      <c r="E158">
        <f t="shared" si="25"/>
        <v>2</v>
      </c>
      <c r="F158">
        <f t="shared" si="25"/>
        <v>24</v>
      </c>
      <c r="G158">
        <f t="shared" si="25"/>
        <v>15</v>
      </c>
      <c r="H158">
        <f t="shared" si="25"/>
        <v>0</v>
      </c>
      <c r="I158">
        <f t="shared" si="26"/>
        <v>6800</v>
      </c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45</v>
      </c>
      <c r="C163">
        <v>70</v>
      </c>
      <c r="D163">
        <v>80</v>
      </c>
      <c r="E163">
        <v>1</v>
      </c>
      <c r="F163">
        <v>40</v>
      </c>
      <c r="G163">
        <v>10</v>
      </c>
      <c r="H163">
        <v>15</v>
      </c>
      <c r="I163">
        <f>I164*10</f>
        <v>2000</v>
      </c>
    </row>
    <row r="164" spans="1:9" x14ac:dyDescent="0.25">
      <c r="F164">
        <v>15</v>
      </c>
      <c r="I164">
        <v>200</v>
      </c>
    </row>
    <row r="165" spans="1:9" x14ac:dyDescent="0.25">
      <c r="A165" t="s">
        <v>80</v>
      </c>
      <c r="B165">
        <v>90</v>
      </c>
      <c r="C165">
        <v>85</v>
      </c>
      <c r="D165">
        <v>100</v>
      </c>
      <c r="E165">
        <v>3</v>
      </c>
      <c r="F165">
        <v>40</v>
      </c>
      <c r="G165">
        <v>30</v>
      </c>
      <c r="H165">
        <v>15</v>
      </c>
      <c r="I165">
        <f>I166*10</f>
        <v>9600</v>
      </c>
    </row>
    <row r="166" spans="1:9" x14ac:dyDescent="0.25">
      <c r="I166">
        <v>960</v>
      </c>
    </row>
    <row r="167" spans="1:9" x14ac:dyDescent="0.25">
      <c r="A167" t="s">
        <v>78</v>
      </c>
      <c r="B167">
        <f>B163+((B165-B163)*(B$31))</f>
        <v>85.5</v>
      </c>
      <c r="C167">
        <f>C163+((C165-C163)*(C$31))</f>
        <v>79</v>
      </c>
      <c r="D167">
        <f t="shared" ref="D167:I167" si="28">D163+((D165-D163)*(D$31))</f>
        <v>82</v>
      </c>
      <c r="E167">
        <f t="shared" si="28"/>
        <v>2</v>
      </c>
      <c r="F167">
        <f t="shared" si="28"/>
        <v>40</v>
      </c>
      <c r="G167">
        <f t="shared" si="28"/>
        <v>18</v>
      </c>
      <c r="H167">
        <f t="shared" si="28"/>
        <v>15</v>
      </c>
      <c r="I167">
        <f t="shared" si="28"/>
        <v>2000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45</v>
      </c>
      <c r="C170">
        <f t="shared" ref="B170:H179" si="29">ROUND((((1-(($A170-1)/($A$179-1)))^2)*C$163)+(2*(1-(($A170-1)/($A$53-1)))*(($A170-1)/($A$53-1))*C$167)+(((($A170-1)/($A$53-1))^2)*C$165),0)</f>
        <v>70</v>
      </c>
      <c r="D170">
        <f t="shared" si="29"/>
        <v>80</v>
      </c>
      <c r="E170">
        <f t="shared" si="29"/>
        <v>1</v>
      </c>
      <c r="F170">
        <f t="shared" si="29"/>
        <v>40</v>
      </c>
      <c r="G170">
        <f t="shared" si="29"/>
        <v>10</v>
      </c>
      <c r="H170">
        <f t="shared" si="29"/>
        <v>15</v>
      </c>
      <c r="I170">
        <f t="shared" ref="I170:I179" si="30">ROUND((((1-(($A170-1)/($A$179-1)))^2)*I$163)+(2*(1-(($A170-1)/($A$53-1)))*(($A170-1)/($A$53-1))*I$167)+(((($A170-1)/($A$53-1))^2)*I$165),-1)</f>
        <v>2000</v>
      </c>
    </row>
    <row r="171" spans="1:9" x14ac:dyDescent="0.25">
      <c r="A171">
        <v>2</v>
      </c>
      <c r="B171">
        <f t="shared" si="29"/>
        <v>54</v>
      </c>
      <c r="C171">
        <f t="shared" si="29"/>
        <v>72</v>
      </c>
      <c r="D171">
        <f t="shared" si="29"/>
        <v>81</v>
      </c>
      <c r="E171">
        <f t="shared" si="29"/>
        <v>1</v>
      </c>
      <c r="F171">
        <f t="shared" si="29"/>
        <v>40</v>
      </c>
      <c r="G171">
        <f t="shared" si="29"/>
        <v>12</v>
      </c>
      <c r="H171">
        <f t="shared" si="29"/>
        <v>15</v>
      </c>
      <c r="I171">
        <f t="shared" si="30"/>
        <v>2090</v>
      </c>
    </row>
    <row r="172" spans="1:9" x14ac:dyDescent="0.25">
      <c r="A172">
        <v>3</v>
      </c>
      <c r="B172">
        <f t="shared" si="29"/>
        <v>61</v>
      </c>
      <c r="C172">
        <f t="shared" si="29"/>
        <v>74</v>
      </c>
      <c r="D172">
        <f t="shared" si="29"/>
        <v>82</v>
      </c>
      <c r="E172">
        <f t="shared" si="29"/>
        <v>1</v>
      </c>
      <c r="F172">
        <f t="shared" si="29"/>
        <v>40</v>
      </c>
      <c r="G172">
        <f t="shared" si="29"/>
        <v>14</v>
      </c>
      <c r="H172">
        <f t="shared" si="29"/>
        <v>15</v>
      </c>
      <c r="I172">
        <f t="shared" si="30"/>
        <v>2380</v>
      </c>
    </row>
    <row r="173" spans="1:9" x14ac:dyDescent="0.25">
      <c r="A173">
        <v>4</v>
      </c>
      <c r="B173">
        <f t="shared" si="29"/>
        <v>68</v>
      </c>
      <c r="C173">
        <f t="shared" si="29"/>
        <v>76</v>
      </c>
      <c r="D173">
        <f t="shared" si="29"/>
        <v>83</v>
      </c>
      <c r="E173">
        <f t="shared" si="29"/>
        <v>2</v>
      </c>
      <c r="F173">
        <f t="shared" si="29"/>
        <v>40</v>
      </c>
      <c r="G173">
        <f t="shared" si="29"/>
        <v>16</v>
      </c>
      <c r="H173">
        <f t="shared" si="29"/>
        <v>15</v>
      </c>
      <c r="I173">
        <f t="shared" si="30"/>
        <v>2840</v>
      </c>
    </row>
    <row r="174" spans="1:9" x14ac:dyDescent="0.25">
      <c r="A174">
        <v>5</v>
      </c>
      <c r="B174">
        <f t="shared" si="29"/>
        <v>74</v>
      </c>
      <c r="C174">
        <f t="shared" si="29"/>
        <v>77</v>
      </c>
      <c r="D174">
        <f t="shared" si="29"/>
        <v>85</v>
      </c>
      <c r="E174">
        <f t="shared" si="29"/>
        <v>2</v>
      </c>
      <c r="F174">
        <f t="shared" si="29"/>
        <v>40</v>
      </c>
      <c r="G174">
        <f t="shared" si="29"/>
        <v>18</v>
      </c>
      <c r="H174">
        <f t="shared" si="29"/>
        <v>15</v>
      </c>
      <c r="I174">
        <f t="shared" si="30"/>
        <v>3500</v>
      </c>
    </row>
    <row r="175" spans="1:9" x14ac:dyDescent="0.25">
      <c r="A175">
        <v>6</v>
      </c>
      <c r="B175">
        <f t="shared" si="29"/>
        <v>79</v>
      </c>
      <c r="C175">
        <f t="shared" si="29"/>
        <v>79</v>
      </c>
      <c r="D175">
        <f t="shared" si="29"/>
        <v>87</v>
      </c>
      <c r="E175">
        <f t="shared" si="29"/>
        <v>2</v>
      </c>
      <c r="F175">
        <f t="shared" si="29"/>
        <v>40</v>
      </c>
      <c r="G175">
        <f t="shared" si="29"/>
        <v>20</v>
      </c>
      <c r="H175">
        <f t="shared" si="29"/>
        <v>15</v>
      </c>
      <c r="I175">
        <f t="shared" si="30"/>
        <v>4350</v>
      </c>
    </row>
    <row r="176" spans="1:9" x14ac:dyDescent="0.25">
      <c r="A176">
        <v>7</v>
      </c>
      <c r="B176">
        <f t="shared" si="29"/>
        <v>83</v>
      </c>
      <c r="C176">
        <f t="shared" si="29"/>
        <v>81</v>
      </c>
      <c r="D176">
        <f t="shared" si="29"/>
        <v>90</v>
      </c>
      <c r="E176">
        <f t="shared" si="29"/>
        <v>2</v>
      </c>
      <c r="F176">
        <f t="shared" si="29"/>
        <v>40</v>
      </c>
      <c r="G176">
        <f t="shared" si="29"/>
        <v>22</v>
      </c>
      <c r="H176">
        <f t="shared" si="29"/>
        <v>15</v>
      </c>
      <c r="I176">
        <f t="shared" si="30"/>
        <v>5380</v>
      </c>
    </row>
    <row r="177" spans="1:12" x14ac:dyDescent="0.25">
      <c r="A177">
        <v>8</v>
      </c>
      <c r="B177">
        <f t="shared" si="29"/>
        <v>86</v>
      </c>
      <c r="C177">
        <f t="shared" si="29"/>
        <v>82</v>
      </c>
      <c r="D177">
        <f t="shared" si="29"/>
        <v>93</v>
      </c>
      <c r="E177">
        <f t="shared" si="29"/>
        <v>3</v>
      </c>
      <c r="F177">
        <f t="shared" si="29"/>
        <v>40</v>
      </c>
      <c r="G177">
        <f t="shared" si="29"/>
        <v>25</v>
      </c>
      <c r="H177">
        <f t="shared" si="29"/>
        <v>15</v>
      </c>
      <c r="I177">
        <f t="shared" si="30"/>
        <v>6600</v>
      </c>
    </row>
    <row r="178" spans="1:12" x14ac:dyDescent="0.25">
      <c r="A178">
        <v>9</v>
      </c>
      <c r="B178">
        <f t="shared" si="29"/>
        <v>89</v>
      </c>
      <c r="C178">
        <f t="shared" si="29"/>
        <v>84</v>
      </c>
      <c r="D178">
        <f t="shared" si="29"/>
        <v>96</v>
      </c>
      <c r="E178">
        <f t="shared" si="29"/>
        <v>3</v>
      </c>
      <c r="F178">
        <f t="shared" si="29"/>
        <v>40</v>
      </c>
      <c r="G178">
        <f t="shared" si="29"/>
        <v>27</v>
      </c>
      <c r="H178">
        <f t="shared" si="29"/>
        <v>15</v>
      </c>
      <c r="I178">
        <f t="shared" si="30"/>
        <v>8000</v>
      </c>
    </row>
    <row r="179" spans="1:12" x14ac:dyDescent="0.25">
      <c r="A179">
        <v>10</v>
      </c>
      <c r="B179">
        <f t="shared" si="29"/>
        <v>90</v>
      </c>
      <c r="C179">
        <f t="shared" si="29"/>
        <v>85</v>
      </c>
      <c r="D179">
        <f t="shared" si="29"/>
        <v>100</v>
      </c>
      <c r="E179">
        <f t="shared" si="29"/>
        <v>3</v>
      </c>
      <c r="F179">
        <f t="shared" si="29"/>
        <v>40</v>
      </c>
      <c r="G179">
        <f t="shared" si="29"/>
        <v>30</v>
      </c>
      <c r="H179">
        <f t="shared" si="29"/>
        <v>15</v>
      </c>
      <c r="I179">
        <f t="shared" si="30"/>
        <v>9600</v>
      </c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15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10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" si="31">ROUND((((1-(($A195-1)/($A$198-1)))^2)*B$187)+(2*(1-(($A195-1)/($A$198-1)))*(($A195-1)/($A$198-1))*B$191)+(((($A195-1)/($A$198-1))^2)*B$189),0)</f>
        <v>3</v>
      </c>
      <c r="K195">
        <v>2</v>
      </c>
      <c r="L195">
        <f t="shared" ref="L195:L197" si="32">ROUND((((1-(($K195-1)/($A$198-1)))^2)*L$187)+(2*(1-(($A195-1)/($A$198-1)))*(($A195-1)/($A$198-1))*L$191)+(((($A195-1)/($A$198-1))^2)*L$189),0)</f>
        <v>8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32"/>
        <v>10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32"/>
        <v>13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15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199</v>
      </c>
    </row>
    <row r="202" spans="1:12" x14ac:dyDescent="0.25">
      <c r="A202" t="s">
        <v>180</v>
      </c>
      <c r="B202">
        <v>15</v>
      </c>
      <c r="K202" t="s">
        <v>180</v>
      </c>
      <c r="L202">
        <v>10</v>
      </c>
    </row>
    <row r="204" spans="1:12" x14ac:dyDescent="0.25">
      <c r="A204" t="s">
        <v>80</v>
      </c>
      <c r="B204">
        <v>45</v>
      </c>
      <c r="K204" t="s">
        <v>80</v>
      </c>
      <c r="L204">
        <v>20</v>
      </c>
    </row>
    <row r="206" spans="1:12" x14ac:dyDescent="0.25">
      <c r="A206" t="s">
        <v>78</v>
      </c>
      <c r="B206">
        <f>B202+((B204-B202)*$D$183)</f>
        <v>30</v>
      </c>
      <c r="K206" t="s">
        <v>78</v>
      </c>
      <c r="L206">
        <f>L202+((L204-L202)*$D$183)</f>
        <v>15</v>
      </c>
    </row>
    <row r="208" spans="1:12" x14ac:dyDescent="0.25">
      <c r="A208" t="s">
        <v>182</v>
      </c>
      <c r="B208" t="s">
        <v>196</v>
      </c>
      <c r="K208" t="s">
        <v>182</v>
      </c>
      <c r="L208" t="s">
        <v>198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15</v>
      </c>
      <c r="K209">
        <v>1</v>
      </c>
      <c r="L209">
        <f>ROUND((((1-(($K209-1)/($A$198-1)))^2)*L$202)+(2*(1-(($A209-1)/($A$198-1)))*(($A209-1)/($A$198-1))*L$206)+(((($A209-1)/($A$198-1))^2)*L$204),0)</f>
        <v>10</v>
      </c>
    </row>
    <row r="210" spans="1:12" x14ac:dyDescent="0.25">
      <c r="A210">
        <v>2</v>
      </c>
      <c r="B210">
        <f t="shared" ref="B210:B212" si="33">ROUND((((1-(($A210-1)/($A$198-1)))^2)*B$202)+(2*(1-(($A210-1)/($A$198-1)))*(($A210-1)/($A$198-1))*B$206)+(((($A210-1)/($A$198-1))^2)*B$204),0)</f>
        <v>23</v>
      </c>
      <c r="K210">
        <v>2</v>
      </c>
      <c r="L210">
        <f t="shared" ref="L210:L213" si="34">ROUND((((1-(($K210-1)/($A$198-1)))^2)*L$202)+(2*(1-(($A210-1)/($A$198-1)))*(($A210-1)/($A$198-1))*L$206)+(((($A210-1)/($A$198-1))^2)*L$204),0)</f>
        <v>13</v>
      </c>
    </row>
    <row r="211" spans="1:12" x14ac:dyDescent="0.25">
      <c r="A211">
        <v>3</v>
      </c>
      <c r="B211">
        <f t="shared" si="33"/>
        <v>30</v>
      </c>
      <c r="K211">
        <v>3</v>
      </c>
      <c r="L211">
        <f t="shared" si="34"/>
        <v>15</v>
      </c>
    </row>
    <row r="212" spans="1:12" x14ac:dyDescent="0.25">
      <c r="A212">
        <v>4</v>
      </c>
      <c r="B212">
        <f t="shared" si="33"/>
        <v>38</v>
      </c>
      <c r="K212">
        <v>4</v>
      </c>
      <c r="L212">
        <f t="shared" si="34"/>
        <v>18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45</v>
      </c>
      <c r="K213">
        <v>5</v>
      </c>
      <c r="L213">
        <f t="shared" si="34"/>
        <v>20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30</v>
      </c>
      <c r="K217" t="s">
        <v>180</v>
      </c>
      <c r="L217">
        <v>20</v>
      </c>
    </row>
    <row r="219" spans="1:12" x14ac:dyDescent="0.25">
      <c r="A219" t="s">
        <v>80</v>
      </c>
      <c r="B219">
        <v>90</v>
      </c>
      <c r="K219" t="s">
        <v>80</v>
      </c>
      <c r="L219">
        <v>100</v>
      </c>
    </row>
    <row r="221" spans="1:12" x14ac:dyDescent="0.25">
      <c r="A221" t="s">
        <v>78</v>
      </c>
      <c r="B221">
        <f>B217+((B219-B217)*$D$183)</f>
        <v>60</v>
      </c>
      <c r="K221" t="s">
        <v>78</v>
      </c>
      <c r="L221">
        <f>L217+((L219-L217)*$D$183)</f>
        <v>60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197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30</v>
      </c>
      <c r="K224">
        <v>1</v>
      </c>
      <c r="L224">
        <f>ROUND((((1-(($K224-1)/($A$198-1)))^2)*L$217)+(2*(1-(($A224-1)/($A$198-1)))*(($A224-1)/($A$198-1))*L$221)+(((($A224-1)/($A$198-1))^2)*L$219),0)</f>
        <v>20</v>
      </c>
    </row>
    <row r="225" spans="1:12" x14ac:dyDescent="0.25">
      <c r="A225">
        <v>2</v>
      </c>
      <c r="B225">
        <f t="shared" ref="B225:B228" si="35">ROUND((((1-(($A225-1)/($A$198-1)))^2)*B$217)+(2*(1-(($A225-1)/($A$198-1)))*(($A225-1)/($A$198-1))*B$221)+(((($A225-1)/($A$198-1))^2)*B$219),0)</f>
        <v>45</v>
      </c>
      <c r="K225">
        <v>2</v>
      </c>
      <c r="L225">
        <f t="shared" ref="L225:L228" si="36">ROUND((((1-(($K225-1)/($A$198-1)))^2)*L$217)+(2*(1-(($A225-1)/($A$198-1)))*(($A225-1)/($A$198-1))*L$221)+(((($A225-1)/($A$198-1))^2)*L$219),0)</f>
        <v>40</v>
      </c>
    </row>
    <row r="226" spans="1:12" x14ac:dyDescent="0.25">
      <c r="A226">
        <v>3</v>
      </c>
      <c r="B226">
        <f t="shared" si="35"/>
        <v>60</v>
      </c>
      <c r="K226">
        <v>3</v>
      </c>
      <c r="L226">
        <f t="shared" si="36"/>
        <v>60</v>
      </c>
    </row>
    <row r="227" spans="1:12" x14ac:dyDescent="0.25">
      <c r="A227">
        <v>4</v>
      </c>
      <c r="B227">
        <f t="shared" si="35"/>
        <v>75</v>
      </c>
      <c r="K227">
        <v>4</v>
      </c>
      <c r="L227">
        <f t="shared" si="36"/>
        <v>80</v>
      </c>
    </row>
    <row r="228" spans="1:12" x14ac:dyDescent="0.25">
      <c r="A228">
        <v>5</v>
      </c>
      <c r="B228">
        <f t="shared" si="35"/>
        <v>90</v>
      </c>
      <c r="K228">
        <v>5</v>
      </c>
      <c r="L228">
        <f t="shared" si="36"/>
        <v>100</v>
      </c>
    </row>
    <row r="230" spans="1:12" x14ac:dyDescent="0.25">
      <c r="A230" t="s">
        <v>179</v>
      </c>
      <c r="B230" t="s">
        <v>278</v>
      </c>
    </row>
    <row r="232" spans="1:12" x14ac:dyDescent="0.25">
      <c r="A232" t="s">
        <v>180</v>
      </c>
      <c r="B232">
        <v>10</v>
      </c>
    </row>
    <row r="234" spans="1:12" x14ac:dyDescent="0.25">
      <c r="A234" t="s">
        <v>80</v>
      </c>
      <c r="B234">
        <v>50</v>
      </c>
    </row>
    <row r="236" spans="1:12" x14ac:dyDescent="0.25">
      <c r="A236" t="s">
        <v>78</v>
      </c>
      <c r="B236">
        <f>B232+((B234-B232)*$D$183)</f>
        <v>30</v>
      </c>
    </row>
    <row r="238" spans="1:12" x14ac:dyDescent="0.25">
      <c r="A238" t="s">
        <v>182</v>
      </c>
      <c r="B238" t="s">
        <v>279</v>
      </c>
    </row>
    <row r="239" spans="1:12" x14ac:dyDescent="0.25">
      <c r="A239">
        <v>1</v>
      </c>
      <c r="B239">
        <f>ROUND((((1-(($A239-1)/($A$198-1)))^2)*B$232)+(2*(1-(($A239-1)/($A$198-1)))*(($A239-1)/($A$198-1))*B$236)+(((($A239-1)/($A$198-1))^2)*B$234),0)</f>
        <v>10</v>
      </c>
    </row>
    <row r="240" spans="1:12" x14ac:dyDescent="0.25">
      <c r="A240">
        <v>2</v>
      </c>
      <c r="B240">
        <f t="shared" ref="B240:B243" si="37">ROUND((((1-(($A240-1)/($A$198-1)))^2)*B$232)+(2*(1-(($A240-1)/($A$198-1)))*(($A240-1)/($A$198-1))*B$236)+(((($A240-1)/($A$198-1))^2)*B$234),0)</f>
        <v>20</v>
      </c>
    </row>
    <row r="241" spans="1:2" x14ac:dyDescent="0.25">
      <c r="A241">
        <v>3</v>
      </c>
      <c r="B241">
        <f t="shared" si="37"/>
        <v>30</v>
      </c>
    </row>
    <row r="242" spans="1:2" x14ac:dyDescent="0.25">
      <c r="A242">
        <v>4</v>
      </c>
      <c r="B242">
        <f t="shared" si="37"/>
        <v>40</v>
      </c>
    </row>
    <row r="243" spans="1:2" x14ac:dyDescent="0.25">
      <c r="A243">
        <v>5</v>
      </c>
      <c r="B243">
        <f t="shared" si="37"/>
        <v>50</v>
      </c>
    </row>
  </sheetData>
  <conditionalFormatting sqref="B18:B27">
    <cfRule type="dataBar" priority="5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I53">
    <cfRule type="dataBar" priority="5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5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5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5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4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3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3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31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I74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I95">
    <cfRule type="dataBar" priority="2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I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I137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I158">
    <cfRule type="dataBar" priority="1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I179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conditionalFormatting sqref="B239:B24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{70D9FDBB-0A2F-412A-B21A-DF586EE9742F}</x14:id>
        </ext>
      </extLst>
    </cfRule>
  </conditionalFormatting>
  <conditionalFormatting sqref="I170:I1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{BD3F5069-F79B-4F0B-8729-21287B64693E}</x14:id>
        </ext>
      </extLst>
    </cfRule>
  </conditionalFormatting>
  <conditionalFormatting sqref="I149:I1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{77D3738A-D93A-48F4-97B3-178DA6F4D7B1}</x14:id>
        </ext>
      </extLst>
    </cfRule>
  </conditionalFormatting>
  <conditionalFormatting sqref="I128:I1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{BFCAA401-3E4D-451A-87E9-9C60A81BED79}</x14:id>
        </ext>
      </extLst>
    </cfRule>
  </conditionalFormatting>
  <conditionalFormatting sqref="I107:I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{20E72860-7B26-4CCF-8817-FBE0BFE85EF2}</x14:id>
        </ext>
      </extLst>
    </cfRule>
  </conditionalFormatting>
  <conditionalFormatting sqref="I86:I9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{7F62FCD2-F288-4897-A612-96ADFD001798}</x14:id>
        </ext>
      </extLst>
    </cfRule>
  </conditionalFormatting>
  <conditionalFormatting sqref="I65:I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{7C37677E-DDEC-4BA7-A21B-A1AE03ED4602}</x14:id>
        </ext>
      </extLst>
    </cfRule>
  </conditionalFormatting>
  <conditionalFormatting sqref="I44:I5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{86AF71D0-DFDA-4C0B-AA4E-82A4F1CB323F}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34" name="Scroll Bar 143">
              <controlPr defaultSize="0" autoPict="0">
                <anchor moveWithCells="1">
                  <from>
                    <xdr:col>1</xdr:col>
                    <xdr:colOff>0</xdr:colOff>
                    <xdr:row>232</xdr:row>
                    <xdr:rowOff>0</xdr:rowOff>
                  </from>
                  <to>
                    <xdr:col>2</xdr:col>
                    <xdr:colOff>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35" name="Scroll Bar 144">
              <controlPr defaultSize="0" autoPict="0">
                <anchor moveWithCells="1">
                  <from>
                    <xdr:col>1</xdr:col>
                    <xdr:colOff>0</xdr:colOff>
                    <xdr:row>234</xdr:row>
                    <xdr:rowOff>0</xdr:rowOff>
                  </from>
                  <to>
                    <xdr:col>2</xdr:col>
                    <xdr:colOff>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36" name="Scroll Bar 145">
              <controlPr defaultSiz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37" name="Scroll Bar 166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38" name="Scroll Bar 167">
              <controlPr defaultSize="0" autoPict="0">
                <anchor moveWithCells="1">
                  <from>
                    <xdr:col>8</xdr:col>
                    <xdr:colOff>0</xdr:colOff>
                    <xdr:row>58</xdr:row>
                    <xdr:rowOff>0</xdr:rowOff>
                  </from>
                  <to>
                    <xdr:col>9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39" name="Scroll Bar 168">
              <controlPr defaultSize="0" autoPict="0">
                <anchor moveWithCells="1">
                  <from>
                    <xdr:col>8</xdr:col>
                    <xdr:colOff>0</xdr:colOff>
                    <xdr:row>60</xdr:row>
                    <xdr:rowOff>0</xdr:rowOff>
                  </from>
                  <to>
                    <xdr:col>9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40" name="Scroll Bar 169">
              <controlPr defaultSize="0" autoPict="0">
                <anchor moveWithCells="1">
                  <from>
                    <xdr:col>8</xdr:col>
                    <xdr:colOff>0</xdr:colOff>
                    <xdr:row>79</xdr:row>
                    <xdr:rowOff>0</xdr:rowOff>
                  </from>
                  <to>
                    <xdr:col>9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41" name="Scroll Bar 170">
              <controlPr defaultSize="0" autoPict="0">
                <anchor moveWithCells="1">
                  <from>
                    <xdr:col>8</xdr:col>
                    <xdr:colOff>0</xdr:colOff>
                    <xdr:row>81</xdr:row>
                    <xdr:rowOff>0</xdr:rowOff>
                  </from>
                  <to>
                    <xdr:col>9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42" name="Scroll Bar 171">
              <controlPr defaultSize="0" autoPict="0">
                <anchor moveWithCells="1">
                  <from>
                    <xdr:col>8</xdr:col>
                    <xdr:colOff>0</xdr:colOff>
                    <xdr:row>100</xdr:row>
                    <xdr:rowOff>0</xdr:rowOff>
                  </from>
                  <to>
                    <xdr:col>9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43" name="Scroll Bar 172">
              <controlPr defaultSize="0" autoPict="0">
                <anchor moveWithCells="1">
                  <from>
                    <xdr:col>8</xdr:col>
                    <xdr:colOff>0</xdr:colOff>
                    <xdr:row>102</xdr:row>
                    <xdr:rowOff>0</xdr:rowOff>
                  </from>
                  <to>
                    <xdr:col>9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44" name="Scroll Bar 173">
              <controlPr defaultSize="0" autoPict="0">
                <anchor moveWithCells="1">
                  <from>
                    <xdr:col>8</xdr:col>
                    <xdr:colOff>0</xdr:colOff>
                    <xdr:row>121</xdr:row>
                    <xdr:rowOff>0</xdr:rowOff>
                  </from>
                  <to>
                    <xdr:col>9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45" name="Scroll Bar 174">
              <controlPr defaultSize="0" autoPict="0">
                <anchor moveWithCells="1">
                  <from>
                    <xdr:col>8</xdr:col>
                    <xdr:colOff>0</xdr:colOff>
                    <xdr:row>123</xdr:row>
                    <xdr:rowOff>0</xdr:rowOff>
                  </from>
                  <to>
                    <xdr:col>9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46" name="Scroll Bar 175">
              <controlPr defaultSize="0" autoPict="0">
                <anchor moveWithCells="1">
                  <from>
                    <xdr:col>8</xdr:col>
                    <xdr:colOff>0</xdr:colOff>
                    <xdr:row>142</xdr:row>
                    <xdr:rowOff>0</xdr:rowOff>
                  </from>
                  <to>
                    <xdr:col>9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47" name="Scroll Bar 176">
              <controlPr defaultSize="0" autoPict="0">
                <anchor moveWithCells="1">
                  <from>
                    <xdr:col>8</xdr:col>
                    <xdr:colOff>0</xdr:colOff>
                    <xdr:row>144</xdr:row>
                    <xdr:rowOff>0</xdr:rowOff>
                  </from>
                  <to>
                    <xdr:col>9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48" name="Scroll Bar 177">
              <controlPr defaultSize="0" autoPict="0">
                <anchor moveWithCells="1">
                  <from>
                    <xdr:col>8</xdr:col>
                    <xdr:colOff>0</xdr:colOff>
                    <xdr:row>163</xdr:row>
                    <xdr:rowOff>0</xdr:rowOff>
                  </from>
                  <to>
                    <xdr:col>9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49" name="Scroll Bar 178">
              <controlPr defaultSize="0" autoPict="0">
                <anchor moveWithCells="1">
                  <from>
                    <xdr:col>8</xdr:col>
                    <xdr:colOff>0</xdr:colOff>
                    <xdr:row>165</xdr:row>
                    <xdr:rowOff>0</xdr:rowOff>
                  </from>
                  <to>
                    <xdr:col>9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50"/>
    <tablePart r:id="rId151"/>
    <tablePart r:id="rId152"/>
    <tablePart r:id="rId153"/>
    <tablePart r:id="rId154"/>
    <tablePart r:id="rId155"/>
    <tablePart r:id="rId15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B44:I53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B65:I74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B86:I95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B107:I116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B128:I137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B149:I158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B170:I179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  <x14:conditionalFormatting xmlns:xm="http://schemas.microsoft.com/office/excel/2006/main">
          <x14:cfRule type="dataBar" id="{70D9FDBB-0A2F-412A-B21A-DF586EE97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B239:B243</xm:sqref>
        </x14:conditionalFormatting>
        <x14:conditionalFormatting xmlns:xm="http://schemas.microsoft.com/office/excel/2006/main">
          <x14:cfRule type="dataBar" id="{BD3F5069-F79B-4F0B-8729-21287B646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I170:I179</xm:sqref>
        </x14:conditionalFormatting>
        <x14:conditionalFormatting xmlns:xm="http://schemas.microsoft.com/office/excel/2006/main">
          <x14:cfRule type="dataBar" id="{77D3738A-D93A-48F4-97B3-178DA6F4D7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I149:I158</xm:sqref>
        </x14:conditionalFormatting>
        <x14:conditionalFormatting xmlns:xm="http://schemas.microsoft.com/office/excel/2006/main">
          <x14:cfRule type="dataBar" id="{BFCAA401-3E4D-451A-87E9-9C60A81BED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I128:I137</xm:sqref>
        </x14:conditionalFormatting>
        <x14:conditionalFormatting xmlns:xm="http://schemas.microsoft.com/office/excel/2006/main">
          <x14:cfRule type="dataBar" id="{20E72860-7B26-4CCF-8817-FBE0BFE85E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I107:I116</xm:sqref>
        </x14:conditionalFormatting>
        <x14:conditionalFormatting xmlns:xm="http://schemas.microsoft.com/office/excel/2006/main">
          <x14:cfRule type="dataBar" id="{7F62FCD2-F288-4897-A612-96ADFD0017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I86:I95</xm:sqref>
        </x14:conditionalFormatting>
        <x14:conditionalFormatting xmlns:xm="http://schemas.microsoft.com/office/excel/2006/main">
          <x14:cfRule type="dataBar" id="{7C37677E-DDEC-4BA7-A21B-A1AE03ED46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I65:I74</xm:sqref>
        </x14:conditionalFormatting>
        <x14:conditionalFormatting xmlns:xm="http://schemas.microsoft.com/office/excel/2006/main">
          <x14:cfRule type="dataBar" id="{86AF71D0-DFDA-4C0B-AA4E-82A4F1CB32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I44:I53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17"/>
  <sheetViews>
    <sheetView topLeftCell="A49" workbookViewId="0">
      <selection activeCell="T98" sqref="T98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45</v>
      </c>
      <c r="E4">
        <f>'ITEM STATS'!$B107*'ITEM STATS'!$E107</f>
        <v>30</v>
      </c>
      <c r="F4">
        <f>'ITEM STATS'!$B128*'ITEM STATS'!$E128</f>
        <v>25</v>
      </c>
      <c r="G4">
        <f>'ITEM STATS'!$B149*'ITEM STATS'!$E149</f>
        <v>20</v>
      </c>
      <c r="H4">
        <f>'ITEM STATS'!$B170*'ITEM STATS'!$E170</f>
        <v>45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55</v>
      </c>
      <c r="E5">
        <f>'ITEM STATS'!$B108*'ITEM STATS'!$E108</f>
        <v>38</v>
      </c>
      <c r="F5">
        <f>'ITEM STATS'!$B129*'ITEM STATS'!$E129</f>
        <v>30</v>
      </c>
      <c r="G5">
        <f>'ITEM STATS'!$B150*'ITEM STATS'!$E150</f>
        <v>25</v>
      </c>
      <c r="H5">
        <f>'ITEM STATS'!$B171*'ITEM STATS'!$E171</f>
        <v>54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65</v>
      </c>
      <c r="E6">
        <f>'ITEM STATS'!$B109*'ITEM STATS'!$E109</f>
        <v>44</v>
      </c>
      <c r="F6">
        <f>'ITEM STATS'!$B130*'ITEM STATS'!$E130</f>
        <v>34</v>
      </c>
      <c r="G6">
        <f>'ITEM STATS'!$B151*'ITEM STATS'!$E151</f>
        <v>29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73</v>
      </c>
      <c r="E7">
        <f>'ITEM STATS'!$B110*'ITEM STATS'!$E110</f>
        <v>75</v>
      </c>
      <c r="F7">
        <f>'ITEM STATS'!$B131*'ITEM STATS'!$E131</f>
        <v>76</v>
      </c>
      <c r="G7">
        <f>'ITEM STATS'!$B152*'ITEM STATS'!$E152</f>
        <v>33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80</v>
      </c>
      <c r="E8">
        <f>'ITEM STATS'!$B111*'ITEM STATS'!$E111</f>
        <v>84</v>
      </c>
      <c r="F8">
        <f>'ITEM STATS'!$B132*'ITEM STATS'!$E132</f>
        <v>82</v>
      </c>
      <c r="G8">
        <f>'ITEM STATS'!$B153*'ITEM STATS'!$E153</f>
        <v>36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88</v>
      </c>
      <c r="C9">
        <f>'ITEM STATS'!$B70*'ITEM STATS'!$E70</f>
        <v>88</v>
      </c>
      <c r="D9">
        <f>'ITEM STATS'!$B91*'ITEM STATS'!$E91</f>
        <v>86</v>
      </c>
      <c r="E9">
        <f>'ITEM STATS'!$B112*'ITEM STATS'!$E112</f>
        <v>90</v>
      </c>
      <c r="F9">
        <f>'ITEM STATS'!$B133*'ITEM STATS'!$E133</f>
        <v>88</v>
      </c>
      <c r="G9">
        <f>'ITEM STATS'!$B154*'ITEM STATS'!$E154</f>
        <v>78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92</v>
      </c>
      <c r="C10">
        <f>'ITEM STATS'!$B71*'ITEM STATS'!$E71</f>
        <v>92</v>
      </c>
      <c r="D10">
        <f>'ITEM STATS'!$B92*'ITEM STATS'!$E92</f>
        <v>91</v>
      </c>
      <c r="E10">
        <f>'ITEM STATS'!$B113*'ITEM STATS'!$E113</f>
        <v>96</v>
      </c>
      <c r="F10">
        <f>'ITEM STATS'!$B134*'ITEM STATS'!$E134</f>
        <v>92</v>
      </c>
      <c r="G10">
        <f>'ITEM STATS'!$B155*'ITEM STATS'!$E155</f>
        <v>82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96</v>
      </c>
      <c r="C11">
        <f>'ITEM STATS'!$B72*'ITEM STATS'!$E72</f>
        <v>96</v>
      </c>
      <c r="D11">
        <f>'ITEM STATS'!$B93*'ITEM STATS'!$E93</f>
        <v>95</v>
      </c>
      <c r="E11">
        <f>'ITEM STATS'!$B114*'ITEM STATS'!$E114</f>
        <v>132</v>
      </c>
      <c r="F11">
        <f>'ITEM STATS'!$B135*'ITEM STATS'!$E135</f>
        <v>144</v>
      </c>
      <c r="G11">
        <f>'ITEM STATS'!$B156*'ITEM STATS'!$E156</f>
        <v>86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98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136</v>
      </c>
      <c r="F12">
        <f>'ITEM STATS'!$B136*'ITEM STATS'!$E136</f>
        <v>147</v>
      </c>
      <c r="G12">
        <f>'ITEM STATS'!$B157*'ITEM STATS'!$E157</f>
        <v>88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100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140</v>
      </c>
      <c r="F13">
        <f>'ITEM STATS'!$B137*'ITEM STATS'!$E137</f>
        <v>150</v>
      </c>
      <c r="G13">
        <f>'ITEM STATS'!$B158*'ITEM STATS'!$E158</f>
        <v>90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26</v>
      </c>
      <c r="C17">
        <f>'ITEM STATS'!$F65*'ITEM STATS'!$E65</f>
        <v>26</v>
      </c>
      <c r="D17">
        <f>'ITEM STATS'!$F86*'ITEM STATS'!$E86</f>
        <v>55</v>
      </c>
      <c r="E17">
        <f>'ITEM STATS'!$F107*'ITEM STATS'!$E107</f>
        <v>40</v>
      </c>
      <c r="F17">
        <f>'ITEM STATS'!$F128*'ITEM STATS'!$E128</f>
        <v>26</v>
      </c>
      <c r="G17">
        <f>'ITEM STATS'!$F149*'ITEM STATS'!$E149</f>
        <v>15</v>
      </c>
      <c r="H17">
        <f>'ITEM STATS'!$F170*'ITEM STATS'!$E170</f>
        <v>40</v>
      </c>
    </row>
    <row r="18" spans="1:8" x14ac:dyDescent="0.25">
      <c r="A18">
        <v>2</v>
      </c>
      <c r="B18">
        <f>'ITEM STATS'!$F45*'ITEM STATS'!$E45</f>
        <v>27</v>
      </c>
      <c r="C18">
        <f>'ITEM STATS'!$F66*'ITEM STATS'!$E66</f>
        <v>27</v>
      </c>
      <c r="D18">
        <f>'ITEM STATS'!$F87*'ITEM STATS'!$E87</f>
        <v>58</v>
      </c>
      <c r="E18">
        <f>'ITEM STATS'!$F108*'ITEM STATS'!$E108</f>
        <v>42</v>
      </c>
      <c r="F18">
        <f>'ITEM STATS'!$F129*'ITEM STATS'!$E129</f>
        <v>27</v>
      </c>
      <c r="G18">
        <f>'ITEM STATS'!$F150*'ITEM STATS'!$E150</f>
        <v>17</v>
      </c>
      <c r="H18">
        <f>'ITEM STATS'!$F171*'ITEM STATS'!$E171</f>
        <v>40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29</v>
      </c>
      <c r="D19">
        <f>'ITEM STATS'!$F88*'ITEM STATS'!$E88</f>
        <v>60</v>
      </c>
      <c r="E19">
        <f>'ITEM STATS'!$F109*'ITEM STATS'!$E109</f>
        <v>42</v>
      </c>
      <c r="F19">
        <f>'ITEM STATS'!$F130*'ITEM STATS'!$E130</f>
        <v>29</v>
      </c>
      <c r="G19">
        <f>'ITEM STATS'!$F151*'ITEM STATS'!$E151</f>
        <v>18</v>
      </c>
      <c r="H19">
        <f>'ITEM STATS'!$F172*'ITEM STATS'!$E172</f>
        <v>40</v>
      </c>
    </row>
    <row r="20" spans="1:8" x14ac:dyDescent="0.25">
      <c r="A20">
        <v>4</v>
      </c>
      <c r="B20">
        <f>'ITEM STATS'!$F47*'ITEM STATS'!$E47</f>
        <v>30</v>
      </c>
      <c r="C20">
        <f>'ITEM STATS'!$F68*'ITEM STATS'!$E68</f>
        <v>30</v>
      </c>
      <c r="D20">
        <f>'ITEM STATS'!$F89*'ITEM STATS'!$E89</f>
        <v>63</v>
      </c>
      <c r="E20">
        <f>'ITEM STATS'!$F110*'ITEM STATS'!$E110</f>
        <v>66</v>
      </c>
      <c r="F20">
        <f>'ITEM STATS'!$F131*'ITEM STATS'!$E131</f>
        <v>60</v>
      </c>
      <c r="G20">
        <f>'ITEM STATS'!$F152*'ITEM STATS'!$E152</f>
        <v>20</v>
      </c>
      <c r="H20">
        <f>'ITEM STATS'!$F173*'ITEM STATS'!$E173</f>
        <v>80</v>
      </c>
    </row>
    <row r="21" spans="1:8" x14ac:dyDescent="0.25">
      <c r="A21">
        <v>5</v>
      </c>
      <c r="B21">
        <f>'ITEM STATS'!$F48*'ITEM STATS'!$E48</f>
        <v>30</v>
      </c>
      <c r="C21">
        <f>'ITEM STATS'!$F69*'ITEM STATS'!$E69</f>
        <v>30</v>
      </c>
      <c r="D21">
        <f>'ITEM STATS'!$F90*'ITEM STATS'!$E90</f>
        <v>65</v>
      </c>
      <c r="E21">
        <f>'ITEM STATS'!$F111*'ITEM STATS'!$E111</f>
        <v>69</v>
      </c>
      <c r="F21">
        <f>'ITEM STATS'!$F132*'ITEM STATS'!$E132</f>
        <v>60</v>
      </c>
      <c r="G21">
        <f>'ITEM STATS'!$F153*'ITEM STATS'!$E153</f>
        <v>21</v>
      </c>
      <c r="H21">
        <f>'ITEM STATS'!$F174*'ITEM STATS'!$E174</f>
        <v>80</v>
      </c>
    </row>
    <row r="22" spans="1:8" x14ac:dyDescent="0.25">
      <c r="A22">
        <v>6</v>
      </c>
      <c r="B22">
        <f>'ITEM STATS'!$F49*'ITEM STATS'!$E49</f>
        <v>62</v>
      </c>
      <c r="C22">
        <f>'ITEM STATS'!$F70*'ITEM STATS'!$E70</f>
        <v>62</v>
      </c>
      <c r="D22">
        <f>'ITEM STATS'!$F91*'ITEM STATS'!$E91</f>
        <v>66</v>
      </c>
      <c r="E22">
        <f>'ITEM STATS'!$F112*'ITEM STATS'!$E112</f>
        <v>69</v>
      </c>
      <c r="F22">
        <f>'ITEM STATS'!$F133*'ITEM STATS'!$E133</f>
        <v>62</v>
      </c>
      <c r="G22">
        <f>'ITEM STATS'!$F154*'ITEM STATS'!$E154</f>
        <v>44</v>
      </c>
      <c r="H22">
        <f>'ITEM STATS'!$F175*'ITEM STATS'!$E175</f>
        <v>80</v>
      </c>
    </row>
    <row r="23" spans="1:8" x14ac:dyDescent="0.25">
      <c r="A23">
        <v>7</v>
      </c>
      <c r="B23">
        <f>'ITEM STATS'!$F50*'ITEM STATS'!$E50</f>
        <v>64</v>
      </c>
      <c r="C23">
        <f>'ITEM STATS'!$F71*'ITEM STATS'!$E71</f>
        <v>64</v>
      </c>
      <c r="D23">
        <f>'ITEM STATS'!$F92*'ITEM STATS'!$E92</f>
        <v>68</v>
      </c>
      <c r="E23">
        <f>'ITEM STATS'!$F113*'ITEM STATS'!$E113</f>
        <v>69</v>
      </c>
      <c r="F23">
        <f>'ITEM STATS'!$F134*'ITEM STATS'!$E134</f>
        <v>64</v>
      </c>
      <c r="G23">
        <f>'ITEM STATS'!$F155*'ITEM STATS'!$E155</f>
        <v>46</v>
      </c>
      <c r="H23">
        <f>'ITEM STATS'!$F176*'ITEM STATS'!$E176</f>
        <v>80</v>
      </c>
    </row>
    <row r="24" spans="1:8" x14ac:dyDescent="0.25">
      <c r="A24">
        <v>8</v>
      </c>
      <c r="B24">
        <f>'ITEM STATS'!$F51*'ITEM STATS'!$E51</f>
        <v>64</v>
      </c>
      <c r="C24">
        <f>'ITEM STATS'!$F72*'ITEM STATS'!$E72</f>
        <v>64</v>
      </c>
      <c r="D24">
        <f>'ITEM STATS'!$F93*'ITEM STATS'!$E93</f>
        <v>69</v>
      </c>
      <c r="E24">
        <f>'ITEM STATS'!$F114*'ITEM STATS'!$E114</f>
        <v>96</v>
      </c>
      <c r="F24">
        <f>'ITEM STATS'!$F135*'ITEM STATS'!$E135</f>
        <v>96</v>
      </c>
      <c r="G24">
        <f>'ITEM STATS'!$F156*'ITEM STATS'!$E156</f>
        <v>46</v>
      </c>
      <c r="H24">
        <f>'ITEM STATS'!$F177*'ITEM STATS'!$E177</f>
        <v>120</v>
      </c>
    </row>
    <row r="25" spans="1:8" x14ac:dyDescent="0.25">
      <c r="A25">
        <v>9</v>
      </c>
      <c r="B25">
        <f>'ITEM STATS'!$F52*'ITEM STATS'!$E52</f>
        <v>66</v>
      </c>
      <c r="C25">
        <f>'ITEM STATS'!$F73*'ITEM STATS'!$E73</f>
        <v>66</v>
      </c>
      <c r="D25">
        <f>'ITEM STATS'!$F94*'ITEM STATS'!$E94</f>
        <v>70</v>
      </c>
      <c r="E25">
        <f>'ITEM STATS'!$F115*'ITEM STATS'!$E115</f>
        <v>96</v>
      </c>
      <c r="F25">
        <f>'ITEM STATS'!$F136*'ITEM STATS'!$E136</f>
        <v>99</v>
      </c>
      <c r="G25">
        <f>'ITEM STATS'!$F157*'ITEM STATS'!$E157</f>
        <v>48</v>
      </c>
      <c r="H25">
        <f>'ITEM STATS'!$F178*'ITEM STATS'!$E178</f>
        <v>120</v>
      </c>
    </row>
    <row r="26" spans="1:8" x14ac:dyDescent="0.25">
      <c r="A26">
        <v>10</v>
      </c>
      <c r="B26">
        <f>'ITEM STATS'!$F53*'ITEM STATS'!$E53</f>
        <v>66</v>
      </c>
      <c r="C26">
        <f>'ITEM STATS'!$F74*'ITEM STATS'!$E74</f>
        <v>66</v>
      </c>
      <c r="D26">
        <f>'ITEM STATS'!$F95*'ITEM STATS'!$E95</f>
        <v>70</v>
      </c>
      <c r="E26">
        <f>'ITEM STATS'!$F116*'ITEM STATS'!$E116</f>
        <v>96</v>
      </c>
      <c r="F26">
        <f>'ITEM STATS'!$F137*'ITEM STATS'!$E137</f>
        <v>99</v>
      </c>
      <c r="G26">
        <f>'ITEM STATS'!$F158*'ITEM STATS'!$E158</f>
        <v>48</v>
      </c>
      <c r="H26">
        <f>'ITEM STATS'!$F179*'ITEM STATS'!$E179</f>
        <v>120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0.96</v>
      </c>
      <c r="C30">
        <f>ROUND('ITEM STATS'!B65/'ITEM STATS'!F65, 2)</f>
        <v>0.96</v>
      </c>
      <c r="D30">
        <f>ROUND('ITEM STATS'!B86/'ITEM STATS'!F86, 2)</f>
        <v>0.82</v>
      </c>
      <c r="E30">
        <f>ROUND('ITEM STATS'!B107/'ITEM STATS'!F107, 2)</f>
        <v>0.75</v>
      </c>
      <c r="F30">
        <f>ROUND('ITEM STATS'!B128/'ITEM STATS'!F128, 2)</f>
        <v>0.96</v>
      </c>
      <c r="G30">
        <f>ROUND('ITEM STATS'!B149/'ITEM STATS'!F149, 2)</f>
        <v>1.33</v>
      </c>
      <c r="H30">
        <f>ROUND('ITEM STATS'!B170/'ITEM STATS'!F170, 2)</f>
        <v>1.1299999999999999</v>
      </c>
    </row>
    <row r="31" spans="1:8" x14ac:dyDescent="0.25">
      <c r="A31">
        <v>2</v>
      </c>
      <c r="B31">
        <f>ROUND('ITEM STATS'!B45/'ITEM STATS'!F45, 2)</f>
        <v>1.1100000000000001</v>
      </c>
      <c r="C31">
        <f>ROUND('ITEM STATS'!B66/'ITEM STATS'!F66, 2)</f>
        <v>1.1100000000000001</v>
      </c>
      <c r="D31">
        <f>ROUND('ITEM STATS'!B87/'ITEM STATS'!F87, 2)</f>
        <v>0.95</v>
      </c>
      <c r="E31">
        <f>ROUND('ITEM STATS'!B108/'ITEM STATS'!F108, 2)</f>
        <v>0.9</v>
      </c>
      <c r="F31">
        <f>ROUND('ITEM STATS'!B129/'ITEM STATS'!F129, 2)</f>
        <v>1.1100000000000001</v>
      </c>
      <c r="G31">
        <f>ROUND('ITEM STATS'!B150/'ITEM STATS'!F150, 2)</f>
        <v>1.47</v>
      </c>
      <c r="H31">
        <f>ROUND('ITEM STATS'!B171/'ITEM STATS'!F171, 2)</f>
        <v>1.35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1.17</v>
      </c>
      <c r="D32">
        <f>ROUND('ITEM STATS'!B88/'ITEM STATS'!F88, 2)</f>
        <v>1.08</v>
      </c>
      <c r="E32">
        <f>ROUND('ITEM STATS'!B109/'ITEM STATS'!F109, 2)</f>
        <v>1.05</v>
      </c>
      <c r="F32">
        <f>ROUND('ITEM STATS'!B130/'ITEM STATS'!F130, 2)</f>
        <v>1.17</v>
      </c>
      <c r="G32">
        <f>ROUND('ITEM STATS'!B151/'ITEM STATS'!F151, 2)</f>
        <v>1.61</v>
      </c>
      <c r="H32">
        <f>ROUND('ITEM STATS'!B172/'ITEM STATS'!F172, 2)</f>
        <v>1.53</v>
      </c>
    </row>
    <row r="33" spans="1:8" x14ac:dyDescent="0.25">
      <c r="A33">
        <v>4</v>
      </c>
      <c r="B33">
        <f>ROUND('ITEM STATS'!B47/'ITEM STATS'!F47, 2)</f>
        <v>1.27</v>
      </c>
      <c r="C33">
        <f>ROUND('ITEM STATS'!B68/'ITEM STATS'!F68, 2)</f>
        <v>1.27</v>
      </c>
      <c r="D33">
        <f>ROUND('ITEM STATS'!B89/'ITEM STATS'!F89, 2)</f>
        <v>1.1599999999999999</v>
      </c>
      <c r="E33">
        <f>ROUND('ITEM STATS'!B110/'ITEM STATS'!F110, 2)</f>
        <v>1.1399999999999999</v>
      </c>
      <c r="F33">
        <f>ROUND('ITEM STATS'!B131/'ITEM STATS'!F131, 2)</f>
        <v>1.27</v>
      </c>
      <c r="G33">
        <f>ROUND('ITEM STATS'!B152/'ITEM STATS'!F152, 2)</f>
        <v>1.65</v>
      </c>
      <c r="H33">
        <f>ROUND('ITEM STATS'!B173/'ITEM STATS'!F173, 2)</f>
        <v>1.7</v>
      </c>
    </row>
    <row r="34" spans="1:8" x14ac:dyDescent="0.25">
      <c r="A34">
        <v>5</v>
      </c>
      <c r="B34">
        <f>ROUND('ITEM STATS'!B48/'ITEM STATS'!F48, 2)</f>
        <v>1.37</v>
      </c>
      <c r="C34">
        <f>ROUND('ITEM STATS'!B69/'ITEM STATS'!F69, 2)</f>
        <v>1.37</v>
      </c>
      <c r="D34">
        <f>ROUND('ITEM STATS'!B90/'ITEM STATS'!F90, 2)</f>
        <v>1.23</v>
      </c>
      <c r="E34">
        <f>ROUND('ITEM STATS'!B111/'ITEM STATS'!F111, 2)</f>
        <v>1.22</v>
      </c>
      <c r="F34">
        <f>ROUND('ITEM STATS'!B132/'ITEM STATS'!F132, 2)</f>
        <v>1.37</v>
      </c>
      <c r="G34">
        <f>ROUND('ITEM STATS'!B153/'ITEM STATS'!F153, 2)</f>
        <v>1.71</v>
      </c>
      <c r="H34">
        <f>ROUND('ITEM STATS'!B174/'ITEM STATS'!F174, 2)</f>
        <v>1.85</v>
      </c>
    </row>
    <row r="35" spans="1:8" x14ac:dyDescent="0.25">
      <c r="A35">
        <v>6</v>
      </c>
      <c r="B35">
        <f>ROUND('ITEM STATS'!B49/'ITEM STATS'!F49, 2)</f>
        <v>1.42</v>
      </c>
      <c r="C35">
        <f>ROUND('ITEM STATS'!B70/'ITEM STATS'!F70, 2)</f>
        <v>1.42</v>
      </c>
      <c r="D35">
        <f>ROUND('ITEM STATS'!B91/'ITEM STATS'!F91, 2)</f>
        <v>1.3</v>
      </c>
      <c r="E35">
        <f>ROUND('ITEM STATS'!B112/'ITEM STATS'!F112, 2)</f>
        <v>1.3</v>
      </c>
      <c r="F35">
        <f>ROUND('ITEM STATS'!B133/'ITEM STATS'!F133, 2)</f>
        <v>1.42</v>
      </c>
      <c r="G35">
        <f>ROUND('ITEM STATS'!B154/'ITEM STATS'!F154, 2)</f>
        <v>1.77</v>
      </c>
      <c r="H35">
        <f>ROUND('ITEM STATS'!B175/'ITEM STATS'!F175, 2)</f>
        <v>1.98</v>
      </c>
    </row>
    <row r="36" spans="1:8" x14ac:dyDescent="0.25">
      <c r="A36">
        <v>7</v>
      </c>
      <c r="B36">
        <f>ROUND('ITEM STATS'!B50/'ITEM STATS'!F50, 2)</f>
        <v>1.44</v>
      </c>
      <c r="C36">
        <f>ROUND('ITEM STATS'!B71/'ITEM STATS'!F71, 2)</f>
        <v>1.44</v>
      </c>
      <c r="D36">
        <f>ROUND('ITEM STATS'!B92/'ITEM STATS'!F92, 2)</f>
        <v>1.34</v>
      </c>
      <c r="E36">
        <f>ROUND('ITEM STATS'!B113/'ITEM STATS'!F113, 2)</f>
        <v>1.39</v>
      </c>
      <c r="F36">
        <f>ROUND('ITEM STATS'!B134/'ITEM STATS'!F134, 2)</f>
        <v>1.44</v>
      </c>
      <c r="G36">
        <f>ROUND('ITEM STATS'!B155/'ITEM STATS'!F155, 2)</f>
        <v>1.78</v>
      </c>
      <c r="H36">
        <f>ROUND('ITEM STATS'!B176/'ITEM STATS'!F176, 2)</f>
        <v>2.08</v>
      </c>
    </row>
    <row r="37" spans="1:8" x14ac:dyDescent="0.25">
      <c r="A37">
        <v>8</v>
      </c>
      <c r="B37">
        <f>ROUND('ITEM STATS'!B51/'ITEM STATS'!F51, 2)</f>
        <v>1.5</v>
      </c>
      <c r="C37">
        <f>ROUND('ITEM STATS'!B72/'ITEM STATS'!F72, 2)</f>
        <v>1.5</v>
      </c>
      <c r="D37">
        <f>ROUND('ITEM STATS'!B93/'ITEM STATS'!F93, 2)</f>
        <v>1.38</v>
      </c>
      <c r="E37">
        <f>ROUND('ITEM STATS'!B114/'ITEM STATS'!F114, 2)</f>
        <v>1.38</v>
      </c>
      <c r="F37">
        <f>ROUND('ITEM STATS'!B135/'ITEM STATS'!F135, 2)</f>
        <v>1.5</v>
      </c>
      <c r="G37">
        <f>ROUND('ITEM STATS'!B156/'ITEM STATS'!F156, 2)</f>
        <v>1.87</v>
      </c>
      <c r="H37">
        <f>ROUND('ITEM STATS'!B177/'ITEM STATS'!F177, 2)</f>
        <v>2.15</v>
      </c>
    </row>
    <row r="38" spans="1:8" x14ac:dyDescent="0.25">
      <c r="A38">
        <v>9</v>
      </c>
      <c r="B38">
        <f>ROUND('ITEM STATS'!B52/'ITEM STATS'!F52, 2)</f>
        <v>1.48</v>
      </c>
      <c r="C38">
        <f>ROUND('ITEM STATS'!B73/'ITEM STATS'!F73, 2)</f>
        <v>1.48</v>
      </c>
      <c r="D38">
        <f>ROUND('ITEM STATS'!B94/'ITEM STATS'!F94, 2)</f>
        <v>1.4</v>
      </c>
      <c r="E38">
        <f>ROUND('ITEM STATS'!B115/'ITEM STATS'!F115, 2)</f>
        <v>1.42</v>
      </c>
      <c r="F38">
        <f>ROUND('ITEM STATS'!B136/'ITEM STATS'!F136, 2)</f>
        <v>1.48</v>
      </c>
      <c r="G38">
        <f>ROUND('ITEM STATS'!B157/'ITEM STATS'!F157, 2)</f>
        <v>1.83</v>
      </c>
      <c r="H38">
        <f>ROUND('ITEM STATS'!B178/'ITEM STATS'!F178, 2)</f>
        <v>2.23</v>
      </c>
    </row>
    <row r="39" spans="1:8" x14ac:dyDescent="0.25">
      <c r="A39">
        <v>10</v>
      </c>
      <c r="B39">
        <f>ROUND('ITEM STATS'!B53/'ITEM STATS'!F53, 2)</f>
        <v>1.52</v>
      </c>
      <c r="C39">
        <f>ROUND('ITEM STATS'!B74/'ITEM STATS'!F74, 2)</f>
        <v>1.52</v>
      </c>
      <c r="D39">
        <f>ROUND('ITEM STATS'!B95/'ITEM STATS'!F95, 2)</f>
        <v>1.43</v>
      </c>
      <c r="E39">
        <f>ROUND('ITEM STATS'!B116/'ITEM STATS'!F116, 2)</f>
        <v>1.46</v>
      </c>
      <c r="F39">
        <f>ROUND('ITEM STATS'!B137/'ITEM STATS'!F137, 2)</f>
        <v>1.52</v>
      </c>
      <c r="G39">
        <f>ROUND('ITEM STATS'!B158/'ITEM STATS'!F158, 2)</f>
        <v>1.88</v>
      </c>
      <c r="H39">
        <f>ROUND('ITEM STATS'!B179/'ITEM STATS'!F179, 2)</f>
        <v>2.25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0.96</v>
      </c>
      <c r="C43">
        <f>C30*'ITEM STATS'!$E65</f>
        <v>0.96</v>
      </c>
      <c r="D43">
        <f>D30*'ITEM STATS'!$E86</f>
        <v>0.82</v>
      </c>
      <c r="E43">
        <f>E30*'ITEM STATS'!$E107</f>
        <v>1.5</v>
      </c>
      <c r="F43">
        <f>F30*'ITEM STATS'!$E128</f>
        <v>0.96</v>
      </c>
      <c r="G43">
        <f>G30*'ITEM STATS'!$E149</f>
        <v>1.33</v>
      </c>
      <c r="H43">
        <f>H30*'ITEM STATS'!$E170</f>
        <v>1.1299999999999999</v>
      </c>
    </row>
    <row r="44" spans="1:8" x14ac:dyDescent="0.25">
      <c r="A44">
        <v>2</v>
      </c>
      <c r="B44">
        <f>B31*'ITEM STATS'!$E45</f>
        <v>1.1100000000000001</v>
      </c>
      <c r="C44">
        <f>C31*'ITEM STATS'!$E66</f>
        <v>1.1100000000000001</v>
      </c>
      <c r="D44">
        <f>D31*'ITEM STATS'!$E87</f>
        <v>0.95</v>
      </c>
      <c r="E44">
        <f>E31*'ITEM STATS'!$E108</f>
        <v>1.8</v>
      </c>
      <c r="F44">
        <f>F31*'ITEM STATS'!$E129</f>
        <v>1.1100000000000001</v>
      </c>
      <c r="G44">
        <f>G31*'ITEM STATS'!$E150</f>
        <v>1.47</v>
      </c>
      <c r="H44">
        <f>H31*'ITEM STATS'!$E171</f>
        <v>1.35</v>
      </c>
    </row>
    <row r="45" spans="1:8" x14ac:dyDescent="0.25">
      <c r="A45">
        <v>3</v>
      </c>
      <c r="B45">
        <f>B32*'ITEM STATS'!$E46</f>
        <v>1.17</v>
      </c>
      <c r="C45">
        <f>C32*'ITEM STATS'!$E67</f>
        <v>1.17</v>
      </c>
      <c r="D45">
        <f>D32*'ITEM STATS'!$E88</f>
        <v>1.08</v>
      </c>
      <c r="E45">
        <f>E32*'ITEM STATS'!$E109</f>
        <v>2.1</v>
      </c>
      <c r="F45">
        <f>F32*'ITEM STATS'!$E130</f>
        <v>1.17</v>
      </c>
      <c r="G45">
        <f>G32*'ITEM STATS'!$E151</f>
        <v>1.61</v>
      </c>
      <c r="H45">
        <f>H32*'ITEM STATS'!$E172</f>
        <v>1.53</v>
      </c>
    </row>
    <row r="46" spans="1:8" x14ac:dyDescent="0.25">
      <c r="A46">
        <v>4</v>
      </c>
      <c r="B46">
        <f>B33*'ITEM STATS'!$E47</f>
        <v>1.27</v>
      </c>
      <c r="C46">
        <f>C33*'ITEM STATS'!$E68</f>
        <v>1.27</v>
      </c>
      <c r="D46">
        <f>D33*'ITEM STATS'!$E89</f>
        <v>1.1599999999999999</v>
      </c>
      <c r="E46">
        <f>E33*'ITEM STATS'!$E110</f>
        <v>3.42</v>
      </c>
      <c r="F46">
        <f>F33*'ITEM STATS'!$E131</f>
        <v>2.54</v>
      </c>
      <c r="G46">
        <f>G33*'ITEM STATS'!$E152</f>
        <v>1.65</v>
      </c>
      <c r="H46">
        <f>H33*'ITEM STATS'!$E173</f>
        <v>3.4</v>
      </c>
    </row>
    <row r="47" spans="1:8" x14ac:dyDescent="0.25">
      <c r="A47">
        <v>5</v>
      </c>
      <c r="B47">
        <f>B34*'ITEM STATS'!$E48</f>
        <v>1.37</v>
      </c>
      <c r="C47">
        <f>C34*'ITEM STATS'!$E69</f>
        <v>1.37</v>
      </c>
      <c r="D47">
        <f>D34*'ITEM STATS'!$E90</f>
        <v>1.23</v>
      </c>
      <c r="E47">
        <f>E34*'ITEM STATS'!$E111</f>
        <v>3.66</v>
      </c>
      <c r="F47">
        <f>F34*'ITEM STATS'!$E132</f>
        <v>2.74</v>
      </c>
      <c r="G47">
        <f>G34*'ITEM STATS'!$E153</f>
        <v>1.71</v>
      </c>
      <c r="H47">
        <f>H34*'ITEM STATS'!$E174</f>
        <v>3.7</v>
      </c>
    </row>
    <row r="48" spans="1:8" x14ac:dyDescent="0.25">
      <c r="A48">
        <v>6</v>
      </c>
      <c r="B48">
        <f>B35*'ITEM STATS'!$E49</f>
        <v>2.84</v>
      </c>
      <c r="C48">
        <f>C35*'ITEM STATS'!$E70</f>
        <v>2.84</v>
      </c>
      <c r="D48">
        <f>D35*'ITEM STATS'!$E91</f>
        <v>1.3</v>
      </c>
      <c r="E48">
        <f>E35*'ITEM STATS'!$E112</f>
        <v>3.9000000000000004</v>
      </c>
      <c r="F48">
        <f>F35*'ITEM STATS'!$E133</f>
        <v>2.84</v>
      </c>
      <c r="G48">
        <f>G35*'ITEM STATS'!$E154</f>
        <v>3.54</v>
      </c>
      <c r="H48">
        <f>H35*'ITEM STATS'!$E175</f>
        <v>3.96</v>
      </c>
    </row>
    <row r="49" spans="1:9" x14ac:dyDescent="0.25">
      <c r="A49">
        <v>7</v>
      </c>
      <c r="B49">
        <f>B36*'ITEM STATS'!$E50</f>
        <v>2.88</v>
      </c>
      <c r="C49">
        <f>C36*'ITEM STATS'!$E71</f>
        <v>2.88</v>
      </c>
      <c r="D49">
        <f>D36*'ITEM STATS'!$E92</f>
        <v>1.34</v>
      </c>
      <c r="E49">
        <f>E36*'ITEM STATS'!$E113</f>
        <v>4.17</v>
      </c>
      <c r="F49">
        <f>F36*'ITEM STATS'!$E134</f>
        <v>2.88</v>
      </c>
      <c r="G49">
        <f>G36*'ITEM STATS'!$E155</f>
        <v>3.56</v>
      </c>
      <c r="H49">
        <f>H36*'ITEM STATS'!$E176</f>
        <v>4.16</v>
      </c>
    </row>
    <row r="50" spans="1:9" x14ac:dyDescent="0.25">
      <c r="A50">
        <v>8</v>
      </c>
      <c r="B50">
        <f>B37*'ITEM STATS'!$E51</f>
        <v>3</v>
      </c>
      <c r="C50">
        <f>C37*'ITEM STATS'!$E72</f>
        <v>3</v>
      </c>
      <c r="D50">
        <f>D37*'ITEM STATS'!$E93</f>
        <v>1.38</v>
      </c>
      <c r="E50">
        <f>E37*'ITEM STATS'!$E114</f>
        <v>5.52</v>
      </c>
      <c r="F50">
        <f>F37*'ITEM STATS'!$E135</f>
        <v>4.5</v>
      </c>
      <c r="G50">
        <f>G37*'ITEM STATS'!$E156</f>
        <v>3.74</v>
      </c>
      <c r="H50">
        <f>H37*'ITEM STATS'!$E177</f>
        <v>6.4499999999999993</v>
      </c>
    </row>
    <row r="51" spans="1:9" x14ac:dyDescent="0.25">
      <c r="A51">
        <v>9</v>
      </c>
      <c r="B51">
        <f>B38*'ITEM STATS'!$E52</f>
        <v>2.96</v>
      </c>
      <c r="C51">
        <f>C38*'ITEM STATS'!$E73</f>
        <v>2.96</v>
      </c>
      <c r="D51">
        <f>D38*'ITEM STATS'!$E94</f>
        <v>1.4</v>
      </c>
      <c r="E51">
        <f>E38*'ITEM STATS'!$E115</f>
        <v>5.68</v>
      </c>
      <c r="F51">
        <f>F38*'ITEM STATS'!$E136</f>
        <v>4.4399999999999995</v>
      </c>
      <c r="G51">
        <f>G38*'ITEM STATS'!$E157</f>
        <v>3.66</v>
      </c>
      <c r="H51">
        <f>H38*'ITEM STATS'!$E178</f>
        <v>6.6899999999999995</v>
      </c>
    </row>
    <row r="52" spans="1:9" x14ac:dyDescent="0.25">
      <c r="A52">
        <v>10</v>
      </c>
      <c r="B52">
        <f>B39*'ITEM STATS'!$E53</f>
        <v>3.04</v>
      </c>
      <c r="C52">
        <f>C39*'ITEM STATS'!$E74</f>
        <v>3.04</v>
      </c>
      <c r="D52">
        <f>D39*'ITEM STATS'!$E95</f>
        <v>1.43</v>
      </c>
      <c r="E52">
        <f>E39*'ITEM STATS'!$E116</f>
        <v>5.84</v>
      </c>
      <c r="F52">
        <f>F39*'ITEM STATS'!$E137</f>
        <v>4.5600000000000005</v>
      </c>
      <c r="G52">
        <f>G39*'ITEM STATS'!$E158</f>
        <v>3.76</v>
      </c>
      <c r="H52">
        <f>H39*'ITEM STATS'!$E179</f>
        <v>6.75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100</v>
      </c>
      <c r="C56">
        <f>ROUND(ROUNDUP(100/'ITEM STATS'!$F65, 0)*'ITEM STATS'!$B65, 2)</f>
        <v>100</v>
      </c>
      <c r="D56">
        <f>ROUND(ROUNDUP(100/'ITEM STATS'!$F86, 0)*'ITEM STATS'!$B86, 2)</f>
        <v>90</v>
      </c>
      <c r="E56">
        <f>ROUND(ROUNDUP(100/'ITEM STATS'!$F107, 0)*'ITEM STATS'!$B107, 2)</f>
        <v>75</v>
      </c>
      <c r="F56">
        <f>ROUND(ROUNDUP(100/'ITEM STATS'!$F128, 0)*'ITEM STATS'!$B128, 2)</f>
        <v>100</v>
      </c>
      <c r="G56">
        <f>ROUND(ROUNDUP(100/'ITEM STATS'!$F149, 0)*'ITEM STATS'!$B149, 2)</f>
        <v>140</v>
      </c>
      <c r="H56">
        <f>ROUND(ROUNDUP(100/'ITEM STATS'!$F170, 0)*'ITEM STATS'!$B170, 2)</f>
        <v>135</v>
      </c>
      <c r="I56">
        <f>ROUND(AVERAGE(C56:H56), 0)</f>
        <v>107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120</v>
      </c>
      <c r="D57">
        <f>ROUND(ROUNDUP(100/'ITEM STATS'!$F87, 0)*'ITEM STATS'!$B87, 2)</f>
        <v>110</v>
      </c>
      <c r="E57">
        <f>ROUND(ROUNDUP(100/'ITEM STATS'!$F108, 0)*'ITEM STATS'!$B108, 2)</f>
        <v>95</v>
      </c>
      <c r="F57">
        <f>ROUND(ROUNDUP(100/'ITEM STATS'!$F129, 0)*'ITEM STATS'!$B129, 2)</f>
        <v>120</v>
      </c>
      <c r="G57">
        <f>ROUND(ROUNDUP(100/'ITEM STATS'!$F150, 0)*'ITEM STATS'!$B150, 2)</f>
        <v>150</v>
      </c>
      <c r="H57">
        <f>ROUND(ROUNDUP(100/'ITEM STATS'!$F171, 0)*'ITEM STATS'!$B171, 2)</f>
        <v>162</v>
      </c>
      <c r="I57">
        <f t="shared" ref="I57:I65" si="0">ROUND(AVERAGE(C57:H57), 0)</f>
        <v>126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136</v>
      </c>
      <c r="D58">
        <f>ROUND(ROUNDUP(100/'ITEM STATS'!$F88, 0)*'ITEM STATS'!$B88, 2)</f>
        <v>130</v>
      </c>
      <c r="E58">
        <f>ROUND(ROUNDUP(100/'ITEM STATS'!$F109, 0)*'ITEM STATS'!$B109, 2)</f>
        <v>110</v>
      </c>
      <c r="F58">
        <f>ROUND(ROUNDUP(100/'ITEM STATS'!$F130, 0)*'ITEM STATS'!$B130, 2)</f>
        <v>136</v>
      </c>
      <c r="G58">
        <f>ROUND(ROUNDUP(100/'ITEM STATS'!$F151, 0)*'ITEM STATS'!$B151, 2)</f>
        <v>174</v>
      </c>
      <c r="H58">
        <f>ROUND(ROUNDUP(100/'ITEM STATS'!$F172, 0)*'ITEM STATS'!$B172, 2)</f>
        <v>183</v>
      </c>
      <c r="I58">
        <f t="shared" si="0"/>
        <v>145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152</v>
      </c>
      <c r="D59">
        <f>ROUND(ROUNDUP(100/'ITEM STATS'!$F89, 0)*'ITEM STATS'!$B89, 2)</f>
        <v>146</v>
      </c>
      <c r="E59">
        <f>ROUND(ROUNDUP(100/'ITEM STATS'!$F110, 0)*'ITEM STATS'!$B110, 2)</f>
        <v>125</v>
      </c>
      <c r="F59">
        <f>ROUND(ROUNDUP(100/'ITEM STATS'!$F131, 0)*'ITEM STATS'!$B131, 2)</f>
        <v>152</v>
      </c>
      <c r="G59">
        <f>ROUND(ROUNDUP(100/'ITEM STATS'!$F152, 0)*'ITEM STATS'!$B152, 2)</f>
        <v>165</v>
      </c>
      <c r="H59">
        <f>ROUND(ROUNDUP(100/'ITEM STATS'!$F173, 0)*'ITEM STATS'!$B173, 2)</f>
        <v>204</v>
      </c>
      <c r="I59">
        <f t="shared" si="0"/>
        <v>157</v>
      </c>
    </row>
    <row r="60" spans="1:9" x14ac:dyDescent="0.25">
      <c r="A60">
        <v>5</v>
      </c>
      <c r="B60">
        <f>ROUND(ROUNDUP(100/'ITEM STATS'!$F48, 0)*'ITEM STATS'!$B48, 2)</f>
        <v>164</v>
      </c>
      <c r="C60">
        <f>ROUND(ROUNDUP(100/'ITEM STATS'!$F69, 0)*'ITEM STATS'!$B69, 2)</f>
        <v>164</v>
      </c>
      <c r="D60">
        <f>ROUND(ROUNDUP(100/'ITEM STATS'!$F90, 0)*'ITEM STATS'!$B90, 2)</f>
        <v>160</v>
      </c>
      <c r="E60">
        <f>ROUND(ROUNDUP(100/'ITEM STATS'!$F111, 0)*'ITEM STATS'!$B111, 2)</f>
        <v>140</v>
      </c>
      <c r="F60">
        <f>ROUND(ROUNDUP(100/'ITEM STATS'!$F132, 0)*'ITEM STATS'!$B132, 2)</f>
        <v>164</v>
      </c>
      <c r="G60">
        <f>ROUND(ROUNDUP(100/'ITEM STATS'!$F153, 0)*'ITEM STATS'!$B153, 2)</f>
        <v>180</v>
      </c>
      <c r="H60">
        <f>ROUND(ROUNDUP(100/'ITEM STATS'!$F174, 0)*'ITEM STATS'!$B174, 2)</f>
        <v>222</v>
      </c>
      <c r="I60">
        <f t="shared" si="0"/>
        <v>172</v>
      </c>
    </row>
    <row r="61" spans="1:9" x14ac:dyDescent="0.25">
      <c r="A61">
        <v>6</v>
      </c>
      <c r="B61">
        <f>ROUND(ROUNDUP(100/'ITEM STATS'!$F49, 0)*'ITEM STATS'!$B49, 2)</f>
        <v>176</v>
      </c>
      <c r="C61">
        <f>ROUND(ROUNDUP(100/'ITEM STATS'!$F70, 0)*'ITEM STATS'!$B70, 2)</f>
        <v>176</v>
      </c>
      <c r="D61">
        <f>ROUND(ROUNDUP(100/'ITEM STATS'!$F91, 0)*'ITEM STATS'!$B91, 2)</f>
        <v>172</v>
      </c>
      <c r="E61">
        <f>ROUND(ROUNDUP(100/'ITEM STATS'!$F112, 0)*'ITEM STATS'!$B112, 2)</f>
        <v>150</v>
      </c>
      <c r="F61">
        <f>ROUND(ROUNDUP(100/'ITEM STATS'!$F133, 0)*'ITEM STATS'!$B133, 2)</f>
        <v>176</v>
      </c>
      <c r="G61">
        <f>ROUND(ROUNDUP(100/'ITEM STATS'!$F154, 0)*'ITEM STATS'!$B154, 2)</f>
        <v>195</v>
      </c>
      <c r="H61">
        <f>ROUND(ROUNDUP(100/'ITEM STATS'!$F175, 0)*'ITEM STATS'!$B175, 2)</f>
        <v>237</v>
      </c>
      <c r="I61">
        <f t="shared" si="0"/>
        <v>184</v>
      </c>
    </row>
    <row r="62" spans="1:9" x14ac:dyDescent="0.25">
      <c r="A62">
        <v>7</v>
      </c>
      <c r="B62">
        <f>ROUND(ROUNDUP(100/'ITEM STATS'!$F50, 0)*'ITEM STATS'!$B50, 2)</f>
        <v>184</v>
      </c>
      <c r="C62">
        <f>ROUND(ROUNDUP(100/'ITEM STATS'!$F71, 0)*'ITEM STATS'!$B71, 2)</f>
        <v>184</v>
      </c>
      <c r="D62">
        <f>ROUND(ROUNDUP(100/'ITEM STATS'!$F92, 0)*'ITEM STATS'!$B92, 2)</f>
        <v>182</v>
      </c>
      <c r="E62">
        <f>ROUND(ROUNDUP(100/'ITEM STATS'!$F113, 0)*'ITEM STATS'!$B113, 2)</f>
        <v>160</v>
      </c>
      <c r="F62">
        <f>ROUND(ROUNDUP(100/'ITEM STATS'!$F134, 0)*'ITEM STATS'!$B134, 2)</f>
        <v>184</v>
      </c>
      <c r="G62">
        <f>ROUND(ROUNDUP(100/'ITEM STATS'!$F155, 0)*'ITEM STATS'!$B155, 2)</f>
        <v>205</v>
      </c>
      <c r="H62">
        <f>ROUND(ROUNDUP(100/'ITEM STATS'!$F176, 0)*'ITEM STATS'!$B176, 2)</f>
        <v>249</v>
      </c>
      <c r="I62">
        <f t="shared" si="0"/>
        <v>194</v>
      </c>
    </row>
    <row r="63" spans="1:9" x14ac:dyDescent="0.25">
      <c r="A63">
        <v>8</v>
      </c>
      <c r="B63">
        <f>ROUND(ROUNDUP(100/'ITEM STATS'!$F51, 0)*'ITEM STATS'!$B51, 2)</f>
        <v>192</v>
      </c>
      <c r="C63">
        <f>ROUND(ROUNDUP(100/'ITEM STATS'!$F72, 0)*'ITEM STATS'!$B72, 2)</f>
        <v>192</v>
      </c>
      <c r="D63">
        <f>ROUND(ROUNDUP(100/'ITEM STATS'!$F93, 0)*'ITEM STATS'!$B93, 2)</f>
        <v>190</v>
      </c>
      <c r="E63">
        <f>ROUND(ROUNDUP(100/'ITEM STATS'!$F114, 0)*'ITEM STATS'!$B114, 2)</f>
        <v>165</v>
      </c>
      <c r="F63">
        <f>ROUND(ROUNDUP(100/'ITEM STATS'!$F135, 0)*'ITEM STATS'!$B135, 2)</f>
        <v>192</v>
      </c>
      <c r="G63">
        <f>ROUND(ROUNDUP(100/'ITEM STATS'!$F156, 0)*'ITEM STATS'!$B156, 2)</f>
        <v>215</v>
      </c>
      <c r="H63">
        <f>ROUND(ROUNDUP(100/'ITEM STATS'!$F177, 0)*'ITEM STATS'!$B177, 2)</f>
        <v>258</v>
      </c>
      <c r="I63">
        <f t="shared" si="0"/>
        <v>202</v>
      </c>
    </row>
    <row r="64" spans="1:9" x14ac:dyDescent="0.25">
      <c r="A64">
        <v>9</v>
      </c>
      <c r="B64">
        <f>ROUND(ROUNDUP(100/'ITEM STATS'!$F52, 0)*'ITEM STATS'!$B52, 2)</f>
        <v>196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170</v>
      </c>
      <c r="F64">
        <f>ROUND(ROUNDUP(100/'ITEM STATS'!$F136, 0)*'ITEM STATS'!$B136, 2)</f>
        <v>196</v>
      </c>
      <c r="G64">
        <f>ROUND(ROUNDUP(100/'ITEM STATS'!$F157, 0)*'ITEM STATS'!$B157, 2)</f>
        <v>220</v>
      </c>
      <c r="H64">
        <f>ROUND(ROUNDUP(100/'ITEM STATS'!$F178, 0)*'ITEM STATS'!$B178, 2)</f>
        <v>267</v>
      </c>
      <c r="I64">
        <f t="shared" si="0"/>
        <v>208</v>
      </c>
    </row>
    <row r="65" spans="1:9" x14ac:dyDescent="0.25">
      <c r="A65">
        <v>10</v>
      </c>
      <c r="B65">
        <f>ROUND(ROUNDUP(100/'ITEM STATS'!$F53, 0)*'ITEM STATS'!$B53, 2)</f>
        <v>200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175</v>
      </c>
      <c r="F65">
        <f>ROUND(ROUNDUP(100/'ITEM STATS'!$F137, 0)*'ITEM STATS'!$B137, 2)</f>
        <v>200</v>
      </c>
      <c r="G65">
        <f>ROUND(ROUNDUP(100/'ITEM STATS'!$F158, 0)*'ITEM STATS'!$B158, 2)</f>
        <v>225</v>
      </c>
      <c r="H65">
        <f>ROUND(ROUNDUP(100/'ITEM STATS'!$F179, 0)*'ITEM STATS'!$B179, 2)</f>
        <v>270</v>
      </c>
      <c r="I65">
        <f t="shared" si="0"/>
        <v>212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21</v>
      </c>
      <c r="C69">
        <f>ROUND(C4*(('ITEM STATS'!$C65-((($E$67*3)-3)/('ITEM STATS'!$D65/100)))/100), 0)</f>
        <v>21</v>
      </c>
      <c r="D69">
        <f>ROUND(D4*(('ITEM STATS'!$C86-((($E$67*3)-3)/('ITEM STATS'!$D86/100)))/100), 0)</f>
        <v>36</v>
      </c>
      <c r="E69">
        <f>ROUND(E4*(('ITEM STATS'!$C107-((($E$67*3)-3)/('ITEM STATS'!$D107/100)))/100), 0)</f>
        <v>26</v>
      </c>
      <c r="F69">
        <f>ROUND(F4*(('ITEM STATS'!$C128-((($E$67*3)-3)/('ITEM STATS'!$D128/100)))/100), 0)</f>
        <v>23</v>
      </c>
      <c r="G69">
        <f>IF($E$67 &gt; 1, 0, ROUND(G4*(('ITEM STATS'!$C149-((($E$67*3)-3)/('ITEM STATS'!$D149/100)))/100), 0))</f>
        <v>16</v>
      </c>
      <c r="H69">
        <f>ROUND(H4*(('ITEM STATS'!$C170-((($E$67*3)-3)/('ITEM STATS'!$D170/100)))/100), 0)</f>
        <v>32</v>
      </c>
      <c r="I69">
        <f>ROUND(AVERAGE(C69:H69), 0)</f>
        <v>26</v>
      </c>
    </row>
    <row r="70" spans="1:9" x14ac:dyDescent="0.25">
      <c r="A70">
        <v>2</v>
      </c>
      <c r="B70">
        <f>ROUND(B5*(('ITEM STATS'!$C45-((($E$67*3)-3)/('ITEM STATS'!$D45/100)))/100), 0)</f>
        <v>26</v>
      </c>
      <c r="C70">
        <f>ROUND(C5*(('ITEM STATS'!$C66-((($E$67*3)-3)/('ITEM STATS'!$D66/100)))/100), 0)</f>
        <v>26</v>
      </c>
      <c r="D70">
        <f>ROUND(D5*(('ITEM STATS'!$C87-((($E$67*3)-3)/('ITEM STATS'!$D87/100)))/100), 0)</f>
        <v>45</v>
      </c>
      <c r="E70">
        <f>ROUND(E5*(('ITEM STATS'!$C108-((($E$67*3)-3)/('ITEM STATS'!$D108/100)))/100), 0)</f>
        <v>33</v>
      </c>
      <c r="F70">
        <f>ROUND(F5*(('ITEM STATS'!$C129-((($E$67*3)-3)/('ITEM STATS'!$D129/100)))/100), 0)</f>
        <v>27</v>
      </c>
      <c r="G70">
        <f>IF($E$67 &gt; 1, 0, ROUND(G5*(('ITEM STATS'!$C150-((($E$67*3)-3)/('ITEM STATS'!$D150/100)))/100), 0))</f>
        <v>21</v>
      </c>
      <c r="H70">
        <f>ROUND(H5*(('ITEM STATS'!$C171-((($E$67*3)-3)/('ITEM STATS'!$D171/100)))/100), 0)</f>
        <v>39</v>
      </c>
      <c r="I70">
        <f t="shared" ref="I70:I78" si="1">ROUND(AVERAGE(C70:H70), 0)</f>
        <v>32</v>
      </c>
    </row>
    <row r="71" spans="1:9" x14ac:dyDescent="0.25">
      <c r="A71">
        <v>3</v>
      </c>
      <c r="B71">
        <f>ROUND(B6*(('ITEM STATS'!$C46-((($E$67*3)-3)/('ITEM STATS'!$D46/100)))/100), 0)</f>
        <v>29</v>
      </c>
      <c r="C71">
        <f>ROUND(C6*(('ITEM STATS'!$C67-((($E$67*3)-3)/('ITEM STATS'!$D67/100)))/100), 0)</f>
        <v>29</v>
      </c>
      <c r="D71">
        <f>ROUND(D6*(('ITEM STATS'!$C88-((($E$67*3)-3)/('ITEM STATS'!$D88/100)))/100), 0)</f>
        <v>53</v>
      </c>
      <c r="E71">
        <f>ROUND(E6*(('ITEM STATS'!$C109-((($E$67*3)-3)/('ITEM STATS'!$D109/100)))/100), 0)</f>
        <v>38</v>
      </c>
      <c r="F71">
        <f>ROUND(F6*(('ITEM STATS'!$C130-((($E$67*3)-3)/('ITEM STATS'!$D130/100)))/100), 0)</f>
        <v>31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45</v>
      </c>
      <c r="I71">
        <f t="shared" si="1"/>
        <v>37</v>
      </c>
    </row>
    <row r="72" spans="1:9" x14ac:dyDescent="0.25">
      <c r="A72">
        <v>4</v>
      </c>
      <c r="B72">
        <f>ROUND(B7*(('ITEM STATS'!$C47-((($E$67*3)-3)/('ITEM STATS'!$D47/100)))/100), 0)</f>
        <v>33</v>
      </c>
      <c r="C72">
        <f>ROUND(C7*(('ITEM STATS'!$C68-((($E$67*3)-3)/('ITEM STATS'!$D68/100)))/100), 0)</f>
        <v>33</v>
      </c>
      <c r="D72">
        <f>ROUND(D7*(('ITEM STATS'!$C89-((($E$67*3)-3)/('ITEM STATS'!$D89/100)))/100), 0)</f>
        <v>60</v>
      </c>
      <c r="E72">
        <f>ROUND(E7*(('ITEM STATS'!$C110-((($E$67*3)-3)/('ITEM STATS'!$D110/100)))/100), 0)</f>
        <v>65</v>
      </c>
      <c r="F72">
        <f>ROUND(F7*(('ITEM STATS'!$C131-((($E$67*3)-3)/('ITEM STATS'!$D131/100)))/100), 0)</f>
        <v>70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103</v>
      </c>
      <c r="I72">
        <f t="shared" si="1"/>
        <v>60</v>
      </c>
    </row>
    <row r="73" spans="1:9" x14ac:dyDescent="0.25">
      <c r="A73">
        <v>5</v>
      </c>
      <c r="B73">
        <f>ROUND(B8*(('ITEM STATS'!$C48-((($E$67*3)-3)/('ITEM STATS'!$D48/100)))/100), 0)</f>
        <v>36</v>
      </c>
      <c r="C73">
        <f>ROUND(C8*(('ITEM STATS'!$C69-((($E$67*3)-3)/('ITEM STATS'!$D69/100)))/100), 0)</f>
        <v>36</v>
      </c>
      <c r="D73">
        <f>ROUND(D8*(('ITEM STATS'!$C90-((($E$67*3)-3)/('ITEM STATS'!$D90/100)))/100), 0)</f>
        <v>66</v>
      </c>
      <c r="E73">
        <f>ROUND(E8*(('ITEM STATS'!$C111-((($E$67*3)-3)/('ITEM STATS'!$D111/100)))/100), 0)</f>
        <v>73</v>
      </c>
      <c r="F73">
        <f>ROUND(F8*(('ITEM STATS'!$C132-((($E$67*3)-3)/('ITEM STATS'!$D132/100)))/100), 0)</f>
        <v>75</v>
      </c>
      <c r="G73">
        <f>IF($E$67 &gt; 1, 0, ROUND(G8*(('ITEM STATS'!$C153-((($E$67*3)-3)/('ITEM STATS'!$D153/100)))/100), 0))</f>
        <v>31</v>
      </c>
      <c r="H73">
        <f>ROUND(H8*(('ITEM STATS'!$C174-((($E$67*3)-3)/('ITEM STATS'!$D174/100)))/100), 0)</f>
        <v>114</v>
      </c>
      <c r="I73">
        <f t="shared" si="1"/>
        <v>66</v>
      </c>
    </row>
    <row r="74" spans="1:9" x14ac:dyDescent="0.25">
      <c r="A74">
        <v>6</v>
      </c>
      <c r="B74">
        <f>ROUND(B9*(('ITEM STATS'!$C49-((($E$67*3)-3)/('ITEM STATS'!$D49/100)))/100), 0)</f>
        <v>77</v>
      </c>
      <c r="C74">
        <f>ROUND(C9*(('ITEM STATS'!$C70-((($E$67*3)-3)/('ITEM STATS'!$D70/100)))/100), 0)</f>
        <v>77</v>
      </c>
      <c r="D74">
        <f>ROUND(D9*(('ITEM STATS'!$C91-((($E$67*3)-3)/('ITEM STATS'!$D91/100)))/100), 0)</f>
        <v>71</v>
      </c>
      <c r="E74">
        <f>ROUND(E9*(('ITEM STATS'!$C112-((($E$67*3)-3)/('ITEM STATS'!$D112/100)))/100), 0)</f>
        <v>79</v>
      </c>
      <c r="F74">
        <f>ROUND(F9*(('ITEM STATS'!$C133-((($E$67*3)-3)/('ITEM STATS'!$D133/100)))/100), 0)</f>
        <v>82</v>
      </c>
      <c r="G74">
        <f>IF($E$67 &gt; 1, 0, ROUND(G9*(('ITEM STATS'!$C154-((($E$67*3)-3)/('ITEM STATS'!$D154/100)))/100), 0))</f>
        <v>69</v>
      </c>
      <c r="H74">
        <f>ROUND(H9*(('ITEM STATS'!$C175-((($E$67*3)-3)/('ITEM STATS'!$D175/100)))/100), 0)</f>
        <v>125</v>
      </c>
      <c r="I74">
        <f t="shared" si="1"/>
        <v>84</v>
      </c>
    </row>
    <row r="75" spans="1:9" x14ac:dyDescent="0.25">
      <c r="A75">
        <v>7</v>
      </c>
      <c r="B75">
        <f>ROUND(B10*(('ITEM STATS'!$C50-((($E$67*3)-3)/('ITEM STATS'!$D50/100)))/100), 0)</f>
        <v>82</v>
      </c>
      <c r="C75">
        <f>ROUND(C10*(('ITEM STATS'!$C71-((($E$67*3)-3)/('ITEM STATS'!$D71/100)))/100), 0)</f>
        <v>82</v>
      </c>
      <c r="D75">
        <f>ROUND(D10*(('ITEM STATS'!$C92-((($E$67*3)-3)/('ITEM STATS'!$D92/100)))/100), 0)</f>
        <v>76</v>
      </c>
      <c r="E75">
        <f>ROUND(E10*(('ITEM STATS'!$C113-((($E$67*3)-3)/('ITEM STATS'!$D113/100)))/100), 0)</f>
        <v>85</v>
      </c>
      <c r="F75">
        <f>ROUND(F10*(('ITEM STATS'!$C134-((($E$67*3)-3)/('ITEM STATS'!$D134/100)))/100), 0)</f>
        <v>86</v>
      </c>
      <c r="G75">
        <f>IF($E$67 &gt; 1, 0, ROUND(G10*(('ITEM STATS'!$C155-((($E$67*3)-3)/('ITEM STATS'!$D155/100)))/100), 0))</f>
        <v>75</v>
      </c>
      <c r="H75">
        <f>ROUND(H10*(('ITEM STATS'!$C176-((($E$67*3)-3)/('ITEM STATS'!$D176/100)))/100), 0)</f>
        <v>134</v>
      </c>
      <c r="I75">
        <f t="shared" si="1"/>
        <v>90</v>
      </c>
    </row>
    <row r="76" spans="1:9" x14ac:dyDescent="0.25">
      <c r="A76">
        <v>8</v>
      </c>
      <c r="B76">
        <f>ROUND(B11*(('ITEM STATS'!$C51-((($E$67*3)-3)/('ITEM STATS'!$D51/100)))/100), 0)</f>
        <v>85</v>
      </c>
      <c r="C76">
        <f>ROUND(C11*(('ITEM STATS'!$C72-((($E$67*3)-3)/('ITEM STATS'!$D72/100)))/100), 0)</f>
        <v>85</v>
      </c>
      <c r="D76">
        <f>ROUND(D11*(('ITEM STATS'!$C93-((($E$67*3)-3)/('ITEM STATS'!$D93/100)))/100), 0)</f>
        <v>80</v>
      </c>
      <c r="E76">
        <f>ROUND(E11*(('ITEM STATS'!$C114-((($E$67*3)-3)/('ITEM STATS'!$D114/100)))/100), 0)</f>
        <v>117</v>
      </c>
      <c r="F76">
        <f>ROUND(F11*(('ITEM STATS'!$C135-((($E$67*3)-3)/('ITEM STATS'!$D135/100)))/100), 0)</f>
        <v>135</v>
      </c>
      <c r="G76">
        <f>IF($E$67 &gt; 1, 0, ROUND(G11*(('ITEM STATS'!$C156-((($E$67*3)-3)/('ITEM STATS'!$D156/100)))/100), 0))</f>
        <v>79</v>
      </c>
      <c r="H76">
        <f>ROUND(H11*(('ITEM STATS'!$C177-((($E$67*3)-3)/('ITEM STATS'!$D177/100)))/100), 0)</f>
        <v>212</v>
      </c>
      <c r="I76">
        <f t="shared" si="1"/>
        <v>118</v>
      </c>
    </row>
    <row r="77" spans="1:9" x14ac:dyDescent="0.25">
      <c r="A77">
        <v>9</v>
      </c>
      <c r="B77">
        <f>ROUND(B12*(('ITEM STATS'!$C52-((($E$67*3)-3)/('ITEM STATS'!$D52/100)))/100), 0)</f>
        <v>88</v>
      </c>
      <c r="C77">
        <f>ROUND(C12*(('ITEM STATS'!$C73-((($E$67*3)-3)/('ITEM STATS'!$D73/100)))/100), 0)</f>
        <v>88</v>
      </c>
      <c r="D77">
        <f>ROUND(D12*(('ITEM STATS'!$C94-((($E$67*3)-3)/('ITEM STATS'!$D94/100)))/100), 0)</f>
        <v>83</v>
      </c>
      <c r="E77">
        <f>ROUND(E12*(('ITEM STATS'!$C115-((($E$67*3)-3)/('ITEM STATS'!$D115/100)))/100), 0)</f>
        <v>122</v>
      </c>
      <c r="F77">
        <f>ROUND(F12*(('ITEM STATS'!$C136-((($E$67*3)-3)/('ITEM STATS'!$D136/100)))/100), 0)</f>
        <v>140</v>
      </c>
      <c r="G77">
        <f>IF($E$67 &gt; 1, 0, ROUND(G12*(('ITEM STATS'!$C157-((($E$67*3)-3)/('ITEM STATS'!$D157/100)))/100), 0))</f>
        <v>83</v>
      </c>
      <c r="H77">
        <f>ROUND(H12*(('ITEM STATS'!$C178-((($E$67*3)-3)/('ITEM STATS'!$D178/100)))/100), 0)</f>
        <v>224</v>
      </c>
      <c r="I77">
        <f t="shared" si="1"/>
        <v>123</v>
      </c>
    </row>
    <row r="78" spans="1:9" x14ac:dyDescent="0.25">
      <c r="A78">
        <v>10</v>
      </c>
      <c r="B78">
        <f>ROUND(B13*(('ITEM STATS'!$C53-((($E$67*3)-3)/('ITEM STATS'!$D53/100)))/100), 0)</f>
        <v>90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85</v>
      </c>
      <c r="E78">
        <f>ROUND(E13*(('ITEM STATS'!$C116-((($E$67*3)-3)/('ITEM STATS'!$D116/100)))/100), 0)</f>
        <v>126</v>
      </c>
      <c r="F78">
        <f>ROUND(F13*(('ITEM STATS'!$C137-((($E$67*3)-3)/('ITEM STATS'!$D137/100)))/100), 0)</f>
        <v>143</v>
      </c>
      <c r="G78">
        <f>IF($E$67 &gt; 1, 0, ROUND(G13*(('ITEM STATS'!$C158-((($E$67*3)-3)/('ITEM STATS'!$D158/100)))/100), 0))</f>
        <v>86</v>
      </c>
      <c r="H78">
        <f>ROUND(H13*(('ITEM STATS'!$C179-((($E$67*3)-3)/('ITEM STATS'!$D179/100)))/100), 0)</f>
        <v>230</v>
      </c>
      <c r="I78">
        <f t="shared" si="1"/>
        <v>127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0.81</v>
      </c>
      <c r="C82">
        <f t="shared" ref="B82:H83" si="2">ROUND(C69/C17, 2)</f>
        <v>0.81</v>
      </c>
      <c r="D82">
        <f t="shared" si="2"/>
        <v>0.65</v>
      </c>
      <c r="E82">
        <f t="shared" si="2"/>
        <v>0.65</v>
      </c>
      <c r="F82">
        <f t="shared" si="2"/>
        <v>0.88</v>
      </c>
      <c r="G82">
        <f t="shared" si="2"/>
        <v>1.07</v>
      </c>
      <c r="H82">
        <f t="shared" si="2"/>
        <v>0.8</v>
      </c>
      <c r="I82">
        <f>ROUND(AVERAGE(C82:H82), 2)</f>
        <v>0.81</v>
      </c>
    </row>
    <row r="83" spans="1:9" x14ac:dyDescent="0.25">
      <c r="A83">
        <v>2</v>
      </c>
      <c r="B83">
        <f t="shared" si="2"/>
        <v>0.96</v>
      </c>
      <c r="C83">
        <f t="shared" si="2"/>
        <v>0.96</v>
      </c>
      <c r="D83">
        <f t="shared" si="2"/>
        <v>0.78</v>
      </c>
      <c r="E83">
        <f t="shared" si="2"/>
        <v>0.79</v>
      </c>
      <c r="F83">
        <f t="shared" si="2"/>
        <v>1</v>
      </c>
      <c r="G83">
        <f t="shared" si="2"/>
        <v>1.24</v>
      </c>
      <c r="H83">
        <f t="shared" si="2"/>
        <v>0.98</v>
      </c>
      <c r="I83">
        <f t="shared" ref="I83:I91" si="3">ROUND(AVERAGE(C83:H83), 2)</f>
        <v>0.96</v>
      </c>
    </row>
    <row r="84" spans="1:9" x14ac:dyDescent="0.25">
      <c r="A84">
        <v>3</v>
      </c>
      <c r="B84">
        <f t="shared" ref="B84:H84" si="4">ROUND(B71/B19, 2)</f>
        <v>1</v>
      </c>
      <c r="C84">
        <f t="shared" si="4"/>
        <v>1</v>
      </c>
      <c r="D84">
        <f t="shared" si="4"/>
        <v>0.88</v>
      </c>
      <c r="E84">
        <f t="shared" si="4"/>
        <v>0.9</v>
      </c>
      <c r="F84">
        <f t="shared" si="4"/>
        <v>1.07</v>
      </c>
      <c r="G84">
        <f t="shared" si="4"/>
        <v>1.33</v>
      </c>
      <c r="H84">
        <f t="shared" si="4"/>
        <v>1.1299999999999999</v>
      </c>
      <c r="I84">
        <f t="shared" si="3"/>
        <v>1.05</v>
      </c>
    </row>
    <row r="85" spans="1:9" x14ac:dyDescent="0.25">
      <c r="A85">
        <v>4</v>
      </c>
      <c r="B85">
        <f t="shared" ref="B85:H85" si="5">ROUND(B72/B20, 2)</f>
        <v>1.1000000000000001</v>
      </c>
      <c r="C85">
        <f t="shared" si="5"/>
        <v>1.1000000000000001</v>
      </c>
      <c r="D85">
        <f t="shared" si="5"/>
        <v>0.95</v>
      </c>
      <c r="E85">
        <f t="shared" si="5"/>
        <v>0.98</v>
      </c>
      <c r="F85">
        <f t="shared" si="5"/>
        <v>1.17</v>
      </c>
      <c r="G85">
        <f t="shared" si="5"/>
        <v>1.4</v>
      </c>
      <c r="H85">
        <f t="shared" si="5"/>
        <v>1.29</v>
      </c>
      <c r="I85">
        <f t="shared" si="3"/>
        <v>1.1499999999999999</v>
      </c>
    </row>
    <row r="86" spans="1:9" x14ac:dyDescent="0.25">
      <c r="A86">
        <v>5</v>
      </c>
      <c r="B86">
        <f t="shared" ref="B86:H86" si="6">ROUND(B73/B21, 2)</f>
        <v>1.2</v>
      </c>
      <c r="C86">
        <f t="shared" si="6"/>
        <v>1.2</v>
      </c>
      <c r="D86">
        <f t="shared" si="6"/>
        <v>1.02</v>
      </c>
      <c r="E86">
        <f t="shared" si="6"/>
        <v>1.06</v>
      </c>
      <c r="F86">
        <f t="shared" si="6"/>
        <v>1.25</v>
      </c>
      <c r="G86">
        <f t="shared" si="6"/>
        <v>1.48</v>
      </c>
      <c r="H86">
        <f t="shared" si="6"/>
        <v>1.43</v>
      </c>
      <c r="I86">
        <f t="shared" si="3"/>
        <v>1.24</v>
      </c>
    </row>
    <row r="87" spans="1:9" x14ac:dyDescent="0.25">
      <c r="A87">
        <v>6</v>
      </c>
      <c r="B87">
        <f t="shared" ref="B87:H87" si="7">ROUND(B74/B22, 2)</f>
        <v>1.24</v>
      </c>
      <c r="C87">
        <f t="shared" si="7"/>
        <v>1.24</v>
      </c>
      <c r="D87">
        <f t="shared" si="7"/>
        <v>1.08</v>
      </c>
      <c r="E87">
        <f t="shared" si="7"/>
        <v>1.1399999999999999</v>
      </c>
      <c r="F87">
        <f t="shared" si="7"/>
        <v>1.32</v>
      </c>
      <c r="G87">
        <f t="shared" si="7"/>
        <v>1.57</v>
      </c>
      <c r="H87">
        <f t="shared" si="7"/>
        <v>1.56</v>
      </c>
      <c r="I87">
        <f t="shared" si="3"/>
        <v>1.32</v>
      </c>
    </row>
    <row r="88" spans="1:9" x14ac:dyDescent="0.25">
      <c r="A88">
        <v>7</v>
      </c>
      <c r="B88">
        <f t="shared" ref="B88:H88" si="8">ROUND(B75/B23, 2)</f>
        <v>1.28</v>
      </c>
      <c r="C88">
        <f t="shared" si="8"/>
        <v>1.28</v>
      </c>
      <c r="D88">
        <f t="shared" si="8"/>
        <v>1.1200000000000001</v>
      </c>
      <c r="E88">
        <f t="shared" si="8"/>
        <v>1.23</v>
      </c>
      <c r="F88">
        <f t="shared" si="8"/>
        <v>1.34</v>
      </c>
      <c r="G88">
        <f t="shared" si="8"/>
        <v>1.63</v>
      </c>
      <c r="H88">
        <f t="shared" si="8"/>
        <v>1.68</v>
      </c>
      <c r="I88">
        <f t="shared" si="3"/>
        <v>1.38</v>
      </c>
    </row>
    <row r="89" spans="1:9" x14ac:dyDescent="0.25">
      <c r="A89">
        <v>8</v>
      </c>
      <c r="B89">
        <f t="shared" ref="B89:H89" si="9">ROUND(B76/B24, 2)</f>
        <v>1.33</v>
      </c>
      <c r="C89">
        <f t="shared" si="9"/>
        <v>1.33</v>
      </c>
      <c r="D89">
        <f t="shared" si="9"/>
        <v>1.1599999999999999</v>
      </c>
      <c r="E89">
        <f t="shared" si="9"/>
        <v>1.22</v>
      </c>
      <c r="F89">
        <f t="shared" si="9"/>
        <v>1.41</v>
      </c>
      <c r="G89">
        <f t="shared" si="9"/>
        <v>1.72</v>
      </c>
      <c r="H89">
        <f t="shared" si="9"/>
        <v>1.77</v>
      </c>
      <c r="I89">
        <f t="shared" si="3"/>
        <v>1.44</v>
      </c>
    </row>
    <row r="90" spans="1:9" x14ac:dyDescent="0.25">
      <c r="A90">
        <v>9</v>
      </c>
      <c r="B90">
        <f t="shared" ref="B90:H90" si="10">ROUND(B77/B25, 2)</f>
        <v>1.33</v>
      </c>
      <c r="C90">
        <f t="shared" si="10"/>
        <v>1.33</v>
      </c>
      <c r="D90">
        <f t="shared" si="10"/>
        <v>1.19</v>
      </c>
      <c r="E90">
        <f t="shared" si="10"/>
        <v>1.27</v>
      </c>
      <c r="F90">
        <f t="shared" si="10"/>
        <v>1.41</v>
      </c>
      <c r="G90">
        <f t="shared" si="10"/>
        <v>1.73</v>
      </c>
      <c r="H90">
        <f t="shared" si="10"/>
        <v>1.87</v>
      </c>
      <c r="I90">
        <f t="shared" si="3"/>
        <v>1.47</v>
      </c>
    </row>
    <row r="91" spans="1:9" x14ac:dyDescent="0.25">
      <c r="A91">
        <v>10</v>
      </c>
      <c r="B91">
        <f t="shared" ref="B91:H91" si="11">ROUND(B78/B26, 2)</f>
        <v>1.36</v>
      </c>
      <c r="C91">
        <f t="shared" si="11"/>
        <v>1.36</v>
      </c>
      <c r="D91">
        <f t="shared" si="11"/>
        <v>1.21</v>
      </c>
      <c r="E91">
        <f t="shared" si="11"/>
        <v>1.31</v>
      </c>
      <c r="F91">
        <f t="shared" si="11"/>
        <v>1.44</v>
      </c>
      <c r="G91">
        <f t="shared" si="11"/>
        <v>1.79</v>
      </c>
      <c r="H91">
        <f t="shared" si="11"/>
        <v>1.92</v>
      </c>
      <c r="I91">
        <f t="shared" si="3"/>
        <v>1.51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21</v>
      </c>
      <c r="C95">
        <f>ROUND(C69/'ITEM STATS'!$E65, 1)</f>
        <v>21</v>
      </c>
      <c r="D95">
        <f>ROUND(D69/'ITEM STATS'!$E86, 1)</f>
        <v>36</v>
      </c>
      <c r="E95">
        <f>ROUND(E69/'ITEM STATS'!$E107, 1)</f>
        <v>13</v>
      </c>
      <c r="F95">
        <f>ROUND(F69/'ITEM STATS'!$E128, 1)</f>
        <v>23</v>
      </c>
      <c r="G95">
        <f>ROUND(G69/'ITEM STATS'!$E149, 1)</f>
        <v>16</v>
      </c>
      <c r="H95">
        <f>ROUND(H69/'ITEM STATS'!$E170, 1)</f>
        <v>32</v>
      </c>
    </row>
    <row r="96" spans="1:9" x14ac:dyDescent="0.25">
      <c r="A96">
        <v>2</v>
      </c>
      <c r="B96">
        <f>ROUND(B70/'ITEM STATS'!$E45, 1)</f>
        <v>26</v>
      </c>
      <c r="C96">
        <f>ROUND(C70/'ITEM STATS'!$E66, 1)</f>
        <v>26</v>
      </c>
      <c r="D96">
        <f>ROUND(D70/'ITEM STATS'!$E87, 1)</f>
        <v>45</v>
      </c>
      <c r="E96">
        <f>ROUND(E70/'ITEM STATS'!$E108, 1)</f>
        <v>16.5</v>
      </c>
      <c r="F96">
        <f>ROUND(F70/'ITEM STATS'!$E129, 1)</f>
        <v>27</v>
      </c>
      <c r="G96">
        <f>ROUND(G70/'ITEM STATS'!$E150, 1)</f>
        <v>21</v>
      </c>
      <c r="H96">
        <f>ROUND(H70/'ITEM STATS'!$E171, 1)</f>
        <v>39</v>
      </c>
    </row>
    <row r="97" spans="1:8" x14ac:dyDescent="0.25">
      <c r="A97">
        <v>3</v>
      </c>
      <c r="B97">
        <f>ROUND(B71/'ITEM STATS'!$E46, 1)</f>
        <v>29</v>
      </c>
      <c r="C97">
        <f>ROUND(C71/'ITEM STATS'!$E67, 1)</f>
        <v>29</v>
      </c>
      <c r="D97">
        <f>ROUND(D71/'ITEM STATS'!$E88, 1)</f>
        <v>53</v>
      </c>
      <c r="E97">
        <f>ROUND(E71/'ITEM STATS'!$E109, 1)</f>
        <v>19</v>
      </c>
      <c r="F97">
        <f>ROUND(F71/'ITEM STATS'!$E130, 1)</f>
        <v>31</v>
      </c>
      <c r="G97">
        <f>ROUND(G71/'ITEM STATS'!$E151, 1)</f>
        <v>24</v>
      </c>
      <c r="H97">
        <f>ROUND(H71/'ITEM STATS'!$E172, 1)</f>
        <v>45</v>
      </c>
    </row>
    <row r="98" spans="1:8" x14ac:dyDescent="0.25">
      <c r="A98">
        <v>4</v>
      </c>
      <c r="B98">
        <f>ROUND(B72/'ITEM STATS'!$E47, 1)</f>
        <v>33</v>
      </c>
      <c r="C98">
        <f>ROUND(C72/'ITEM STATS'!$E68, 1)</f>
        <v>33</v>
      </c>
      <c r="D98">
        <f>ROUND(D72/'ITEM STATS'!$E89, 1)</f>
        <v>60</v>
      </c>
      <c r="E98">
        <f>ROUND(E72/'ITEM STATS'!$E110, 1)</f>
        <v>21.7</v>
      </c>
      <c r="F98">
        <f>ROUND(F72/'ITEM STATS'!$E131, 1)</f>
        <v>35</v>
      </c>
      <c r="G98">
        <f>ROUND(G72/'ITEM STATS'!$E152, 1)</f>
        <v>28</v>
      </c>
      <c r="H98">
        <f>ROUND(H72/'ITEM STATS'!$E173, 1)</f>
        <v>51.5</v>
      </c>
    </row>
    <row r="99" spans="1:8" x14ac:dyDescent="0.25">
      <c r="A99">
        <v>5</v>
      </c>
      <c r="B99">
        <f>ROUND(B73/'ITEM STATS'!$E48, 1)</f>
        <v>36</v>
      </c>
      <c r="C99">
        <f>ROUND(C73/'ITEM STATS'!$E69, 1)</f>
        <v>36</v>
      </c>
      <c r="D99">
        <f>ROUND(D73/'ITEM STATS'!$E90, 1)</f>
        <v>66</v>
      </c>
      <c r="E99">
        <f>ROUND(E73/'ITEM STATS'!$E111, 1)</f>
        <v>24.3</v>
      </c>
      <c r="F99">
        <f>ROUND(F73/'ITEM STATS'!$E132, 1)</f>
        <v>37.5</v>
      </c>
      <c r="G99">
        <f>ROUND(G73/'ITEM STATS'!$E153, 1)</f>
        <v>31</v>
      </c>
      <c r="H99">
        <f>ROUND(H73/'ITEM STATS'!$E174, 1)</f>
        <v>57</v>
      </c>
    </row>
    <row r="100" spans="1:8" x14ac:dyDescent="0.25">
      <c r="A100">
        <v>6</v>
      </c>
      <c r="B100">
        <f>ROUND(B74/'ITEM STATS'!$E49, 1)</f>
        <v>38.5</v>
      </c>
      <c r="C100">
        <f>ROUND(C74/'ITEM STATS'!$E70, 1)</f>
        <v>38.5</v>
      </c>
      <c r="D100">
        <f>ROUND(D74/'ITEM STATS'!$E91, 1)</f>
        <v>71</v>
      </c>
      <c r="E100">
        <f>ROUND(E74/'ITEM STATS'!$E112, 1)</f>
        <v>26.3</v>
      </c>
      <c r="F100">
        <f>ROUND(F74/'ITEM STATS'!$E133, 1)</f>
        <v>41</v>
      </c>
      <c r="G100">
        <f>ROUND(G74/'ITEM STATS'!$E154, 1)</f>
        <v>34.5</v>
      </c>
      <c r="H100">
        <f>ROUND(H74/'ITEM STATS'!$E175, 1)</f>
        <v>62.5</v>
      </c>
    </row>
    <row r="101" spans="1:8" x14ac:dyDescent="0.25">
      <c r="A101">
        <v>7</v>
      </c>
      <c r="B101">
        <f>ROUND(B75/'ITEM STATS'!$E50, 1)</f>
        <v>41</v>
      </c>
      <c r="C101">
        <f>ROUND(C75/'ITEM STATS'!$E71, 1)</f>
        <v>41</v>
      </c>
      <c r="D101">
        <f>ROUND(D75/'ITEM STATS'!$E92, 1)</f>
        <v>76</v>
      </c>
      <c r="E101">
        <f>ROUND(E75/'ITEM STATS'!$E113, 1)</f>
        <v>28.3</v>
      </c>
      <c r="F101">
        <f>ROUND(F75/'ITEM STATS'!$E134, 1)</f>
        <v>43</v>
      </c>
      <c r="G101">
        <f>ROUND(G75/'ITEM STATS'!$E155, 1)</f>
        <v>37.5</v>
      </c>
      <c r="H101">
        <f>ROUND(H75/'ITEM STATS'!$E176, 1)</f>
        <v>67</v>
      </c>
    </row>
    <row r="102" spans="1:8" x14ac:dyDescent="0.25">
      <c r="A102">
        <v>8</v>
      </c>
      <c r="B102">
        <f>ROUND(B76/'ITEM STATS'!$E51, 1)</f>
        <v>42.5</v>
      </c>
      <c r="C102">
        <f>ROUND(C76/'ITEM STATS'!$E72, 1)</f>
        <v>42.5</v>
      </c>
      <c r="D102">
        <f>ROUND(D76/'ITEM STATS'!$E93, 1)</f>
        <v>80</v>
      </c>
      <c r="E102">
        <f>ROUND(E76/'ITEM STATS'!$E114, 1)</f>
        <v>29.3</v>
      </c>
      <c r="F102">
        <f>ROUND(F76/'ITEM STATS'!$E135, 1)</f>
        <v>45</v>
      </c>
      <c r="G102">
        <f>ROUND(G76/'ITEM STATS'!$E156, 1)</f>
        <v>39.5</v>
      </c>
      <c r="H102">
        <f>ROUND(H76/'ITEM STATS'!$E177, 1)</f>
        <v>70.7</v>
      </c>
    </row>
    <row r="103" spans="1:8" x14ac:dyDescent="0.25">
      <c r="A103">
        <v>9</v>
      </c>
      <c r="B103">
        <f>ROUND(B77/'ITEM STATS'!$E52, 1)</f>
        <v>44</v>
      </c>
      <c r="C103">
        <f>ROUND(C77/'ITEM STATS'!$E73, 1)</f>
        <v>44</v>
      </c>
      <c r="D103">
        <f>ROUND(D77/'ITEM STATS'!$E94, 1)</f>
        <v>83</v>
      </c>
      <c r="E103">
        <f>ROUND(E77/'ITEM STATS'!$E115, 1)</f>
        <v>30.5</v>
      </c>
      <c r="F103">
        <f>ROUND(F77/'ITEM STATS'!$E136, 1)</f>
        <v>46.7</v>
      </c>
      <c r="G103">
        <f>ROUND(G77/'ITEM STATS'!$E157, 1)</f>
        <v>41.5</v>
      </c>
      <c r="H103">
        <f>ROUND(H77/'ITEM STATS'!$E178, 1)</f>
        <v>74.7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85</v>
      </c>
      <c r="E104">
        <f>ROUND(E78/'ITEM STATS'!$E116, 1)</f>
        <v>31.5</v>
      </c>
      <c r="F104">
        <f>ROUND(F78/'ITEM STATS'!$E137, 1)</f>
        <v>47.7</v>
      </c>
      <c r="G104">
        <f>ROUND(G78/'ITEM STATS'!$E158, 1)</f>
        <v>43</v>
      </c>
      <c r="H104">
        <f>ROUND(H78/'ITEM STATS'!$E179, 1)</f>
        <v>76.7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84</v>
      </c>
      <c r="C108">
        <f>ROUNDUP(100/'ITEM STATS'!$F65, 0)*C95</f>
        <v>84</v>
      </c>
      <c r="D108">
        <f>ROUNDUP(100/'ITEM STATS'!$F86, 0)*D95</f>
        <v>72</v>
      </c>
      <c r="E108">
        <f>ROUNDUP(100/'ITEM STATS'!$F107, 0)*E95</f>
        <v>65</v>
      </c>
      <c r="F108">
        <f>ROUNDUP(100/'ITEM STATS'!$F128, 0)*F95</f>
        <v>92</v>
      </c>
      <c r="G108">
        <f>ROUNDUP(100/'ITEM STATS'!$F149, 0)*G95</f>
        <v>112</v>
      </c>
      <c r="H108">
        <f>ROUNDUP(100/'ITEM STATS'!$F170, 0)*H95</f>
        <v>96</v>
      </c>
    </row>
    <row r="109" spans="1:8" x14ac:dyDescent="0.25">
      <c r="A109">
        <v>2</v>
      </c>
      <c r="B109">
        <f>ROUNDUP(100/'ITEM STATS'!$F45, 0)*B96</f>
        <v>104</v>
      </c>
      <c r="C109">
        <f>ROUNDUP(100/'ITEM STATS'!$F66, 0)*C96</f>
        <v>104</v>
      </c>
      <c r="D109">
        <f>ROUNDUP(100/'ITEM STATS'!$F87, 0)*D96</f>
        <v>90</v>
      </c>
      <c r="E109">
        <f>ROUNDUP(100/'ITEM STATS'!$F108, 0)*E96</f>
        <v>82.5</v>
      </c>
      <c r="F109">
        <f>ROUNDUP(100/'ITEM STATS'!$F129, 0)*F96</f>
        <v>108</v>
      </c>
      <c r="G109">
        <f>ROUNDUP(100/'ITEM STATS'!$F150, 0)*G96</f>
        <v>126</v>
      </c>
      <c r="H109">
        <f>ROUNDUP(100/'ITEM STATS'!$F171, 0)*H96</f>
        <v>117</v>
      </c>
    </row>
    <row r="110" spans="1:8" x14ac:dyDescent="0.25">
      <c r="A110">
        <v>3</v>
      </c>
      <c r="B110">
        <f>ROUNDUP(100/'ITEM STATS'!$F46, 0)*B97</f>
        <v>116</v>
      </c>
      <c r="C110">
        <f>ROUNDUP(100/'ITEM STATS'!$F67, 0)*C97</f>
        <v>116</v>
      </c>
      <c r="D110">
        <f>ROUNDUP(100/'ITEM STATS'!$F88, 0)*D97</f>
        <v>106</v>
      </c>
      <c r="E110">
        <f>ROUNDUP(100/'ITEM STATS'!$F109, 0)*E97</f>
        <v>95</v>
      </c>
      <c r="F110">
        <f>ROUNDUP(100/'ITEM STATS'!$F130, 0)*F97</f>
        <v>124</v>
      </c>
      <c r="G110">
        <f>ROUNDUP(100/'ITEM STATS'!$F151, 0)*G97</f>
        <v>144</v>
      </c>
      <c r="H110">
        <f>ROUNDUP(100/'ITEM STATS'!$F172, 0)*H97</f>
        <v>135</v>
      </c>
    </row>
    <row r="111" spans="1:8" x14ac:dyDescent="0.25">
      <c r="A111">
        <v>4</v>
      </c>
      <c r="B111">
        <f>ROUNDUP(100/'ITEM STATS'!$F47, 0)*B98</f>
        <v>132</v>
      </c>
      <c r="C111">
        <f>ROUNDUP(100/'ITEM STATS'!$F68, 0)*C98</f>
        <v>132</v>
      </c>
      <c r="D111">
        <f>ROUNDUP(100/'ITEM STATS'!$F89, 0)*D98</f>
        <v>120</v>
      </c>
      <c r="E111">
        <f>ROUNDUP(100/'ITEM STATS'!$F110, 0)*E98</f>
        <v>108.5</v>
      </c>
      <c r="F111">
        <f>ROUNDUP(100/'ITEM STATS'!$F131, 0)*F98</f>
        <v>140</v>
      </c>
      <c r="G111">
        <f>ROUNDUP(100/'ITEM STATS'!$F152, 0)*G98</f>
        <v>140</v>
      </c>
      <c r="H111">
        <f>ROUNDUP(100/'ITEM STATS'!$F173, 0)*H98</f>
        <v>154.5</v>
      </c>
    </row>
    <row r="112" spans="1:8" x14ac:dyDescent="0.25">
      <c r="A112">
        <v>5</v>
      </c>
      <c r="B112">
        <f>ROUNDUP(100/'ITEM STATS'!$F48, 0)*B99</f>
        <v>144</v>
      </c>
      <c r="C112">
        <f>ROUNDUP(100/'ITEM STATS'!$F69, 0)*C99</f>
        <v>144</v>
      </c>
      <c r="D112">
        <f>ROUNDUP(100/'ITEM STATS'!$F90, 0)*D99</f>
        <v>132</v>
      </c>
      <c r="E112">
        <f>ROUNDUP(100/'ITEM STATS'!$F111, 0)*E99</f>
        <v>121.5</v>
      </c>
      <c r="F112">
        <f>ROUNDUP(100/'ITEM STATS'!$F132, 0)*F99</f>
        <v>150</v>
      </c>
      <c r="G112">
        <f>ROUNDUP(100/'ITEM STATS'!$F153, 0)*G99</f>
        <v>155</v>
      </c>
      <c r="H112">
        <f>ROUNDUP(100/'ITEM STATS'!$F174, 0)*H99</f>
        <v>171</v>
      </c>
    </row>
    <row r="113" spans="1:8" x14ac:dyDescent="0.25">
      <c r="A113">
        <v>6</v>
      </c>
      <c r="B113">
        <f>ROUNDUP(100/'ITEM STATS'!$F49, 0)*B100</f>
        <v>154</v>
      </c>
      <c r="C113">
        <f>ROUNDUP(100/'ITEM STATS'!$F70, 0)*C100</f>
        <v>154</v>
      </c>
      <c r="D113">
        <f>ROUNDUP(100/'ITEM STATS'!$F91, 0)*D100</f>
        <v>142</v>
      </c>
      <c r="E113">
        <f>ROUNDUP(100/'ITEM STATS'!$F112, 0)*E100</f>
        <v>131.5</v>
      </c>
      <c r="F113">
        <f>ROUNDUP(100/'ITEM STATS'!$F133, 0)*F100</f>
        <v>164</v>
      </c>
      <c r="G113">
        <f>ROUNDUP(100/'ITEM STATS'!$F154, 0)*G100</f>
        <v>172.5</v>
      </c>
      <c r="H113">
        <f>ROUNDUP(100/'ITEM STATS'!$F175, 0)*H100</f>
        <v>187.5</v>
      </c>
    </row>
    <row r="114" spans="1:8" x14ac:dyDescent="0.25">
      <c r="A114">
        <v>7</v>
      </c>
      <c r="B114">
        <f>ROUNDUP(100/'ITEM STATS'!$F50, 0)*B101</f>
        <v>164</v>
      </c>
      <c r="C114">
        <f>ROUNDUP(100/'ITEM STATS'!$F71, 0)*C101</f>
        <v>164</v>
      </c>
      <c r="D114">
        <f>ROUNDUP(100/'ITEM STATS'!$F92, 0)*D101</f>
        <v>152</v>
      </c>
      <c r="E114">
        <f>ROUNDUP(100/'ITEM STATS'!$F113, 0)*E101</f>
        <v>141.5</v>
      </c>
      <c r="F114">
        <f>ROUNDUP(100/'ITEM STATS'!$F134, 0)*F101</f>
        <v>172</v>
      </c>
      <c r="G114">
        <f>ROUNDUP(100/'ITEM STATS'!$F155, 0)*G101</f>
        <v>187.5</v>
      </c>
      <c r="H114">
        <f>ROUNDUP(100/'ITEM STATS'!$F176, 0)*H101</f>
        <v>201</v>
      </c>
    </row>
    <row r="115" spans="1:8" x14ac:dyDescent="0.25">
      <c r="A115">
        <v>8</v>
      </c>
      <c r="B115">
        <f>ROUNDUP(100/'ITEM STATS'!$F51, 0)*B102</f>
        <v>170</v>
      </c>
      <c r="C115">
        <f>ROUNDUP(100/'ITEM STATS'!$F72, 0)*C102</f>
        <v>170</v>
      </c>
      <c r="D115">
        <f>ROUNDUP(100/'ITEM STATS'!$F93, 0)*D102</f>
        <v>160</v>
      </c>
      <c r="E115">
        <f>ROUNDUP(100/'ITEM STATS'!$F114, 0)*E102</f>
        <v>146.5</v>
      </c>
      <c r="F115">
        <f>ROUNDUP(100/'ITEM STATS'!$F135, 0)*F102</f>
        <v>180</v>
      </c>
      <c r="G115">
        <f>ROUNDUP(100/'ITEM STATS'!$F156, 0)*G102</f>
        <v>197.5</v>
      </c>
      <c r="H115">
        <f>ROUNDUP(100/'ITEM STATS'!$F177, 0)*H102</f>
        <v>212.10000000000002</v>
      </c>
    </row>
    <row r="116" spans="1:8" x14ac:dyDescent="0.25">
      <c r="A116">
        <v>9</v>
      </c>
      <c r="B116">
        <f>ROUNDUP(100/'ITEM STATS'!$F52, 0)*B103</f>
        <v>176</v>
      </c>
      <c r="C116">
        <f>ROUNDUP(100/'ITEM STATS'!$F73, 0)*C103</f>
        <v>176</v>
      </c>
      <c r="D116">
        <f>ROUNDUP(100/'ITEM STATS'!$F94, 0)*D103</f>
        <v>166</v>
      </c>
      <c r="E116">
        <f>ROUNDUP(100/'ITEM STATS'!$F115, 0)*E103</f>
        <v>152.5</v>
      </c>
      <c r="F116">
        <f>ROUNDUP(100/'ITEM STATS'!$F136, 0)*F103</f>
        <v>186.8</v>
      </c>
      <c r="G116">
        <f>ROUNDUP(100/'ITEM STATS'!$F157, 0)*G103</f>
        <v>207.5</v>
      </c>
      <c r="H116">
        <f>ROUNDUP(100/'ITEM STATS'!$F178, 0)*H103</f>
        <v>224.10000000000002</v>
      </c>
    </row>
    <row r="117" spans="1:8" x14ac:dyDescent="0.25">
      <c r="A117">
        <v>10</v>
      </c>
      <c r="B117">
        <f>ROUNDUP(100/'ITEM STATS'!$F53, 0)*B104</f>
        <v>180</v>
      </c>
      <c r="C117">
        <f>ROUNDUP(100/'ITEM STATS'!$F74, 0)*C104</f>
        <v>180</v>
      </c>
      <c r="D117">
        <f>ROUNDUP(100/'ITEM STATS'!$F95, 0)*D104</f>
        <v>170</v>
      </c>
      <c r="E117">
        <f>ROUNDUP(100/'ITEM STATS'!$F116, 0)*E104</f>
        <v>157.5</v>
      </c>
      <c r="F117">
        <f>ROUNDUP(100/'ITEM STATS'!$F137, 0)*F104</f>
        <v>190.8</v>
      </c>
      <c r="G117">
        <f>ROUNDUP(100/'ITEM STATS'!$F158, 0)*G104</f>
        <v>215</v>
      </c>
      <c r="H117">
        <f>ROUNDUP(100/'ITEM STATS'!$F179, 0)*H104</f>
        <v>230.10000000000002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57" priority="42">
      <formula>B31&lt;B30</formula>
    </cfRule>
  </conditionalFormatting>
  <conditionalFormatting sqref="C31:C39">
    <cfRule type="expression" dxfId="56" priority="41">
      <formula>C31&lt;C30</formula>
    </cfRule>
  </conditionalFormatting>
  <conditionalFormatting sqref="D31:D39">
    <cfRule type="expression" dxfId="55" priority="40">
      <formula>D31&lt;D30</formula>
    </cfRule>
  </conditionalFormatting>
  <conditionalFormatting sqref="E31:E39">
    <cfRule type="expression" dxfId="54" priority="39">
      <formula>E31&lt;E30</formula>
    </cfRule>
  </conditionalFormatting>
  <conditionalFormatting sqref="F31:F39">
    <cfRule type="expression" dxfId="53" priority="38">
      <formula>F31&lt;F30</formula>
    </cfRule>
  </conditionalFormatting>
  <conditionalFormatting sqref="G31:G39">
    <cfRule type="expression" dxfId="52" priority="37">
      <formula>G31&lt;G30</formula>
    </cfRule>
  </conditionalFormatting>
  <conditionalFormatting sqref="H31:H39">
    <cfRule type="expression" dxfId="51" priority="36">
      <formula>H31&lt;H30</formula>
    </cfRule>
  </conditionalFormatting>
  <conditionalFormatting sqref="B44:B52">
    <cfRule type="expression" dxfId="50" priority="35">
      <formula>B44&lt;B43</formula>
    </cfRule>
  </conditionalFormatting>
  <conditionalFormatting sqref="C44:C52">
    <cfRule type="expression" dxfId="49" priority="34">
      <formula>C44&lt;C43</formula>
    </cfRule>
  </conditionalFormatting>
  <conditionalFormatting sqref="D44:D52">
    <cfRule type="expression" dxfId="48" priority="33">
      <formula>D44&lt;D43</formula>
    </cfRule>
  </conditionalFormatting>
  <conditionalFormatting sqref="E44:E52">
    <cfRule type="expression" dxfId="47" priority="32">
      <formula>E44&lt;E43</formula>
    </cfRule>
  </conditionalFormatting>
  <conditionalFormatting sqref="F44:F52">
    <cfRule type="expression" dxfId="46" priority="31">
      <formula>F44&lt;F43</formula>
    </cfRule>
  </conditionalFormatting>
  <conditionalFormatting sqref="G44:G52">
    <cfRule type="expression" dxfId="45" priority="30">
      <formula>G44&lt;G43</formula>
    </cfRule>
  </conditionalFormatting>
  <conditionalFormatting sqref="H44:H52">
    <cfRule type="expression" dxfId="44" priority="29">
      <formula>H44&lt;H43</formula>
    </cfRule>
  </conditionalFormatting>
  <conditionalFormatting sqref="B57:B65">
    <cfRule type="expression" dxfId="43" priority="28">
      <formula>B57&lt;B56</formula>
    </cfRule>
  </conditionalFormatting>
  <conditionalFormatting sqref="C57:C65">
    <cfRule type="expression" dxfId="42" priority="27">
      <formula>C57&lt;C56</formula>
    </cfRule>
  </conditionalFormatting>
  <conditionalFormatting sqref="D57:D65">
    <cfRule type="expression" dxfId="41" priority="26">
      <formula>D57&lt;D56</formula>
    </cfRule>
  </conditionalFormatting>
  <conditionalFormatting sqref="E57:E65">
    <cfRule type="expression" dxfId="40" priority="25">
      <formula>E57&lt;E56</formula>
    </cfRule>
  </conditionalFormatting>
  <conditionalFormatting sqref="F57:F65">
    <cfRule type="expression" dxfId="39" priority="24">
      <formula>F57&lt;F56</formula>
    </cfRule>
  </conditionalFormatting>
  <conditionalFormatting sqref="G57:G65">
    <cfRule type="expression" dxfId="38" priority="23">
      <formula>G57&lt;G56</formula>
    </cfRule>
  </conditionalFormatting>
  <conditionalFormatting sqref="H57:H65">
    <cfRule type="expression" dxfId="37" priority="22">
      <formula>H57&lt;H56</formula>
    </cfRule>
  </conditionalFormatting>
  <conditionalFormatting sqref="B70:B78">
    <cfRule type="expression" dxfId="36" priority="21">
      <formula>B70&lt;B69</formula>
    </cfRule>
  </conditionalFormatting>
  <conditionalFormatting sqref="C70:C78">
    <cfRule type="expression" dxfId="35" priority="20">
      <formula>C70&lt;C69</formula>
    </cfRule>
  </conditionalFormatting>
  <conditionalFormatting sqref="D70:D78">
    <cfRule type="expression" dxfId="34" priority="19">
      <formula>D70&lt;D69</formula>
    </cfRule>
  </conditionalFormatting>
  <conditionalFormatting sqref="E70:E78">
    <cfRule type="expression" dxfId="33" priority="18">
      <formula>E70&lt;E69</formula>
    </cfRule>
  </conditionalFormatting>
  <conditionalFormatting sqref="F70:F78">
    <cfRule type="expression" dxfId="32" priority="17">
      <formula>F70&lt;F69</formula>
    </cfRule>
  </conditionalFormatting>
  <conditionalFormatting sqref="G70:G78">
    <cfRule type="expression" dxfId="31" priority="16">
      <formula>G70&lt;G69</formula>
    </cfRule>
  </conditionalFormatting>
  <conditionalFormatting sqref="H70:H78">
    <cfRule type="expression" dxfId="30" priority="15">
      <formula>H70&lt;H69</formula>
    </cfRule>
  </conditionalFormatting>
  <conditionalFormatting sqref="B83:B91">
    <cfRule type="expression" dxfId="29" priority="14">
      <formula>B83&lt;B82</formula>
    </cfRule>
  </conditionalFormatting>
  <conditionalFormatting sqref="C83:C91">
    <cfRule type="expression" dxfId="28" priority="13">
      <formula>C83&lt;C82</formula>
    </cfRule>
  </conditionalFormatting>
  <conditionalFormatting sqref="D83:D91">
    <cfRule type="expression" dxfId="27" priority="12">
      <formula>D83&lt;D82</formula>
    </cfRule>
  </conditionalFormatting>
  <conditionalFormatting sqref="E83:E91">
    <cfRule type="expression" dxfId="26" priority="11">
      <formula>E83&lt;E82</formula>
    </cfRule>
  </conditionalFormatting>
  <conditionalFormatting sqref="F83:F91">
    <cfRule type="expression" dxfId="25" priority="10">
      <formula>F83&lt;F82</formula>
    </cfRule>
  </conditionalFormatting>
  <conditionalFormatting sqref="G83:G91">
    <cfRule type="expression" dxfId="24" priority="9">
      <formula>G83&lt;G82</formula>
    </cfRule>
  </conditionalFormatting>
  <conditionalFormatting sqref="H83:H91">
    <cfRule type="expression" dxfId="23" priority="8">
      <formula>H83&lt;H82</formula>
    </cfRule>
  </conditionalFormatting>
  <conditionalFormatting sqref="B109:B117">
    <cfRule type="expression" dxfId="22" priority="7">
      <formula>B109&lt;B108</formula>
    </cfRule>
  </conditionalFormatting>
  <conditionalFormatting sqref="C109:C117">
    <cfRule type="expression" dxfId="21" priority="6">
      <formula>C109&lt;C108</formula>
    </cfRule>
  </conditionalFormatting>
  <conditionalFormatting sqref="D109:D117">
    <cfRule type="expression" dxfId="20" priority="5">
      <formula>D109&lt;D108</formula>
    </cfRule>
  </conditionalFormatting>
  <conditionalFormatting sqref="E109:E117">
    <cfRule type="expression" dxfId="19" priority="4">
      <formula>E109&lt;E108</formula>
    </cfRule>
  </conditionalFormatting>
  <conditionalFormatting sqref="F109:F117">
    <cfRule type="expression" dxfId="18" priority="3">
      <formula>F109&lt;F108</formula>
    </cfRule>
  </conditionalFormatting>
  <conditionalFormatting sqref="G109:G117">
    <cfRule type="expression" dxfId="17" priority="2">
      <formula>G109&lt;G108</formula>
    </cfRule>
  </conditionalFormatting>
  <conditionalFormatting sqref="H109:H117">
    <cfRule type="expression" dxfId="16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N43"/>
  <sheetViews>
    <sheetView topLeftCell="A13" workbookViewId="0">
      <selection activeCell="Q37" sqref="Q37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85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60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88.333333333333329</v>
      </c>
    </row>
    <row r="9" spans="1:4" x14ac:dyDescent="0.25">
      <c r="A9">
        <v>2</v>
      </c>
      <c r="B9">
        <f>$B$4-((A9-$B$2)/($B$6/100))</f>
        <v>86.666666666666671</v>
      </c>
    </row>
    <row r="10" spans="1:4" x14ac:dyDescent="0.25">
      <c r="A10">
        <v>3</v>
      </c>
      <c r="B10">
        <f>$B$4-((A10-$B$2)/($B$6/100))</f>
        <v>85</v>
      </c>
      <c r="C10">
        <f>ROUNDUP(B10,0)</f>
        <v>85</v>
      </c>
      <c r="D10">
        <v>1</v>
      </c>
    </row>
    <row r="11" spans="1:4" x14ac:dyDescent="0.25">
      <c r="A11">
        <v>4</v>
      </c>
      <c r="B11">
        <f>$B$4-((A11-$B$2)/($B$6/100))</f>
        <v>83.333333333333329</v>
      </c>
    </row>
    <row r="12" spans="1:4" x14ac:dyDescent="0.25">
      <c r="A12">
        <v>5</v>
      </c>
      <c r="B12">
        <f t="shared" ref="B12:B27" si="0">$B$4-((A12-$B$2)/($B$6/100))</f>
        <v>81.666666666666671</v>
      </c>
    </row>
    <row r="13" spans="1:4" x14ac:dyDescent="0.25">
      <c r="A13">
        <v>6</v>
      </c>
      <c r="B13">
        <f t="shared" si="0"/>
        <v>80</v>
      </c>
      <c r="C13">
        <f>ROUNDUP(B13,0)</f>
        <v>80</v>
      </c>
      <c r="D13">
        <v>2</v>
      </c>
    </row>
    <row r="14" spans="1:4" x14ac:dyDescent="0.25">
      <c r="A14">
        <v>7</v>
      </c>
      <c r="B14">
        <f t="shared" si="0"/>
        <v>78.333333333333329</v>
      </c>
    </row>
    <row r="15" spans="1:4" x14ac:dyDescent="0.25">
      <c r="A15">
        <v>8</v>
      </c>
      <c r="B15">
        <f t="shared" si="0"/>
        <v>76.666666666666671</v>
      </c>
    </row>
    <row r="16" spans="1:4" x14ac:dyDescent="0.25">
      <c r="A16">
        <v>9</v>
      </c>
      <c r="B16">
        <f t="shared" si="0"/>
        <v>75</v>
      </c>
      <c r="C16">
        <f>ROUNDUP(B16,0)</f>
        <v>75</v>
      </c>
      <c r="D16">
        <v>3</v>
      </c>
    </row>
    <row r="17" spans="1:14" x14ac:dyDescent="0.25">
      <c r="A17">
        <v>10</v>
      </c>
      <c r="B17">
        <f t="shared" si="0"/>
        <v>73.333333333333329</v>
      </c>
    </row>
    <row r="18" spans="1:14" x14ac:dyDescent="0.25">
      <c r="A18">
        <v>11</v>
      </c>
      <c r="B18">
        <f t="shared" si="0"/>
        <v>71.666666666666671</v>
      </c>
    </row>
    <row r="19" spans="1:14" x14ac:dyDescent="0.25">
      <c r="A19">
        <v>12</v>
      </c>
      <c r="B19">
        <f t="shared" si="0"/>
        <v>70</v>
      </c>
      <c r="C19">
        <f>ROUNDUP(B19,0)</f>
        <v>70</v>
      </c>
      <c r="D19">
        <v>4</v>
      </c>
    </row>
    <row r="20" spans="1:14" x14ac:dyDescent="0.25">
      <c r="A20">
        <v>13</v>
      </c>
      <c r="B20">
        <f t="shared" si="0"/>
        <v>68.333333333333329</v>
      </c>
    </row>
    <row r="21" spans="1:14" x14ac:dyDescent="0.25">
      <c r="A21">
        <v>14</v>
      </c>
      <c r="B21">
        <f t="shared" si="0"/>
        <v>66.666666666666657</v>
      </c>
    </row>
    <row r="22" spans="1:14" x14ac:dyDescent="0.25">
      <c r="A22">
        <v>15</v>
      </c>
      <c r="B22">
        <f t="shared" si="0"/>
        <v>65</v>
      </c>
      <c r="C22">
        <f>ROUNDUP(B22,0)</f>
        <v>65</v>
      </c>
      <c r="D22">
        <v>5</v>
      </c>
    </row>
    <row r="23" spans="1:14" x14ac:dyDescent="0.25">
      <c r="A23">
        <v>16</v>
      </c>
      <c r="B23">
        <f t="shared" si="0"/>
        <v>63.333333333333329</v>
      </c>
    </row>
    <row r="24" spans="1:14" x14ac:dyDescent="0.25">
      <c r="A24">
        <v>17</v>
      </c>
      <c r="B24">
        <f t="shared" si="0"/>
        <v>61.666666666666664</v>
      </c>
    </row>
    <row r="25" spans="1:14" x14ac:dyDescent="0.25">
      <c r="A25">
        <v>18</v>
      </c>
      <c r="B25">
        <f t="shared" si="0"/>
        <v>60</v>
      </c>
      <c r="C25">
        <f>ROUNDUP(B25,0)</f>
        <v>60</v>
      </c>
      <c r="D25">
        <v>6</v>
      </c>
    </row>
    <row r="26" spans="1:14" x14ac:dyDescent="0.25">
      <c r="A26">
        <v>19</v>
      </c>
      <c r="B26">
        <f t="shared" si="0"/>
        <v>58.333333333333329</v>
      </c>
    </row>
    <row r="27" spans="1:14" x14ac:dyDescent="0.25">
      <c r="A27">
        <v>20</v>
      </c>
      <c r="B27">
        <f t="shared" si="0"/>
        <v>56.666666666666664</v>
      </c>
    </row>
    <row r="28" spans="1:14" x14ac:dyDescent="0.25">
      <c r="A28">
        <v>21</v>
      </c>
      <c r="B28">
        <f t="shared" ref="B28:B39" si="1">$B$4-((A28-$B$2)/($B$6/100))</f>
        <v>55</v>
      </c>
      <c r="C28">
        <f>ROUNDUP(B28,0)</f>
        <v>55</v>
      </c>
      <c r="D28">
        <v>7</v>
      </c>
    </row>
    <row r="29" spans="1:14" x14ac:dyDescent="0.25">
      <c r="A29">
        <v>22</v>
      </c>
      <c r="B29">
        <f t="shared" si="1"/>
        <v>53.333333333333329</v>
      </c>
    </row>
    <row r="30" spans="1:14" x14ac:dyDescent="0.25">
      <c r="A30">
        <v>23</v>
      </c>
      <c r="B30">
        <f t="shared" si="1"/>
        <v>51.666666666666664</v>
      </c>
      <c r="G30" t="s">
        <v>468</v>
      </c>
      <c r="H30">
        <v>1</v>
      </c>
    </row>
    <row r="31" spans="1:14" x14ac:dyDescent="0.25">
      <c r="A31">
        <v>24</v>
      </c>
      <c r="B31">
        <f t="shared" si="1"/>
        <v>50</v>
      </c>
      <c r="C31">
        <f>ROUNDUP(B31,0)</f>
        <v>50</v>
      </c>
      <c r="D31">
        <v>8</v>
      </c>
    </row>
    <row r="32" spans="1:14" x14ac:dyDescent="0.25">
      <c r="A32">
        <v>25</v>
      </c>
      <c r="B32">
        <f t="shared" si="1"/>
        <v>48.333333333333329</v>
      </c>
      <c r="H32" s="7"/>
      <c r="I32" s="8" t="s">
        <v>116</v>
      </c>
      <c r="J32" s="8" t="s">
        <v>117</v>
      </c>
      <c r="K32" s="8" t="s">
        <v>118</v>
      </c>
      <c r="L32" s="8" t="s">
        <v>119</v>
      </c>
      <c r="M32" s="8" t="s">
        <v>121</v>
      </c>
      <c r="N32" s="15" t="s">
        <v>131</v>
      </c>
    </row>
    <row r="33" spans="1:14" x14ac:dyDescent="0.25">
      <c r="A33">
        <v>26</v>
      </c>
      <c r="B33">
        <f t="shared" si="1"/>
        <v>46.666666666666664</v>
      </c>
      <c r="H33" s="6">
        <v>1</v>
      </c>
      <c r="I33">
        <f>ROUND('ITEM STATS'!C65-((($H$30*3)-3)/('ITEM STATS'!D65/100)), 0)</f>
        <v>85</v>
      </c>
      <c r="J33">
        <f>ROUND('ITEM STATS'!C86-((($H$30*3)-3)/('ITEM STATS'!D86/100)), 0)</f>
        <v>80</v>
      </c>
      <c r="K33">
        <f>ROUND('ITEM STATS'!C107-((($H$30*3)-3)/('ITEM STATS'!D107/100)), 0)</f>
        <v>85</v>
      </c>
      <c r="L33">
        <f>ROUND('ITEM STATS'!C128-((($H$30*3)-3)/('ITEM STATS'!D128/100)),0)</f>
        <v>90</v>
      </c>
      <c r="M33">
        <f>ROUND('ITEM STATS'!C170-((($H$30*3)-3)/('ITEM STATS'!D170/100)), 0)</f>
        <v>70</v>
      </c>
      <c r="N33">
        <f>AVERAGE(I33:M33)</f>
        <v>82</v>
      </c>
    </row>
    <row r="34" spans="1:14" x14ac:dyDescent="0.25">
      <c r="A34">
        <v>27</v>
      </c>
      <c r="B34">
        <f t="shared" si="1"/>
        <v>45</v>
      </c>
      <c r="C34">
        <f>ROUNDUP(B34,0)</f>
        <v>45</v>
      </c>
      <c r="D34">
        <v>9</v>
      </c>
      <c r="H34" s="6">
        <v>2</v>
      </c>
      <c r="I34">
        <f>ROUND('ITEM STATS'!C66-((($H$30*3)-3)/('ITEM STATS'!D66/100)), 0)</f>
        <v>86</v>
      </c>
      <c r="J34">
        <f>ROUND('ITEM STATS'!C87-((($H$30*3)-3)/('ITEM STATS'!D87/100)), 0)</f>
        <v>81</v>
      </c>
      <c r="K34">
        <f>ROUND('ITEM STATS'!C108-((($H$30*3)-3)/('ITEM STATS'!D108/100)), 0)</f>
        <v>86</v>
      </c>
      <c r="L34">
        <f>ROUND('ITEM STATS'!C129-((($H$30*3)-3)/('ITEM STATS'!D129/100)),0)</f>
        <v>91</v>
      </c>
      <c r="M34">
        <f>ROUND('ITEM STATS'!C171-((($H$30*3)-3)/('ITEM STATS'!D171/100)), 0)</f>
        <v>72</v>
      </c>
      <c r="N34">
        <f t="shared" ref="N34:N42" si="2">AVERAGE(I34:M34)</f>
        <v>83.2</v>
      </c>
    </row>
    <row r="35" spans="1:14" x14ac:dyDescent="0.25">
      <c r="A35">
        <v>28</v>
      </c>
      <c r="B35">
        <f t="shared" si="1"/>
        <v>43.333333333333329</v>
      </c>
      <c r="H35" s="6">
        <v>3</v>
      </c>
      <c r="I35">
        <f>ROUND('ITEM STATS'!C67-((($H$30*3)-3)/('ITEM STATS'!D67/100)), 0)</f>
        <v>86</v>
      </c>
      <c r="J35">
        <f>ROUND('ITEM STATS'!C88-((($H$30*3)-3)/('ITEM STATS'!D88/100)), 0)</f>
        <v>81</v>
      </c>
      <c r="K35">
        <f>ROUND('ITEM STATS'!C109-((($H$30*3)-3)/('ITEM STATS'!D109/100)), 0)</f>
        <v>86</v>
      </c>
      <c r="L35">
        <f>ROUND('ITEM STATS'!C130-((($H$30*3)-3)/('ITEM STATS'!D130/100)),0)</f>
        <v>91</v>
      </c>
      <c r="M35">
        <f>ROUND('ITEM STATS'!C172-((($H$30*3)-3)/('ITEM STATS'!D172/100)), 0)</f>
        <v>74</v>
      </c>
      <c r="N35">
        <f t="shared" si="2"/>
        <v>83.6</v>
      </c>
    </row>
    <row r="36" spans="1:14" x14ac:dyDescent="0.25">
      <c r="A36">
        <v>29</v>
      </c>
      <c r="B36">
        <f t="shared" si="1"/>
        <v>41.666666666666664</v>
      </c>
      <c r="H36" s="6">
        <v>4</v>
      </c>
      <c r="I36">
        <f>ROUND('ITEM STATS'!C68-((($H$30*3)-3)/('ITEM STATS'!D68/100)), 0)</f>
        <v>87</v>
      </c>
      <c r="J36">
        <f>ROUND('ITEM STATS'!C89-((($H$30*3)-3)/('ITEM STATS'!D89/100)), 0)</f>
        <v>82</v>
      </c>
      <c r="K36">
        <f>ROUND('ITEM STATS'!C110-((($H$30*3)-3)/('ITEM STATS'!D110/100)), 0)</f>
        <v>87</v>
      </c>
      <c r="L36">
        <f>ROUND('ITEM STATS'!C131-((($H$30*3)-3)/('ITEM STATS'!D131/100)),0)</f>
        <v>92</v>
      </c>
      <c r="M36">
        <f>ROUND('ITEM STATS'!C173-((($H$30*3)-3)/('ITEM STATS'!D173/100)), 0)</f>
        <v>76</v>
      </c>
      <c r="N36">
        <f t="shared" si="2"/>
        <v>84.8</v>
      </c>
    </row>
    <row r="37" spans="1:14" x14ac:dyDescent="0.25">
      <c r="A37">
        <v>30</v>
      </c>
      <c r="B37">
        <f t="shared" si="1"/>
        <v>40</v>
      </c>
      <c r="C37">
        <f>ROUNDUP(B37,0)</f>
        <v>40</v>
      </c>
      <c r="D37">
        <v>10</v>
      </c>
      <c r="H37" s="6">
        <v>5</v>
      </c>
      <c r="I37">
        <f>ROUND('ITEM STATS'!C69-((($H$30*3)-3)/('ITEM STATS'!D69/100)), 0)</f>
        <v>87</v>
      </c>
      <c r="J37">
        <f>ROUND('ITEM STATS'!C90-((($H$30*3)-3)/('ITEM STATS'!D90/100)), 0)</f>
        <v>82</v>
      </c>
      <c r="K37">
        <f>ROUND('ITEM STATS'!C111-((($H$30*3)-3)/('ITEM STATS'!D111/100)), 0)</f>
        <v>87</v>
      </c>
      <c r="L37">
        <f>ROUND('ITEM STATS'!C132-((($H$30*3)-3)/('ITEM STATS'!D132/100)),0)</f>
        <v>92</v>
      </c>
      <c r="M37">
        <f>ROUND('ITEM STATS'!C174-((($H$30*3)-3)/('ITEM STATS'!D174/100)), 0)</f>
        <v>77</v>
      </c>
      <c r="N37">
        <f t="shared" si="2"/>
        <v>85</v>
      </c>
    </row>
    <row r="38" spans="1:14" x14ac:dyDescent="0.25">
      <c r="A38">
        <v>31</v>
      </c>
      <c r="B38">
        <f t="shared" si="1"/>
        <v>38.333333333333329</v>
      </c>
      <c r="H38" s="6">
        <v>6</v>
      </c>
      <c r="I38">
        <f>ROUND('ITEM STATS'!C70-((($H$30*3)-3)/('ITEM STATS'!D70/100)), 0)</f>
        <v>88</v>
      </c>
      <c r="J38">
        <f>ROUND('ITEM STATS'!C91-((($H$30*3)-3)/('ITEM STATS'!D91/100)), 0)</f>
        <v>83</v>
      </c>
      <c r="K38">
        <f>ROUND('ITEM STATS'!C112-((($H$30*3)-3)/('ITEM STATS'!D112/100)), 0)</f>
        <v>88</v>
      </c>
      <c r="L38">
        <f>ROUND('ITEM STATS'!C133-((($H$30*3)-3)/('ITEM STATS'!D133/100)),0)</f>
        <v>93</v>
      </c>
      <c r="M38">
        <f>ROUND('ITEM STATS'!C175-((($H$30*3)-3)/('ITEM STATS'!D175/100)), 0)</f>
        <v>79</v>
      </c>
      <c r="N38">
        <f t="shared" si="2"/>
        <v>86.2</v>
      </c>
    </row>
    <row r="39" spans="1:14" x14ac:dyDescent="0.25">
      <c r="A39">
        <v>32</v>
      </c>
      <c r="B39">
        <f t="shared" si="1"/>
        <v>36.666666666666664</v>
      </c>
      <c r="H39" s="6">
        <v>7</v>
      </c>
      <c r="I39">
        <f>ROUND('ITEM STATS'!C71-((($H$30*3)-3)/('ITEM STATS'!D71/100)), 0)</f>
        <v>89</v>
      </c>
      <c r="J39">
        <f>ROUND('ITEM STATS'!C92-((($H$30*3)-3)/('ITEM STATS'!D92/100)), 0)</f>
        <v>84</v>
      </c>
      <c r="K39">
        <f>ROUND('ITEM STATS'!C113-((($H$30*3)-3)/('ITEM STATS'!D113/100)), 0)</f>
        <v>89</v>
      </c>
      <c r="L39">
        <f>ROUND('ITEM STATS'!C134-((($H$30*3)-3)/('ITEM STATS'!D134/100)),0)</f>
        <v>94</v>
      </c>
      <c r="M39">
        <f>ROUND('ITEM STATS'!C176-((($H$30*3)-3)/('ITEM STATS'!D176/100)), 0)</f>
        <v>81</v>
      </c>
      <c r="N39">
        <f t="shared" si="2"/>
        <v>87.4</v>
      </c>
    </row>
    <row r="40" spans="1:14" x14ac:dyDescent="0.25">
      <c r="A40">
        <v>33</v>
      </c>
      <c r="B40">
        <f>$B$4-((A40-$B$2)/($B$6/100))</f>
        <v>35</v>
      </c>
      <c r="C40">
        <f>ROUNDUP(B40,0)</f>
        <v>35</v>
      </c>
      <c r="D40">
        <v>11</v>
      </c>
      <c r="H40" s="6">
        <v>8</v>
      </c>
      <c r="I40">
        <f>ROUND('ITEM STATS'!C72-((($H$30*3)-3)/('ITEM STATS'!D72/100)), 0)</f>
        <v>89</v>
      </c>
      <c r="J40">
        <f>ROUND('ITEM STATS'!C93-((($H$30*3)-3)/('ITEM STATS'!D93/100)), 0)</f>
        <v>84</v>
      </c>
      <c r="K40">
        <f>ROUND('ITEM STATS'!C114-((($H$30*3)-3)/('ITEM STATS'!D114/100)), 0)</f>
        <v>89</v>
      </c>
      <c r="L40">
        <f>ROUND('ITEM STATS'!C135-((($H$30*3)-3)/('ITEM STATS'!D135/100)),0)</f>
        <v>94</v>
      </c>
      <c r="M40">
        <f>ROUND('ITEM STATS'!C177-((($H$30*3)-3)/('ITEM STATS'!D177/100)), 0)</f>
        <v>82</v>
      </c>
      <c r="N40">
        <f t="shared" si="2"/>
        <v>87.6</v>
      </c>
    </row>
    <row r="41" spans="1:14" x14ac:dyDescent="0.25">
      <c r="H41" s="6">
        <v>9</v>
      </c>
      <c r="I41">
        <f>ROUND('ITEM STATS'!C73-((($H$30*3)-3)/('ITEM STATS'!D73/100)), 0)</f>
        <v>90</v>
      </c>
      <c r="J41">
        <f>ROUND('ITEM STATS'!C94-((($H$30*3)-3)/('ITEM STATS'!D94/100)), 0)</f>
        <v>85</v>
      </c>
      <c r="K41">
        <f>ROUND('ITEM STATS'!C115-((($H$30*3)-3)/('ITEM STATS'!D115/100)), 0)</f>
        <v>90</v>
      </c>
      <c r="L41">
        <f>ROUND('ITEM STATS'!C136-((($H$30*3)-3)/('ITEM STATS'!D136/100)),0)</f>
        <v>95</v>
      </c>
      <c r="M41">
        <f>ROUND('ITEM STATS'!C178-((($H$30*3)-3)/('ITEM STATS'!D178/100)), 0)</f>
        <v>84</v>
      </c>
      <c r="N41">
        <f t="shared" si="2"/>
        <v>88.8</v>
      </c>
    </row>
    <row r="42" spans="1:14" x14ac:dyDescent="0.25">
      <c r="H42" s="6">
        <v>10</v>
      </c>
      <c r="I42">
        <f>ROUND('ITEM STATS'!C74-((($H$30*3)-3)/('ITEM STATS'!D74/100)), 0)</f>
        <v>90</v>
      </c>
      <c r="J42">
        <f>ROUND('ITEM STATS'!C95-((($H$30*3)-3)/('ITEM STATS'!D95/100)), 0)</f>
        <v>85</v>
      </c>
      <c r="K42">
        <f>ROUND('ITEM STATS'!C116-((($H$30*3)-3)/('ITEM STATS'!D116/100)), 0)</f>
        <v>90</v>
      </c>
      <c r="L42">
        <f>ROUND('ITEM STATS'!C137-((($H$30*3)-3)/('ITEM STATS'!D137/100)),0)</f>
        <v>95</v>
      </c>
      <c r="M42">
        <f>ROUND('ITEM STATS'!C179-((($H$30*3)-3)/('ITEM STATS'!D179/100)), 0)</f>
        <v>85</v>
      </c>
      <c r="N42">
        <f t="shared" si="2"/>
        <v>89</v>
      </c>
    </row>
    <row r="43" spans="1:14" x14ac:dyDescent="0.25">
      <c r="H43" t="s">
        <v>131</v>
      </c>
      <c r="I43">
        <f>AVERAGE(I33:I42)</f>
        <v>87.7</v>
      </c>
      <c r="J43">
        <f t="shared" ref="J43:M43" si="3">AVERAGE(J33:J42)</f>
        <v>82.7</v>
      </c>
      <c r="K43">
        <f t="shared" si="3"/>
        <v>87.7</v>
      </c>
      <c r="L43">
        <f t="shared" si="3"/>
        <v>92.7</v>
      </c>
      <c r="M43">
        <f t="shared" si="3"/>
        <v>78</v>
      </c>
    </row>
  </sheetData>
  <conditionalFormatting sqref="B8:B40">
    <cfRule type="dataBar" priority="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conditionalFormatting sqref="I33:M42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Scroll Bar 7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0</xdr:rowOff>
                  </from>
                  <to>
                    <xdr:col>9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R27"/>
  <sheetViews>
    <sheetView workbookViewId="0">
      <selection activeCell="V25" sqref="V25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29</v>
      </c>
      <c r="B3">
        <v>6</v>
      </c>
      <c r="D3">
        <f t="array" ref="D3">INDEX(WeaponDB[damage], MATCH($A3&amp;$B3, WeaponDB[wpnName]&amp;WeaponDB[wpnMark], 0))</f>
        <v>44</v>
      </c>
      <c r="E3">
        <f t="array" ref="E3">INDEX(WeaponDB[accuracy], MATCH($A3&amp;$B3, WeaponDB[wpnName]&amp;WeaponDB[wpnMark], 0))</f>
        <v>88</v>
      </c>
      <c r="F3">
        <f t="array" ref="F3">INDEX(WeaponDB[range], MATCH($A3&amp;$B3, WeaponDB[wpnName]&amp;WeaponDB[wpnMark], 0))</f>
        <v>29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31</v>
      </c>
      <c r="I3">
        <f t="array" ref="I3">INDEX(WeaponDB[cooling rate], MATCH($A3&amp;$B3, WeaponDB[wpnName]&amp;WeaponDB[wpnMark], 0))</f>
        <v>18</v>
      </c>
      <c r="J3">
        <f t="array" ref="J3">INDEX(WeaponDB[max ammo], MATCH($A3&amp;$B3, WeaponDB[wpnName]&amp;WeaponDB[wpnMark], 0))</f>
        <v>30</v>
      </c>
      <c r="L3">
        <f>ROUNDUP((100/H3), 0)*D3</f>
        <v>176</v>
      </c>
      <c r="M3">
        <f>ROUND(E3-((($B$19*3)-3)/(F3/100)), 0)</f>
        <v>78</v>
      </c>
      <c r="N3">
        <f>ROUND(D3*(M3/100), 0)</f>
        <v>34</v>
      </c>
      <c r="O3">
        <f>N3*G3</f>
        <v>68</v>
      </c>
      <c r="P3">
        <f>ROUND(L3*(M3/100), 0)</f>
        <v>137</v>
      </c>
      <c r="Q3">
        <f>ROUNDUP($D$19/N3, 0)</f>
        <v>3</v>
      </c>
      <c r="R3">
        <f>ROUNDUP($D$19/O3, 0)</f>
        <v>2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41</v>
      </c>
      <c r="E7">
        <f t="array" ref="E7">INDEX(WeaponDB[accuracy], MATCH($A7&amp;$B7, WeaponDB[wpnName]&amp;WeaponDB[wpnMark], 0))</f>
        <v>92</v>
      </c>
      <c r="F7">
        <f t="array" ref="F7">INDEX(WeaponDB[range], MATCH($A7&amp;$B7, WeaponDB[wpnName]&amp;WeaponDB[wpnMark], 0))</f>
        <v>11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30</v>
      </c>
      <c r="I7">
        <f t="array" ref="I7">INDEX(WeaponDB[cooling rate], MATCH($A7&amp;$B7, WeaponDB[wpnName]&amp;WeaponDB[wpnMark], 0))</f>
        <v>14</v>
      </c>
      <c r="J7">
        <f t="array" ref="J7">INDEX(WeaponDB[max ammo], MATCH($A7&amp;$B7, WeaponDB[wpnName]&amp;WeaponDB[wpnMark], 0))</f>
        <v>35</v>
      </c>
      <c r="L7">
        <f>ROUNDUP((100/H7), 0)*D7</f>
        <v>164</v>
      </c>
      <c r="M7">
        <f>ROUND(E7-((($B$19*3)-3)/(F7/100)), 0)</f>
        <v>65</v>
      </c>
      <c r="N7">
        <f>ROUND(D7*(M7/100), 0)</f>
        <v>27</v>
      </c>
      <c r="O7">
        <f>N7*G7</f>
        <v>54</v>
      </c>
      <c r="P7">
        <f>ROUND(L7*(M7/100), 0)</f>
        <v>107</v>
      </c>
      <c r="Q7">
        <f>ROUNDUP($D$19/N7, 0)</f>
        <v>4</v>
      </c>
      <c r="R7">
        <f>ROUNDUP($D$19/O7, 0)</f>
        <v>2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73</v>
      </c>
      <c r="E11">
        <f t="array" ref="E11">INDEX(WeaponDB[accuracy], MATCH($A11&amp;$B11, WeaponDB[wpnName]&amp;WeaponDB[wpnMark], 0))</f>
        <v>82</v>
      </c>
      <c r="F11">
        <f t="array" ref="F11">INDEX(WeaponDB[range], MATCH($A11&amp;$B11, WeaponDB[wpnName]&amp;WeaponDB[wpnMark], 0))</f>
        <v>65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63</v>
      </c>
      <c r="I11">
        <f t="array" ref="I11">INDEX(WeaponDB[cooling rate], MATCH($A11&amp;$B11, WeaponDB[wpnName]&amp;WeaponDB[wpnMark], 0))</f>
        <v>18</v>
      </c>
      <c r="J11">
        <f t="array" ref="J11">INDEX(WeaponDB[max ammo], MATCH($A11&amp;$B11, WeaponDB[wpnName]&amp;WeaponDB[wpnMark], 0))</f>
        <v>15</v>
      </c>
      <c r="L11">
        <f>ROUNDUP((100/H11), 0)*D11</f>
        <v>146</v>
      </c>
      <c r="M11">
        <f>ROUND(E11-((($B$19*3)-3)/(F11/100)), 0)</f>
        <v>77</v>
      </c>
      <c r="N11">
        <f>ROUND(D11*(M11/100), 0)</f>
        <v>56</v>
      </c>
      <c r="O11">
        <f>N11*G11</f>
        <v>56</v>
      </c>
      <c r="P11">
        <f>ROUND(L11*(M11/100), 0)</f>
        <v>112</v>
      </c>
      <c r="Q11">
        <f>ROUNDUP($D$19/N11, 0)</f>
        <v>2</v>
      </c>
      <c r="R11">
        <f>ROUNDUP($D$19/O11, 0)</f>
        <v>2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79</v>
      </c>
      <c r="F15">
        <f t="array" ref="F15">INDEX(WeaponDB[range], MATCH($A15&amp;$B15, WeaponDB[wpnName]&amp;WeaponDB[wpnMark], 0))</f>
        <v>87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40</v>
      </c>
      <c r="I15">
        <f t="array" ref="I15">INDEX(WeaponDB[cooling rate], MATCH($A15&amp;$B15, WeaponDB[wpnName]&amp;WeaponDB[wpnMark], 0))</f>
        <v>20</v>
      </c>
      <c r="J15">
        <f t="array" ref="J15">INDEX(WeaponDB[max ammo], MATCH($A15&amp;$B15, WeaponDB[wpnName]&amp;WeaponDB[wpnMark], 0))</f>
        <v>15</v>
      </c>
      <c r="L15">
        <f>ROUNDUP((100/H15), 0)*D15</f>
        <v>237</v>
      </c>
      <c r="M15">
        <f>ROUND(E15-((($B$19*3)-3)/(F15/100)), 0)</f>
        <v>76</v>
      </c>
      <c r="N15">
        <f>ROUND(D15*(M15/100), 0)</f>
        <v>60</v>
      </c>
      <c r="O15">
        <f>N15*G15</f>
        <v>120</v>
      </c>
      <c r="P15">
        <f>ROUND(L15*(M15/100), 0)</f>
        <v>180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177</v>
      </c>
      <c r="O17" s="3">
        <f>SUM(O3:O15)</f>
        <v>298</v>
      </c>
      <c r="P17" s="3">
        <f>SUM(P3:P15)</f>
        <v>536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>INDEX(EnemyDB[health], MATCH($A$19, EnemyDB[name], 0))</f>
        <v>100</v>
      </c>
      <c r="E19">
        <f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M42"/>
  <sheetViews>
    <sheetView workbookViewId="0">
      <selection activeCell="A6" sqref="A6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30</v>
      </c>
      <c r="H11">
        <v>15</v>
      </c>
      <c r="I11">
        <v>40</v>
      </c>
      <c r="J11">
        <v>25</v>
      </c>
      <c r="K11">
        <v>0</v>
      </c>
      <c r="L11">
        <v>15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630</v>
      </c>
      <c r="H15">
        <f>H$11*'WEAPON BALANCING'!D95</f>
        <v>540</v>
      </c>
      <c r="I15">
        <f>I$11*'WEAPON BALANCING'!E95</f>
        <v>520</v>
      </c>
      <c r="J15">
        <f>J$11*'WEAPON BALANCING'!F95</f>
        <v>575</v>
      </c>
      <c r="K15">
        <f>K$11*'WEAPON BALANCING'!G95</f>
        <v>0</v>
      </c>
      <c r="L15">
        <f>L$11*'WEAPON BALANCING'!H95</f>
        <v>480</v>
      </c>
      <c r="M15">
        <f>SUM(F15:L15)</f>
        <v>2745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780</v>
      </c>
      <c r="H16">
        <f>H$11*'WEAPON BALANCING'!D96</f>
        <v>675</v>
      </c>
      <c r="I16">
        <f>I$11*'WEAPON BALANCING'!E96</f>
        <v>660</v>
      </c>
      <c r="J16">
        <f>J$11*'WEAPON BALANCING'!F96</f>
        <v>675</v>
      </c>
      <c r="K16">
        <f>K$11*'WEAPON BALANCING'!G96</f>
        <v>0</v>
      </c>
      <c r="L16">
        <f>L$11*'WEAPON BALANCING'!H96</f>
        <v>585</v>
      </c>
      <c r="M16">
        <f t="shared" ref="M16:M24" si="0">SUM(F16:L16)</f>
        <v>3375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870</v>
      </c>
      <c r="H17">
        <f>H$11*'WEAPON BALANCING'!D97</f>
        <v>795</v>
      </c>
      <c r="I17">
        <f>I$11*'WEAPON BALANCING'!E97</f>
        <v>760</v>
      </c>
      <c r="J17">
        <f>J$11*'WEAPON BALANCING'!F97</f>
        <v>775</v>
      </c>
      <c r="K17">
        <f>K$11*'WEAPON BALANCING'!G97</f>
        <v>0</v>
      </c>
      <c r="L17">
        <f>L$11*'WEAPON BALANCING'!H97</f>
        <v>675</v>
      </c>
      <c r="M17">
        <f t="shared" si="0"/>
        <v>3875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990</v>
      </c>
      <c r="H18">
        <f>H$11*'WEAPON BALANCING'!D98</f>
        <v>900</v>
      </c>
      <c r="I18">
        <f>I$11*'WEAPON BALANCING'!E98</f>
        <v>868</v>
      </c>
      <c r="J18">
        <f>J$11*'WEAPON BALANCING'!F98</f>
        <v>875</v>
      </c>
      <c r="K18">
        <f>K$11*'WEAPON BALANCING'!G98</f>
        <v>0</v>
      </c>
      <c r="L18">
        <f>L$11*'WEAPON BALANCING'!H98</f>
        <v>772.5</v>
      </c>
      <c r="M18">
        <f t="shared" si="0"/>
        <v>4405.5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1080</v>
      </c>
      <c r="H19">
        <f>H$11*'WEAPON BALANCING'!D99</f>
        <v>990</v>
      </c>
      <c r="I19">
        <f>I$11*'WEAPON BALANCING'!E99</f>
        <v>972</v>
      </c>
      <c r="J19">
        <f>J$11*'WEAPON BALANCING'!F99</f>
        <v>937.5</v>
      </c>
      <c r="K19">
        <f>K$11*'WEAPON BALANCING'!G99</f>
        <v>0</v>
      </c>
      <c r="L19">
        <f>L$11*'WEAPON BALANCING'!H99</f>
        <v>855</v>
      </c>
      <c r="M19">
        <f t="shared" si="0"/>
        <v>4834.5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1155</v>
      </c>
      <c r="H20">
        <f>H$11*'WEAPON BALANCING'!D100</f>
        <v>1065</v>
      </c>
      <c r="I20">
        <f>I$11*'WEAPON BALANCING'!E100</f>
        <v>1052</v>
      </c>
      <c r="J20">
        <f>J$11*'WEAPON BALANCING'!F100</f>
        <v>1025</v>
      </c>
      <c r="K20">
        <f>K$11*'WEAPON BALANCING'!G100</f>
        <v>0</v>
      </c>
      <c r="L20">
        <f>L$11*'WEAPON BALANCING'!H100</f>
        <v>937.5</v>
      </c>
      <c r="M20">
        <f t="shared" si="0"/>
        <v>5234.5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1230</v>
      </c>
      <c r="H21">
        <f>H$11*'WEAPON BALANCING'!D101</f>
        <v>1140</v>
      </c>
      <c r="I21">
        <f>I$11*'WEAPON BALANCING'!E101</f>
        <v>1132</v>
      </c>
      <c r="J21">
        <f>J$11*'WEAPON BALANCING'!F101</f>
        <v>1075</v>
      </c>
      <c r="K21">
        <f>K$11*'WEAPON BALANCING'!G101</f>
        <v>0</v>
      </c>
      <c r="L21">
        <f>L$11*'WEAPON BALANCING'!H101</f>
        <v>1005</v>
      </c>
      <c r="M21">
        <f t="shared" si="0"/>
        <v>5582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1275</v>
      </c>
      <c r="H22">
        <f>H$11*'WEAPON BALANCING'!D102</f>
        <v>1200</v>
      </c>
      <c r="I22">
        <f>I$11*'WEAPON BALANCING'!E102</f>
        <v>1172</v>
      </c>
      <c r="J22">
        <f>J$11*'WEAPON BALANCING'!F102</f>
        <v>1125</v>
      </c>
      <c r="K22">
        <f>K$11*'WEAPON BALANCING'!G102</f>
        <v>0</v>
      </c>
      <c r="L22">
        <f>L$11*'WEAPON BALANCING'!H102</f>
        <v>1060.5</v>
      </c>
      <c r="M22">
        <f t="shared" si="0"/>
        <v>5832.5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1320</v>
      </c>
      <c r="H23">
        <f>H$11*'WEAPON BALANCING'!D103</f>
        <v>1245</v>
      </c>
      <c r="I23">
        <f>I$11*'WEAPON BALANCING'!E103</f>
        <v>1220</v>
      </c>
      <c r="J23">
        <f>J$11*'WEAPON BALANCING'!F103</f>
        <v>1167.5</v>
      </c>
      <c r="K23">
        <f>K$11*'WEAPON BALANCING'!G103</f>
        <v>0</v>
      </c>
      <c r="L23">
        <f>L$11*'WEAPON BALANCING'!H103</f>
        <v>1120.5</v>
      </c>
      <c r="M23">
        <f t="shared" si="0"/>
        <v>6073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1275</v>
      </c>
      <c r="I24">
        <f>I$11*'WEAPON BALANCING'!E104</f>
        <v>1260</v>
      </c>
      <c r="J24">
        <f>J$11*'WEAPON BALANCING'!F104</f>
        <v>1192.5</v>
      </c>
      <c r="K24">
        <f>K$11*'WEAPON BALANCING'!G104</f>
        <v>0</v>
      </c>
      <c r="L24">
        <f>L$11*'WEAPON BALANCING'!H104</f>
        <v>1150.5</v>
      </c>
      <c r="M24">
        <f t="shared" si="0"/>
        <v>6228</v>
      </c>
    </row>
    <row r="26" spans="1:13" x14ac:dyDescent="0.25">
      <c r="E26" t="s">
        <v>401</v>
      </c>
    </row>
    <row r="27" spans="1:13" x14ac:dyDescent="0.25">
      <c r="F27" t="s">
        <v>115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</row>
    <row r="28" spans="1:13" x14ac:dyDescent="0.25">
      <c r="F28">
        <v>0</v>
      </c>
      <c r="G28">
        <v>130</v>
      </c>
      <c r="H28">
        <v>250</v>
      </c>
      <c r="I28">
        <v>100</v>
      </c>
      <c r="J28">
        <v>150</v>
      </c>
      <c r="K28">
        <v>0</v>
      </c>
      <c r="L28">
        <v>250</v>
      </c>
    </row>
    <row r="31" spans="1:13" x14ac:dyDescent="0.25">
      <c r="E31" t="s">
        <v>402</v>
      </c>
    </row>
    <row r="32" spans="1:13" x14ac:dyDescent="0.25">
      <c r="E32" t="s">
        <v>123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131</v>
      </c>
    </row>
    <row r="33" spans="5:13" x14ac:dyDescent="0.25">
      <c r="E33">
        <v>1</v>
      </c>
      <c r="F33" t="e">
        <f>ROUND('WEAPON BALANCING'!B95/F$28, 2)</f>
        <v>#DIV/0!</v>
      </c>
      <c r="G33">
        <f>ROUND('WEAPON BALANCING'!C95/G$28, 2)</f>
        <v>0.16</v>
      </c>
      <c r="H33">
        <f>ROUND('WEAPON BALANCING'!D95/H$28, 2)</f>
        <v>0.14000000000000001</v>
      </c>
      <c r="I33">
        <f>ROUND('WEAPON BALANCING'!E95/I$28, 2)</f>
        <v>0.13</v>
      </c>
      <c r="J33">
        <f>ROUND('WEAPON BALANCING'!F95/J$28, 2)</f>
        <v>0.15</v>
      </c>
      <c r="K33" t="e">
        <f>ROUND('WEAPON BALANCING'!G95/K$28, 2)</f>
        <v>#DIV/0!</v>
      </c>
      <c r="L33">
        <f>ROUND('WEAPON BALANCING'!H95/L$28, 2)</f>
        <v>0.13</v>
      </c>
      <c r="M33">
        <f>AVERAGE(G33:J33, L33)</f>
        <v>0.14200000000000002</v>
      </c>
    </row>
    <row r="34" spans="5:13" x14ac:dyDescent="0.25">
      <c r="E34">
        <v>2</v>
      </c>
      <c r="F34" t="e">
        <f>ROUND('WEAPON BALANCING'!B96/F$28, 2)</f>
        <v>#DIV/0!</v>
      </c>
      <c r="G34">
        <f>ROUND('WEAPON BALANCING'!C96/G$28, 2)</f>
        <v>0.2</v>
      </c>
      <c r="H34">
        <f>ROUND('WEAPON BALANCING'!D96/H$28, 2)</f>
        <v>0.18</v>
      </c>
      <c r="I34">
        <f>ROUND('WEAPON BALANCING'!E96/I$28, 2)</f>
        <v>0.17</v>
      </c>
      <c r="J34">
        <f>ROUND('WEAPON BALANCING'!F96/J$28, 2)</f>
        <v>0.18</v>
      </c>
      <c r="K34" t="e">
        <f>ROUND('WEAPON BALANCING'!G96/K$28, 2)</f>
        <v>#DIV/0!</v>
      </c>
      <c r="L34">
        <f>ROUND('WEAPON BALANCING'!H96/L$28, 2)</f>
        <v>0.16</v>
      </c>
      <c r="M34">
        <f t="shared" ref="M34:M42" si="1">AVERAGE(G34:J34, L34)</f>
        <v>0.17799999999999999</v>
      </c>
    </row>
    <row r="35" spans="5:13" x14ac:dyDescent="0.25">
      <c r="E35">
        <v>3</v>
      </c>
      <c r="F35" t="e">
        <f>ROUND('WEAPON BALANCING'!B97/F$28, 2)</f>
        <v>#DIV/0!</v>
      </c>
      <c r="G35">
        <f>ROUND('WEAPON BALANCING'!C97/G$28, 2)</f>
        <v>0.22</v>
      </c>
      <c r="H35">
        <f>ROUND('WEAPON BALANCING'!D97/H$28, 2)</f>
        <v>0.21</v>
      </c>
      <c r="I35">
        <f>ROUND('WEAPON BALANCING'!E97/I$28, 2)</f>
        <v>0.19</v>
      </c>
      <c r="J35">
        <f>ROUND('WEAPON BALANCING'!F97/J$28, 2)</f>
        <v>0.21</v>
      </c>
      <c r="K35" t="e">
        <f>ROUND('WEAPON BALANCING'!G97/K$28, 2)</f>
        <v>#DIV/0!</v>
      </c>
      <c r="L35">
        <f>ROUND('WEAPON BALANCING'!H97/L$28, 2)</f>
        <v>0.18</v>
      </c>
      <c r="M35">
        <f t="shared" si="1"/>
        <v>0.20200000000000001</v>
      </c>
    </row>
    <row r="36" spans="5:13" x14ac:dyDescent="0.25">
      <c r="E36">
        <v>4</v>
      </c>
      <c r="F36" t="e">
        <f>ROUND('WEAPON BALANCING'!B98/F$28, 2)</f>
        <v>#DIV/0!</v>
      </c>
      <c r="G36">
        <f>ROUND('WEAPON BALANCING'!C98/G$28, 2)</f>
        <v>0.25</v>
      </c>
      <c r="H36">
        <f>ROUND('WEAPON BALANCING'!D98/H$28, 2)</f>
        <v>0.24</v>
      </c>
      <c r="I36">
        <f>ROUND('WEAPON BALANCING'!E98/I$28, 2)</f>
        <v>0.22</v>
      </c>
      <c r="J36">
        <f>ROUND('WEAPON BALANCING'!F98/J$28, 2)</f>
        <v>0.23</v>
      </c>
      <c r="K36" t="e">
        <f>ROUND('WEAPON BALANCING'!G98/K$28, 2)</f>
        <v>#DIV/0!</v>
      </c>
      <c r="L36">
        <f>ROUND('WEAPON BALANCING'!H98/L$28, 2)</f>
        <v>0.21</v>
      </c>
      <c r="M36">
        <f t="shared" si="1"/>
        <v>0.22999999999999998</v>
      </c>
    </row>
    <row r="37" spans="5:13" x14ac:dyDescent="0.25">
      <c r="E37">
        <v>5</v>
      </c>
      <c r="F37" t="e">
        <f>ROUND('WEAPON BALANCING'!B99/F$28, 2)</f>
        <v>#DIV/0!</v>
      </c>
      <c r="G37">
        <f>ROUND('WEAPON BALANCING'!C99/G$28, 2)</f>
        <v>0.28000000000000003</v>
      </c>
      <c r="H37">
        <f>ROUND('WEAPON BALANCING'!D99/H$28, 2)</f>
        <v>0.26</v>
      </c>
      <c r="I37">
        <f>ROUND('WEAPON BALANCING'!E99/I$28, 2)</f>
        <v>0.24</v>
      </c>
      <c r="J37">
        <f>ROUND('WEAPON BALANCING'!F99/J$28, 2)</f>
        <v>0.25</v>
      </c>
      <c r="K37" t="e">
        <f>ROUND('WEAPON BALANCING'!G99/K$28, 2)</f>
        <v>#DIV/0!</v>
      </c>
      <c r="L37">
        <f>ROUND('WEAPON BALANCING'!H99/L$28, 2)</f>
        <v>0.23</v>
      </c>
      <c r="M37">
        <f t="shared" si="1"/>
        <v>0.252</v>
      </c>
    </row>
    <row r="38" spans="5:13" x14ac:dyDescent="0.25">
      <c r="E38">
        <v>6</v>
      </c>
      <c r="F38" t="e">
        <f>ROUND('WEAPON BALANCING'!B100/F$28, 2)</f>
        <v>#DIV/0!</v>
      </c>
      <c r="G38">
        <f>ROUND('WEAPON BALANCING'!C100/G$28, 2)</f>
        <v>0.3</v>
      </c>
      <c r="H38">
        <f>ROUND('WEAPON BALANCING'!D100/H$28, 2)</f>
        <v>0.28000000000000003</v>
      </c>
      <c r="I38">
        <f>ROUND('WEAPON BALANCING'!E100/I$28, 2)</f>
        <v>0.26</v>
      </c>
      <c r="J38">
        <f>ROUND('WEAPON BALANCING'!F100/J$28, 2)</f>
        <v>0.27</v>
      </c>
      <c r="K38" t="e">
        <f>ROUND('WEAPON BALANCING'!G100/K$28, 2)</f>
        <v>#DIV/0!</v>
      </c>
      <c r="L38">
        <f>ROUND('WEAPON BALANCING'!H100/L$28, 2)</f>
        <v>0.25</v>
      </c>
      <c r="M38">
        <f t="shared" si="1"/>
        <v>0.27200000000000002</v>
      </c>
    </row>
    <row r="39" spans="5:13" x14ac:dyDescent="0.25">
      <c r="E39">
        <v>7</v>
      </c>
      <c r="F39" t="e">
        <f>ROUND('WEAPON BALANCING'!B101/F$28, 2)</f>
        <v>#DIV/0!</v>
      </c>
      <c r="G39">
        <f>ROUND('WEAPON BALANCING'!C101/G$28, 2)</f>
        <v>0.32</v>
      </c>
      <c r="H39">
        <f>ROUND('WEAPON BALANCING'!D101/H$28, 2)</f>
        <v>0.3</v>
      </c>
      <c r="I39">
        <f>ROUND('WEAPON BALANCING'!E101/I$28, 2)</f>
        <v>0.28000000000000003</v>
      </c>
      <c r="J39">
        <f>ROUND('WEAPON BALANCING'!F101/J$28, 2)</f>
        <v>0.28999999999999998</v>
      </c>
      <c r="K39" t="e">
        <f>ROUND('WEAPON BALANCING'!G101/K$28, 2)</f>
        <v>#DIV/0!</v>
      </c>
      <c r="L39">
        <f>ROUND('WEAPON BALANCING'!H101/L$28, 2)</f>
        <v>0.27</v>
      </c>
      <c r="M39">
        <f t="shared" si="1"/>
        <v>0.29199999999999998</v>
      </c>
    </row>
    <row r="40" spans="5:13" x14ac:dyDescent="0.25">
      <c r="E40">
        <v>8</v>
      </c>
      <c r="F40" t="e">
        <f>ROUND('WEAPON BALANCING'!B102/F$28, 2)</f>
        <v>#DIV/0!</v>
      </c>
      <c r="G40">
        <f>ROUND('WEAPON BALANCING'!C102/G$28, 2)</f>
        <v>0.33</v>
      </c>
      <c r="H40">
        <f>ROUND('WEAPON BALANCING'!D102/H$28, 2)</f>
        <v>0.32</v>
      </c>
      <c r="I40">
        <f>ROUND('WEAPON BALANCING'!E102/I$28, 2)</f>
        <v>0.28999999999999998</v>
      </c>
      <c r="J40">
        <f>ROUND('WEAPON BALANCING'!F102/J$28, 2)</f>
        <v>0.3</v>
      </c>
      <c r="K40" t="e">
        <f>ROUND('WEAPON BALANCING'!G102/K$28, 2)</f>
        <v>#DIV/0!</v>
      </c>
      <c r="L40">
        <f>ROUND('WEAPON BALANCING'!H102/L$28, 2)</f>
        <v>0.28000000000000003</v>
      </c>
      <c r="M40">
        <f t="shared" si="1"/>
        <v>0.30399999999999999</v>
      </c>
    </row>
    <row r="41" spans="5:13" x14ac:dyDescent="0.25">
      <c r="E41">
        <v>9</v>
      </c>
      <c r="F41" t="e">
        <f>ROUND('WEAPON BALANCING'!B103/F$28, 2)</f>
        <v>#DIV/0!</v>
      </c>
      <c r="G41">
        <f>ROUND('WEAPON BALANCING'!C103/G$28, 2)</f>
        <v>0.34</v>
      </c>
      <c r="H41">
        <f>ROUND('WEAPON BALANCING'!D103/H$28, 2)</f>
        <v>0.33</v>
      </c>
      <c r="I41">
        <f>ROUND('WEAPON BALANCING'!E103/I$28, 2)</f>
        <v>0.31</v>
      </c>
      <c r="J41">
        <f>ROUND('WEAPON BALANCING'!F103/J$28, 2)</f>
        <v>0.31</v>
      </c>
      <c r="K41" t="e">
        <f>ROUND('WEAPON BALANCING'!G103/K$28, 2)</f>
        <v>#DIV/0!</v>
      </c>
      <c r="L41">
        <f>ROUND('WEAPON BALANCING'!H103/L$28, 2)</f>
        <v>0.3</v>
      </c>
      <c r="M41">
        <f t="shared" si="1"/>
        <v>0.318</v>
      </c>
    </row>
    <row r="42" spans="5:13" x14ac:dyDescent="0.25">
      <c r="E42">
        <v>10</v>
      </c>
      <c r="F42" t="e">
        <f>ROUND('WEAPON BALANCING'!B104/F$28, 2)</f>
        <v>#DIV/0!</v>
      </c>
      <c r="G42">
        <f>ROUND('WEAPON BALANCING'!C104/G$28, 2)</f>
        <v>0.35</v>
      </c>
      <c r="H42">
        <f>ROUND('WEAPON BALANCING'!D104/H$28, 2)</f>
        <v>0.34</v>
      </c>
      <c r="I42">
        <f>ROUND('WEAPON BALANCING'!E104/I$28, 2)</f>
        <v>0.32</v>
      </c>
      <c r="J42">
        <f>ROUND('WEAPON BALANCING'!F104/J$28, 2)</f>
        <v>0.32</v>
      </c>
      <c r="K42" t="e">
        <f>ROUND('WEAPON BALANCING'!G104/K$28, 2)</f>
        <v>#DIV/0!</v>
      </c>
      <c r="L42">
        <f>ROUND('WEAPON BALANCING'!H104/L$28, 2)</f>
        <v>0.31</v>
      </c>
      <c r="M42">
        <f t="shared" si="1"/>
        <v>0.32800000000000001</v>
      </c>
    </row>
  </sheetData>
  <conditionalFormatting sqref="F9:I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1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1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3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15" priority="74" operator="lessThan">
      <formula>$B$15</formula>
    </cfRule>
    <cfRule type="cellIs" dxfId="14" priority="75" operator="greaterThan">
      <formula>$B$15</formula>
    </cfRule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conditionalFormatting sqref="F33:L4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M4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{27CCB59D-9BB0-4F32-A344-436ADA2EB90E}</x14:id>
        </ext>
      </extLst>
    </cfRule>
  </conditionalFormatting>
  <conditionalFormatting sqref="F33:L33">
    <cfRule type="top10" dxfId="13" priority="10" rank="1"/>
  </conditionalFormatting>
  <conditionalFormatting sqref="F34:L34">
    <cfRule type="top10" dxfId="12" priority="9" rank="1"/>
  </conditionalFormatting>
  <conditionalFormatting sqref="F35:L35">
    <cfRule type="top10" dxfId="11" priority="8" rank="1"/>
  </conditionalFormatting>
  <conditionalFormatting sqref="F36:L36">
    <cfRule type="top10" dxfId="10" priority="7" rank="1"/>
  </conditionalFormatting>
  <conditionalFormatting sqref="F37:L37">
    <cfRule type="top10" dxfId="9" priority="6" rank="1"/>
  </conditionalFormatting>
  <conditionalFormatting sqref="F38:L38">
    <cfRule type="top10" dxfId="8" priority="5" rank="1"/>
  </conditionalFormatting>
  <conditionalFormatting sqref="F39:L39">
    <cfRule type="top10" dxfId="7" priority="4" rank="1"/>
  </conditionalFormatting>
  <conditionalFormatting sqref="F40:L40">
    <cfRule type="top10" dxfId="6" priority="3" rank="1"/>
  </conditionalFormatting>
  <conditionalFormatting sqref="F41:L41">
    <cfRule type="top10" dxfId="5" priority="2" rank="1"/>
  </conditionalFormatting>
  <conditionalFormatting sqref="F42:L42">
    <cfRule type="top10" dxfId="4" priority="1" rank="1"/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5" r:id="rId23" name="Scroll Bar 27">
              <controlPr defaultSize="0" autoPict="0">
                <anchor moveWithCells="1">
                  <from>
                    <xdr:col>5</xdr:col>
                    <xdr:colOff>0</xdr:colOff>
                    <xdr:row>28</xdr:row>
                    <xdr:rowOff>0</xdr:rowOff>
                  </from>
                  <to>
                    <xdr:col>6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24" name="Scroll Bar 30">
              <controlPr defaultSize="0" autoPict="0">
                <anchor moveWithCells="1">
                  <from>
                    <xdr:col>6</xdr:col>
                    <xdr:colOff>0</xdr:colOff>
                    <xdr:row>28</xdr:row>
                    <xdr:rowOff>0</xdr:rowOff>
                  </from>
                  <to>
                    <xdr:col>7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25" name="Scroll Bar 31">
              <controlPr defaultSize="0" autoPict="0">
                <anchor moveWithCells="1">
                  <from>
                    <xdr:col>7</xdr:col>
                    <xdr:colOff>0</xdr:colOff>
                    <xdr:row>28</xdr:row>
                    <xdr:rowOff>0</xdr:rowOff>
                  </from>
                  <to>
                    <xdr:col>8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26" name="Scroll Bar 32">
              <controlPr defaultSize="0" autoPict="0">
                <anchor moveWithCells="1">
                  <from>
                    <xdr:col>8</xdr:col>
                    <xdr:colOff>0</xdr:colOff>
                    <xdr:row>28</xdr:row>
                    <xdr:rowOff>0</xdr:rowOff>
                  </from>
                  <to>
                    <xdr:col>9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27" name="Scroll Bar 33">
              <controlPr defaultSize="0" autoPict="0">
                <anchor moveWithCells="1">
                  <from>
                    <xdr:col>9</xdr:col>
                    <xdr:colOff>0</xdr:colOff>
                    <xdr:row>28</xdr:row>
                    <xdr:rowOff>0</xdr:rowOff>
                  </from>
                  <to>
                    <xdr:col>10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28" name="Scroll Bar 34">
              <controlPr defaultSize="0" autoPict="0">
                <anchor moveWithCells="1">
                  <from>
                    <xdr:col>10</xdr:col>
                    <xdr:colOff>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3" r:id="rId29" name="Scroll Bar 35">
              <controlPr defaultSize="0" autoPict="0">
                <anchor moveWithCells="1">
                  <from>
                    <xdr:col>11</xdr:col>
                    <xdr:colOff>0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  <x14:conditionalFormatting xmlns:xm="http://schemas.microsoft.com/office/excel/2006/main">
          <x14:cfRule type="dataBar" id="{27CCB59D-9BB0-4F32-A344-436ADA2EB9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M33:M42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2:Y326"/>
  <sheetViews>
    <sheetView tabSelected="1" workbookViewId="0">
      <selection activeCell="G16" sqref="G16"/>
    </sheetView>
  </sheetViews>
  <sheetFormatPr defaultColWidth="11.28515625" defaultRowHeight="15" x14ac:dyDescent="0.25"/>
  <cols>
    <col min="1" max="1" width="24.42578125" customWidth="1"/>
    <col min="10" max="10" width="11.28515625" customWidth="1"/>
  </cols>
  <sheetData>
    <row r="2" spans="1:22" x14ac:dyDescent="0.25">
      <c r="B2" s="11" t="s">
        <v>233</v>
      </c>
      <c r="C2" s="11" t="s">
        <v>234</v>
      </c>
      <c r="D2" s="11" t="s">
        <v>235</v>
      </c>
      <c r="E2" s="11" t="s">
        <v>235</v>
      </c>
      <c r="F2" s="11"/>
      <c r="G2" s="11" t="s">
        <v>236</v>
      </c>
      <c r="H2" s="11" t="s">
        <v>233</v>
      </c>
      <c r="N2" s="14" t="s">
        <v>341</v>
      </c>
      <c r="P2" s="14"/>
      <c r="Q2" s="14"/>
      <c r="R2" s="14"/>
      <c r="S2" s="14"/>
      <c r="T2" s="14"/>
      <c r="U2" s="14"/>
    </row>
    <row r="3" spans="1:22" x14ac:dyDescent="0.25">
      <c r="A3" t="s">
        <v>213</v>
      </c>
      <c r="B3" t="s">
        <v>214</v>
      </c>
      <c r="C3" s="11" t="s">
        <v>215</v>
      </c>
      <c r="D3" s="11" t="s">
        <v>229</v>
      </c>
      <c r="E3" s="11" t="s">
        <v>230</v>
      </c>
      <c r="F3" s="11" t="s">
        <v>232</v>
      </c>
      <c r="G3" s="11" t="s">
        <v>231</v>
      </c>
      <c r="H3" t="s">
        <v>227</v>
      </c>
      <c r="I3" t="s">
        <v>228</v>
      </c>
      <c r="J3" s="11" t="s">
        <v>244</v>
      </c>
      <c r="K3" s="11" t="s">
        <v>371</v>
      </c>
      <c r="L3" t="s">
        <v>339</v>
      </c>
      <c r="N3" s="14" t="s">
        <v>215</v>
      </c>
      <c r="O3" s="14"/>
      <c r="P3" s="14" t="s">
        <v>229</v>
      </c>
      <c r="Q3" s="14"/>
      <c r="R3" s="14" t="s">
        <v>230</v>
      </c>
      <c r="S3" s="14"/>
      <c r="T3" s="14" t="s">
        <v>361</v>
      </c>
      <c r="U3" s="14"/>
      <c r="V3" s="14"/>
    </row>
    <row r="4" spans="1:22" x14ac:dyDescent="0.25">
      <c r="A4" t="s">
        <v>216</v>
      </c>
      <c r="B4">
        <v>1</v>
      </c>
      <c r="C4" s="11" t="s">
        <v>237</v>
      </c>
      <c r="D4" s="11" t="s">
        <v>236</v>
      </c>
      <c r="E4" s="11" t="s">
        <v>236</v>
      </c>
      <c r="F4" s="11">
        <v>0</v>
      </c>
      <c r="G4" s="11" t="s">
        <v>236</v>
      </c>
      <c r="H4">
        <v>1</v>
      </c>
      <c r="I4" s="11" t="s">
        <v>250</v>
      </c>
      <c r="J4" s="11" t="s">
        <v>237</v>
      </c>
      <c r="K4">
        <f>ROUND(L4/AVERAGE(T4:U4), 0)</f>
        <v>386</v>
      </c>
      <c r="L4" s="5">
        <f>AVERAGE(H23:H24)</f>
        <v>2705</v>
      </c>
      <c r="N4" s="14">
        <v>2</v>
      </c>
      <c r="O4" s="14">
        <v>3</v>
      </c>
      <c r="P4" s="14">
        <v>0</v>
      </c>
      <c r="Q4" s="14">
        <v>2</v>
      </c>
      <c r="R4" s="14">
        <v>0</v>
      </c>
      <c r="S4" s="14">
        <v>2</v>
      </c>
      <c r="T4" s="14">
        <v>4</v>
      </c>
      <c r="U4" s="14">
        <v>10</v>
      </c>
      <c r="V4" s="14">
        <f>AVERAGE(T4:U4)</f>
        <v>7</v>
      </c>
    </row>
    <row r="5" spans="1:22" x14ac:dyDescent="0.25">
      <c r="A5" t="s">
        <v>219</v>
      </c>
      <c r="B5">
        <v>1</v>
      </c>
      <c r="C5" s="11" t="s">
        <v>234</v>
      </c>
      <c r="D5" s="11" t="s">
        <v>235</v>
      </c>
      <c r="E5" s="11" t="s">
        <v>236</v>
      </c>
      <c r="F5" s="11">
        <v>0</v>
      </c>
      <c r="G5" s="11" t="s">
        <v>236</v>
      </c>
      <c r="H5">
        <v>1</v>
      </c>
      <c r="I5" s="11" t="s">
        <v>245</v>
      </c>
      <c r="J5" s="11" t="s">
        <v>237</v>
      </c>
      <c r="K5">
        <f t="shared" ref="K5:K11" si="0">ROUND(L5/AVERAGE(T5:U5), -1)</f>
        <v>400</v>
      </c>
      <c r="L5" s="5">
        <f>AVERAGE(H22:H24)</f>
        <v>2416.6666666666665</v>
      </c>
      <c r="N5" s="14">
        <v>1</v>
      </c>
      <c r="O5" s="14">
        <v>3</v>
      </c>
      <c r="P5" s="14">
        <v>0</v>
      </c>
      <c r="Q5" s="14">
        <v>3</v>
      </c>
      <c r="R5" s="14">
        <v>0</v>
      </c>
      <c r="S5" s="14">
        <v>2</v>
      </c>
      <c r="T5" s="14">
        <v>4</v>
      </c>
      <c r="U5" s="14">
        <v>8</v>
      </c>
      <c r="V5" s="14">
        <f t="shared" ref="V5:V11" si="1">AVERAGE(T5:U5)</f>
        <v>6</v>
      </c>
    </row>
    <row r="6" spans="1:22" x14ac:dyDescent="0.25">
      <c r="A6" t="s">
        <v>217</v>
      </c>
      <c r="B6">
        <v>2</v>
      </c>
      <c r="C6" s="11" t="s">
        <v>234</v>
      </c>
      <c r="D6" s="11" t="s">
        <v>235</v>
      </c>
      <c r="E6" s="11" t="s">
        <v>236</v>
      </c>
      <c r="F6" s="11" t="s">
        <v>242</v>
      </c>
      <c r="G6" s="11" t="s">
        <v>239</v>
      </c>
      <c r="H6">
        <v>2</v>
      </c>
      <c r="I6" s="11" t="s">
        <v>250</v>
      </c>
      <c r="J6" s="11" t="s">
        <v>246</v>
      </c>
      <c r="K6">
        <f t="shared" si="0"/>
        <v>490</v>
      </c>
      <c r="L6" s="5">
        <f>AVERAGE(I22:I24)</f>
        <v>3416.6666666666665</v>
      </c>
      <c r="N6" s="14">
        <v>1</v>
      </c>
      <c r="O6" s="14">
        <v>3</v>
      </c>
      <c r="P6" s="14">
        <v>0</v>
      </c>
      <c r="Q6" s="14">
        <v>3</v>
      </c>
      <c r="R6" s="14">
        <v>0</v>
      </c>
      <c r="S6" s="14">
        <v>2</v>
      </c>
      <c r="T6" s="14">
        <v>4</v>
      </c>
      <c r="U6" s="14">
        <v>10</v>
      </c>
      <c r="V6" s="14">
        <f t="shared" si="1"/>
        <v>7</v>
      </c>
    </row>
    <row r="7" spans="1:22" x14ac:dyDescent="0.25">
      <c r="A7" t="s">
        <v>221</v>
      </c>
      <c r="B7">
        <v>2</v>
      </c>
      <c r="C7" s="11" t="s">
        <v>234</v>
      </c>
      <c r="D7" s="11" t="s">
        <v>235</v>
      </c>
      <c r="E7" s="11" t="s">
        <v>236</v>
      </c>
      <c r="F7" s="11" t="s">
        <v>242</v>
      </c>
      <c r="G7" s="11" t="s">
        <v>239</v>
      </c>
      <c r="H7">
        <v>2</v>
      </c>
      <c r="I7" s="11" t="s">
        <v>248</v>
      </c>
      <c r="J7" s="11" t="s">
        <v>247</v>
      </c>
      <c r="K7">
        <f>ROUND(L7/AVERAGE(T7:U7), -1)</f>
        <v>490</v>
      </c>
      <c r="L7" s="5">
        <f>AVERAGE(I22:I24)</f>
        <v>3416.6666666666665</v>
      </c>
      <c r="N7" s="14">
        <v>1</v>
      </c>
      <c r="O7" s="14">
        <v>3</v>
      </c>
      <c r="P7" s="14">
        <v>0</v>
      </c>
      <c r="Q7" s="14">
        <v>3</v>
      </c>
      <c r="R7" s="14">
        <v>0</v>
      </c>
      <c r="S7" s="14">
        <v>2</v>
      </c>
      <c r="T7" s="14">
        <v>6</v>
      </c>
      <c r="U7" s="14">
        <v>8</v>
      </c>
      <c r="V7" s="14">
        <f t="shared" si="1"/>
        <v>7</v>
      </c>
    </row>
    <row r="8" spans="1:22" x14ac:dyDescent="0.25">
      <c r="A8" t="s">
        <v>221</v>
      </c>
      <c r="B8">
        <v>3</v>
      </c>
      <c r="C8" s="11" t="s">
        <v>234</v>
      </c>
      <c r="D8" s="11" t="s">
        <v>235</v>
      </c>
      <c r="E8" s="11" t="s">
        <v>236</v>
      </c>
      <c r="F8" s="11" t="s">
        <v>242</v>
      </c>
      <c r="G8" s="11" t="s">
        <v>239</v>
      </c>
      <c r="H8">
        <v>3</v>
      </c>
      <c r="I8" s="11" t="s">
        <v>372</v>
      </c>
      <c r="J8" s="11" t="s">
        <v>247</v>
      </c>
      <c r="K8">
        <f t="shared" si="0"/>
        <v>610</v>
      </c>
      <c r="L8" s="5">
        <f>AVERAGE(J22:J24)</f>
        <v>4916.666666666667</v>
      </c>
      <c r="N8" s="14">
        <v>1</v>
      </c>
      <c r="O8" s="14">
        <v>3</v>
      </c>
      <c r="P8" s="14">
        <v>0</v>
      </c>
      <c r="Q8" s="14">
        <v>3</v>
      </c>
      <c r="R8" s="14">
        <v>0</v>
      </c>
      <c r="S8" s="14">
        <v>2</v>
      </c>
      <c r="T8" s="14">
        <v>6</v>
      </c>
      <c r="U8" s="14">
        <v>10</v>
      </c>
      <c r="V8" s="14">
        <f t="shared" si="1"/>
        <v>8</v>
      </c>
    </row>
    <row r="9" spans="1:22" x14ac:dyDescent="0.25">
      <c r="A9" t="s">
        <v>218</v>
      </c>
      <c r="B9">
        <v>3</v>
      </c>
      <c r="C9" s="11" t="s">
        <v>237</v>
      </c>
      <c r="D9" s="11" t="s">
        <v>235</v>
      </c>
      <c r="E9" s="11" t="s">
        <v>235</v>
      </c>
      <c r="F9" s="11" t="s">
        <v>242</v>
      </c>
      <c r="G9" s="11" t="s">
        <v>239</v>
      </c>
      <c r="H9">
        <v>3</v>
      </c>
      <c r="I9" s="11" t="s">
        <v>252</v>
      </c>
      <c r="J9" s="11" t="s">
        <v>248</v>
      </c>
      <c r="K9">
        <f t="shared" si="0"/>
        <v>580</v>
      </c>
      <c r="L9" s="5">
        <f>AVERAGE(J23:J24)</f>
        <v>5205</v>
      </c>
      <c r="N9" s="14">
        <v>2</v>
      </c>
      <c r="O9" s="14">
        <v>3</v>
      </c>
      <c r="P9" s="14">
        <v>0</v>
      </c>
      <c r="Q9" s="14">
        <v>3</v>
      </c>
      <c r="R9" s="14">
        <v>0</v>
      </c>
      <c r="S9" s="14">
        <v>3</v>
      </c>
      <c r="T9" s="14">
        <v>6</v>
      </c>
      <c r="U9" s="14">
        <v>12</v>
      </c>
      <c r="V9" s="14">
        <f t="shared" si="1"/>
        <v>9</v>
      </c>
    </row>
    <row r="10" spans="1:22" x14ac:dyDescent="0.25">
      <c r="A10" t="s">
        <v>222</v>
      </c>
      <c r="B10">
        <v>4</v>
      </c>
      <c r="C10" s="11" t="s">
        <v>237</v>
      </c>
      <c r="D10" s="11" t="s">
        <v>238</v>
      </c>
      <c r="E10" s="11" t="s">
        <v>240</v>
      </c>
      <c r="F10" s="11" t="s">
        <v>238</v>
      </c>
      <c r="G10" s="11" t="s">
        <v>243</v>
      </c>
      <c r="H10">
        <v>4</v>
      </c>
      <c r="I10" s="11" t="s">
        <v>251</v>
      </c>
      <c r="J10" s="11" t="s">
        <v>249</v>
      </c>
      <c r="K10">
        <f t="shared" si="0"/>
        <v>610</v>
      </c>
      <c r="L10" s="5">
        <f>AVERAGE(K23:K24)</f>
        <v>6705</v>
      </c>
      <c r="N10" s="14">
        <v>2</v>
      </c>
      <c r="O10" s="14">
        <v>3</v>
      </c>
      <c r="P10" s="14">
        <v>0</v>
      </c>
      <c r="Q10" s="14">
        <v>0</v>
      </c>
      <c r="R10" s="14">
        <v>3</v>
      </c>
      <c r="S10" s="14">
        <v>3</v>
      </c>
      <c r="T10" s="14">
        <v>8</v>
      </c>
      <c r="U10" s="14">
        <v>14</v>
      </c>
      <c r="V10" s="14">
        <f t="shared" si="1"/>
        <v>11</v>
      </c>
    </row>
    <row r="11" spans="1:22" x14ac:dyDescent="0.25">
      <c r="A11" t="s">
        <v>220</v>
      </c>
      <c r="B11">
        <v>4</v>
      </c>
      <c r="C11" s="11" t="s">
        <v>237</v>
      </c>
      <c r="D11" s="11" t="s">
        <v>237</v>
      </c>
      <c r="E11" s="11" t="s">
        <v>241</v>
      </c>
      <c r="F11" s="11" t="s">
        <v>242</v>
      </c>
      <c r="G11" s="11" t="s">
        <v>236</v>
      </c>
      <c r="H11">
        <v>4</v>
      </c>
      <c r="I11" s="11" t="s">
        <v>251</v>
      </c>
      <c r="J11" s="11" t="s">
        <v>249</v>
      </c>
      <c r="K11">
        <f t="shared" si="0"/>
        <v>610</v>
      </c>
      <c r="L11" s="5">
        <f>AVERAGE(K23:K24)</f>
        <v>6705</v>
      </c>
      <c r="N11" s="14">
        <v>2</v>
      </c>
      <c r="O11" s="14">
        <v>3</v>
      </c>
      <c r="P11" s="14">
        <v>2</v>
      </c>
      <c r="Q11" s="14">
        <v>3</v>
      </c>
      <c r="R11" s="14">
        <v>0</v>
      </c>
      <c r="S11" s="14">
        <v>1</v>
      </c>
      <c r="T11" s="14">
        <v>8</v>
      </c>
      <c r="U11" s="14">
        <v>14</v>
      </c>
      <c r="V11" s="14">
        <f t="shared" si="1"/>
        <v>11</v>
      </c>
    </row>
    <row r="12" spans="1:22" x14ac:dyDescent="0.25">
      <c r="A12" t="s">
        <v>131</v>
      </c>
      <c r="I12" s="13">
        <f>AVERAGE(V4:V11)</f>
        <v>8.25</v>
      </c>
      <c r="K12" t="s">
        <v>131</v>
      </c>
      <c r="L12" s="12">
        <f>AVERAGE(L4:L11)</f>
        <v>4435.833333333333</v>
      </c>
      <c r="N12" s="14"/>
      <c r="O12" s="14"/>
      <c r="P12" s="14"/>
      <c r="Q12" s="14"/>
      <c r="R12" s="14"/>
      <c r="S12" s="14"/>
      <c r="T12" s="14"/>
      <c r="U12" s="14"/>
    </row>
    <row r="13" spans="1:22" x14ac:dyDescent="0.25">
      <c r="F13" s="10"/>
      <c r="N13" s="14"/>
      <c r="O13" s="14"/>
      <c r="P13" s="14"/>
      <c r="Q13" s="14"/>
      <c r="R13" s="14"/>
      <c r="S13" s="14"/>
      <c r="T13" s="14"/>
      <c r="U13" s="14"/>
    </row>
    <row r="14" spans="1:22" x14ac:dyDescent="0.25">
      <c r="B14" t="s">
        <v>131</v>
      </c>
      <c r="C14" s="11" t="s">
        <v>358</v>
      </c>
      <c r="D14" s="11" t="s">
        <v>359</v>
      </c>
      <c r="K14" t="s">
        <v>367</v>
      </c>
      <c r="L14" s="5">
        <f>AVERAGE(L4:L5)</f>
        <v>2560.833333333333</v>
      </c>
      <c r="N14" s="14"/>
      <c r="O14" s="14"/>
      <c r="P14" s="14"/>
      <c r="Q14" s="14"/>
      <c r="R14" s="14"/>
      <c r="S14" s="14"/>
      <c r="T14" s="14"/>
      <c r="U14" s="14"/>
    </row>
    <row r="15" spans="1:22" x14ac:dyDescent="0.25">
      <c r="A15" t="s">
        <v>200</v>
      </c>
      <c r="B15" s="5">
        <f>AVERAGE(C15:D15)</f>
        <v>1000</v>
      </c>
      <c r="C15">
        <v>800</v>
      </c>
      <c r="D15">
        <v>1200</v>
      </c>
      <c r="K15" t="s">
        <v>368</v>
      </c>
      <c r="L15" s="5">
        <f>AVERAGE(L6:L7)</f>
        <v>3416.6666666666665</v>
      </c>
    </row>
    <row r="16" spans="1:22" x14ac:dyDescent="0.25">
      <c r="A16" t="s">
        <v>201</v>
      </c>
      <c r="B16" s="5">
        <f t="shared" ref="B16:B18" si="2">AVERAGE(C16:D16)</f>
        <v>2000</v>
      </c>
      <c r="C16">
        <v>1800</v>
      </c>
      <c r="D16">
        <v>2200</v>
      </c>
      <c r="K16" t="s">
        <v>369</v>
      </c>
      <c r="L16" s="5">
        <f>AVERAGE(L8:L9)</f>
        <v>5060.8333333333339</v>
      </c>
    </row>
    <row r="17" spans="1:24" x14ac:dyDescent="0.25">
      <c r="A17" t="s">
        <v>202</v>
      </c>
      <c r="B17" s="5">
        <f t="shared" si="2"/>
        <v>3500</v>
      </c>
      <c r="C17">
        <v>3000</v>
      </c>
      <c r="D17">
        <v>4000</v>
      </c>
      <c r="K17" t="s">
        <v>370</v>
      </c>
      <c r="L17" s="5">
        <f>AVERAGE(L4:L6, L9:L11)</f>
        <v>4525.5555555555557</v>
      </c>
    </row>
    <row r="18" spans="1:24" x14ac:dyDescent="0.25">
      <c r="A18" t="s">
        <v>225</v>
      </c>
      <c r="B18" s="5">
        <f t="shared" si="2"/>
        <v>5000</v>
      </c>
      <c r="C18">
        <v>4500</v>
      </c>
      <c r="D18">
        <v>5500</v>
      </c>
      <c r="Q18" t="s">
        <v>379</v>
      </c>
      <c r="R18" t="s">
        <v>381</v>
      </c>
      <c r="S18" t="s">
        <v>383</v>
      </c>
      <c r="V18" t="s">
        <v>131</v>
      </c>
      <c r="W18" t="s">
        <v>131</v>
      </c>
      <c r="X18" t="s">
        <v>389</v>
      </c>
    </row>
    <row r="19" spans="1:24" x14ac:dyDescent="0.25">
      <c r="Q19">
        <f>ROUND(AVERAGE(Q21:Q44), -1)</f>
        <v>5320</v>
      </c>
      <c r="R19">
        <f>ROUND(AVERAGE(R21:R44), 2)</f>
        <v>7.97</v>
      </c>
      <c r="S19">
        <f>ROUND(AVERAGE(S21:S44), -1)</f>
        <v>700</v>
      </c>
      <c r="V19">
        <f>ROUND(AVERAGE(V21:V44), -1)</f>
        <v>7030</v>
      </c>
      <c r="W19">
        <f>ROUND(AVERAGE(W21:W44), 1)</f>
        <v>9.3000000000000007</v>
      </c>
      <c r="X19">
        <f>ROUND(V19/W19, -1)</f>
        <v>760</v>
      </c>
    </row>
    <row r="20" spans="1:24" x14ac:dyDescent="0.25">
      <c r="A20" t="s">
        <v>203</v>
      </c>
      <c r="B20" s="5">
        <f>LOOT!J21</f>
        <v>840</v>
      </c>
      <c r="H20" t="s">
        <v>208</v>
      </c>
      <c r="P20" t="s">
        <v>387</v>
      </c>
      <c r="Q20" t="s">
        <v>378</v>
      </c>
      <c r="R20" s="11" t="s">
        <v>381</v>
      </c>
      <c r="S20" t="s">
        <v>382</v>
      </c>
      <c r="T20" t="s">
        <v>380</v>
      </c>
      <c r="V20" t="s">
        <v>388</v>
      </c>
    </row>
    <row r="21" spans="1:24" x14ac:dyDescent="0.25">
      <c r="A21" t="s">
        <v>204</v>
      </c>
      <c r="B21" s="5">
        <f>LOOT!J22</f>
        <v>1270</v>
      </c>
      <c r="G21" s="7"/>
      <c r="H21" s="8" t="s">
        <v>210</v>
      </c>
      <c r="I21" s="8" t="s">
        <v>211</v>
      </c>
      <c r="J21" s="8" t="s">
        <v>212</v>
      </c>
      <c r="K21" s="9" t="s">
        <v>226</v>
      </c>
      <c r="P21">
        <v>1</v>
      </c>
      <c r="Q21">
        <v>5060</v>
      </c>
      <c r="R21">
        <v>7.75</v>
      </c>
      <c r="S21">
        <v>750</v>
      </c>
      <c r="T21">
        <f t="shared" ref="T21:T44" si="3">Q$19-Q21</f>
        <v>260</v>
      </c>
      <c r="U21">
        <f t="shared" ref="U21:U44" si="4">S$19-S21</f>
        <v>-50</v>
      </c>
      <c r="V21">
        <v>7360</v>
      </c>
      <c r="W21">
        <v>10</v>
      </c>
    </row>
    <row r="22" spans="1:24" x14ac:dyDescent="0.25">
      <c r="A22" t="s">
        <v>205</v>
      </c>
      <c r="B22" s="5">
        <f>LOOT!J23</f>
        <v>2140</v>
      </c>
      <c r="F22" t="s">
        <v>209</v>
      </c>
      <c r="G22" s="6" t="s">
        <v>210</v>
      </c>
      <c r="H22" s="5">
        <f>B15+B20</f>
        <v>1840</v>
      </c>
      <c r="I22" s="5">
        <f>B16+B20</f>
        <v>2840</v>
      </c>
      <c r="J22" s="5">
        <f>B17+B20</f>
        <v>4340</v>
      </c>
      <c r="K22" s="5">
        <f>B18+B20</f>
        <v>5840</v>
      </c>
      <c r="P22">
        <v>2</v>
      </c>
      <c r="Q22">
        <v>3500</v>
      </c>
      <c r="R22">
        <v>7.5</v>
      </c>
      <c r="S22">
        <v>490</v>
      </c>
      <c r="T22">
        <f t="shared" si="3"/>
        <v>1820</v>
      </c>
      <c r="U22">
        <f t="shared" si="4"/>
        <v>210</v>
      </c>
      <c r="V22">
        <v>7260</v>
      </c>
      <c r="W22">
        <v>10</v>
      </c>
    </row>
    <row r="23" spans="1:24" x14ac:dyDescent="0.25">
      <c r="G23" s="6" t="s">
        <v>211</v>
      </c>
      <c r="H23" s="5">
        <f>B15+B21</f>
        <v>2270</v>
      </c>
      <c r="I23" s="5">
        <f>B16+B21</f>
        <v>3270</v>
      </c>
      <c r="J23" s="5">
        <f>B17+B21</f>
        <v>4770</v>
      </c>
      <c r="K23" s="5">
        <f>B18+B21</f>
        <v>6270</v>
      </c>
      <c r="P23">
        <v>3</v>
      </c>
      <c r="Q23" s="4">
        <v>5870</v>
      </c>
      <c r="R23">
        <v>9.5</v>
      </c>
      <c r="S23" s="4">
        <v>610</v>
      </c>
      <c r="T23">
        <f t="shared" si="3"/>
        <v>-550</v>
      </c>
      <c r="U23">
        <f t="shared" si="4"/>
        <v>90</v>
      </c>
      <c r="V23">
        <v>5890</v>
      </c>
      <c r="W23">
        <v>6</v>
      </c>
    </row>
    <row r="24" spans="1:24" x14ac:dyDescent="0.25">
      <c r="A24" t="s">
        <v>206</v>
      </c>
      <c r="B24" s="5">
        <v>500</v>
      </c>
      <c r="G24" s="6" t="s">
        <v>212</v>
      </c>
      <c r="H24" s="5">
        <f>B15+B22</f>
        <v>3140</v>
      </c>
      <c r="I24" s="5">
        <f>B16+B22</f>
        <v>4140</v>
      </c>
      <c r="J24" s="5">
        <f>B17+B22</f>
        <v>5640</v>
      </c>
      <c r="K24" s="5">
        <f>B18+B22</f>
        <v>7140</v>
      </c>
      <c r="P24">
        <v>4</v>
      </c>
      <c r="Q24" s="4">
        <v>5390</v>
      </c>
      <c r="R24">
        <v>5.75</v>
      </c>
      <c r="S24" s="4">
        <v>1080</v>
      </c>
      <c r="T24">
        <f t="shared" si="3"/>
        <v>-70</v>
      </c>
      <c r="U24">
        <f t="shared" si="4"/>
        <v>-380</v>
      </c>
      <c r="V24">
        <v>5960</v>
      </c>
      <c r="W24">
        <v>4</v>
      </c>
    </row>
    <row r="25" spans="1:24" x14ac:dyDescent="0.25">
      <c r="A25" t="s">
        <v>207</v>
      </c>
      <c r="B25" s="5">
        <v>500</v>
      </c>
      <c r="D25" s="13"/>
      <c r="P25">
        <v>5</v>
      </c>
      <c r="Q25" s="4">
        <v>4610</v>
      </c>
      <c r="R25">
        <v>9</v>
      </c>
      <c r="S25" s="4">
        <v>540</v>
      </c>
      <c r="T25">
        <f t="shared" si="3"/>
        <v>710</v>
      </c>
      <c r="U25">
        <f t="shared" si="4"/>
        <v>160</v>
      </c>
      <c r="V25">
        <v>7360</v>
      </c>
      <c r="W25">
        <v>10</v>
      </c>
    </row>
    <row r="26" spans="1:24" x14ac:dyDescent="0.25">
      <c r="D26" s="13"/>
      <c r="E26" s="13"/>
      <c r="P26">
        <v>6</v>
      </c>
      <c r="Q26" s="4">
        <v>6440</v>
      </c>
      <c r="R26">
        <v>8.75</v>
      </c>
      <c r="S26" s="4">
        <v>750</v>
      </c>
      <c r="T26">
        <f t="shared" si="3"/>
        <v>-1120</v>
      </c>
      <c r="U26">
        <f t="shared" si="4"/>
        <v>-50</v>
      </c>
      <c r="V26">
        <v>8060</v>
      </c>
      <c r="W26">
        <v>8</v>
      </c>
    </row>
    <row r="27" spans="1:24" x14ac:dyDescent="0.25">
      <c r="A27" t="s">
        <v>342</v>
      </c>
      <c r="B27">
        <f>ROUND(30/R19, 1)</f>
        <v>3.8</v>
      </c>
      <c r="D27" s="13"/>
      <c r="E27" s="13"/>
      <c r="J27" s="11"/>
      <c r="P27">
        <v>7</v>
      </c>
      <c r="Q27" s="4">
        <v>5260</v>
      </c>
      <c r="R27">
        <v>7</v>
      </c>
      <c r="S27" s="4">
        <v>790</v>
      </c>
      <c r="T27">
        <f t="shared" si="3"/>
        <v>60</v>
      </c>
      <c r="U27">
        <f t="shared" si="4"/>
        <v>-90</v>
      </c>
      <c r="V27">
        <v>8060</v>
      </c>
      <c r="W27">
        <v>12</v>
      </c>
    </row>
    <row r="28" spans="1:24" x14ac:dyDescent="0.25">
      <c r="A28" t="s">
        <v>351</v>
      </c>
      <c r="B28">
        <f>ROUND(B27*Q19, -2)</f>
        <v>20200</v>
      </c>
      <c r="D28" s="13"/>
      <c r="E28" s="13"/>
      <c r="J28" s="11"/>
      <c r="P28">
        <v>8</v>
      </c>
      <c r="Q28" s="4">
        <v>4910</v>
      </c>
      <c r="R28">
        <v>6</v>
      </c>
      <c r="S28" s="4">
        <v>820</v>
      </c>
      <c r="T28">
        <f t="shared" si="3"/>
        <v>410</v>
      </c>
      <c r="U28">
        <f t="shared" si="4"/>
        <v>-120</v>
      </c>
      <c r="V28">
        <v>9260</v>
      </c>
      <c r="W28">
        <v>11</v>
      </c>
    </row>
    <row r="29" spans="1:24" x14ac:dyDescent="0.25">
      <c r="D29" s="13"/>
      <c r="E29" s="13"/>
      <c r="J29" s="11"/>
      <c r="P29">
        <v>9</v>
      </c>
      <c r="Q29" s="4">
        <v>4320</v>
      </c>
      <c r="R29">
        <v>7.75</v>
      </c>
      <c r="S29" s="4">
        <v>590</v>
      </c>
      <c r="T29">
        <f t="shared" si="3"/>
        <v>1000</v>
      </c>
      <c r="U29">
        <f t="shared" si="4"/>
        <v>110</v>
      </c>
      <c r="V29">
        <v>5390</v>
      </c>
      <c r="W29">
        <v>9</v>
      </c>
    </row>
    <row r="30" spans="1:24" x14ac:dyDescent="0.25">
      <c r="A30" t="s">
        <v>213</v>
      </c>
      <c r="B30" t="s">
        <v>360</v>
      </c>
      <c r="C30" t="s">
        <v>214</v>
      </c>
      <c r="D30" t="s">
        <v>373</v>
      </c>
      <c r="E30" s="11" t="s">
        <v>215</v>
      </c>
      <c r="F30" s="11" t="s">
        <v>229</v>
      </c>
      <c r="G30" s="11" t="s">
        <v>230</v>
      </c>
      <c r="H30" t="s">
        <v>228</v>
      </c>
      <c r="I30" s="11" t="s">
        <v>374</v>
      </c>
      <c r="K30" s="16" t="s">
        <v>376</v>
      </c>
      <c r="L30" s="14" t="s">
        <v>377</v>
      </c>
      <c r="M30" s="16" t="s">
        <v>375</v>
      </c>
      <c r="N30" s="16"/>
      <c r="O30" s="11"/>
      <c r="P30">
        <v>10</v>
      </c>
      <c r="Q30" s="4">
        <v>4930</v>
      </c>
      <c r="R30">
        <v>6.5</v>
      </c>
      <c r="S30" s="4">
        <v>830</v>
      </c>
      <c r="T30">
        <f t="shared" si="3"/>
        <v>390</v>
      </c>
      <c r="U30">
        <f t="shared" si="4"/>
        <v>-130</v>
      </c>
      <c r="V30">
        <v>6160</v>
      </c>
      <c r="W30">
        <v>6</v>
      </c>
    </row>
    <row r="31" spans="1:24" x14ac:dyDescent="0.25">
      <c r="A31" t="s">
        <v>216</v>
      </c>
      <c r="B31" s="5">
        <f ca="1">SUM(C31,E31)</f>
        <v>3140</v>
      </c>
      <c r="C31" s="13">
        <f ca="1">ROUND(RANDBETWEEN(C15,D15), -2)</f>
        <v>1000</v>
      </c>
      <c r="D31">
        <f t="shared" ref="D31:D38" ca="1" si="5">RANDBETWEEN(N4,O4)</f>
        <v>3</v>
      </c>
      <c r="E31" s="5">
        <f ca="1">IF(D31=1,$B$20,IF(D31=2,$B$21,$B$22))</f>
        <v>2140</v>
      </c>
      <c r="F31" s="13">
        <f t="shared" ref="F31:F38" ca="1" si="6">RANDBETWEEN(P4,Q4)</f>
        <v>1</v>
      </c>
      <c r="G31" s="13">
        <f t="shared" ref="G31:G38" ca="1" si="7">RANDBETWEEN(R4,S4)</f>
        <v>1</v>
      </c>
      <c r="H31" s="13">
        <f t="shared" ref="H31:H38" ca="1" si="8">RANDBETWEEN(T4,U4)</f>
        <v>6</v>
      </c>
      <c r="I31" s="13">
        <f ca="1">ROUND(B31/H31, 0)</f>
        <v>523</v>
      </c>
      <c r="J31" s="13"/>
      <c r="K31" s="17">
        <f ca="1">RAND()</f>
        <v>0.90632348089610171</v>
      </c>
      <c r="L31" s="18">
        <f ca="1">RAND()</f>
        <v>0.60615564457574478</v>
      </c>
      <c r="M31" s="18">
        <f ca="1">MAX(K31:K32)</f>
        <v>0.90632348089610171</v>
      </c>
      <c r="O31" s="13"/>
      <c r="P31">
        <v>11</v>
      </c>
      <c r="Q31" s="4">
        <v>5670</v>
      </c>
      <c r="R31">
        <v>7.5</v>
      </c>
      <c r="S31" s="4">
        <v>750</v>
      </c>
      <c r="T31">
        <f t="shared" si="3"/>
        <v>-350</v>
      </c>
      <c r="U31">
        <f t="shared" si="4"/>
        <v>-50</v>
      </c>
      <c r="V31">
        <v>5090</v>
      </c>
      <c r="W31">
        <v>12</v>
      </c>
    </row>
    <row r="32" spans="1:24" x14ac:dyDescent="0.25">
      <c r="A32" t="s">
        <v>219</v>
      </c>
      <c r="B32" s="5">
        <f t="shared" ref="B32:B37" ca="1" si="9">SUM(C32,E32)</f>
        <v>2170</v>
      </c>
      <c r="C32" s="13">
        <f ca="1">ROUND(RANDBETWEEN(C15,D15), -2)</f>
        <v>900</v>
      </c>
      <c r="D32">
        <f t="shared" ca="1" si="5"/>
        <v>2</v>
      </c>
      <c r="E32" s="5">
        <f t="shared" ref="E32:E38" ca="1" si="10">IF(D32=1,$B$20,IF(D32=2,$B$21,$B$22))</f>
        <v>1270</v>
      </c>
      <c r="F32" s="13">
        <f t="shared" ca="1" si="6"/>
        <v>1</v>
      </c>
      <c r="G32" s="13">
        <f t="shared" ca="1" si="7"/>
        <v>1</v>
      </c>
      <c r="H32" s="13">
        <f t="shared" ca="1" si="8"/>
        <v>4</v>
      </c>
      <c r="I32" s="13">
        <f t="shared" ref="I32:I38" ca="1" si="11">ROUND(B32/H32, 0)</f>
        <v>543</v>
      </c>
      <c r="J32" s="13"/>
      <c r="K32" s="17">
        <f t="shared" ref="K32:L38" ca="1" si="12">RAND()</f>
        <v>0.14864122031929394</v>
      </c>
      <c r="L32" s="18">
        <f t="shared" ca="1" si="12"/>
        <v>0.78174275913042368</v>
      </c>
      <c r="M32" s="18"/>
      <c r="N32" s="18"/>
      <c r="O32" s="13"/>
      <c r="P32">
        <v>12</v>
      </c>
      <c r="Q32" s="4">
        <v>4680</v>
      </c>
      <c r="R32">
        <v>7.75</v>
      </c>
      <c r="S32" s="4">
        <v>590</v>
      </c>
      <c r="T32">
        <f t="shared" si="3"/>
        <v>640</v>
      </c>
      <c r="U32">
        <f t="shared" si="4"/>
        <v>110</v>
      </c>
      <c r="V32">
        <v>5690</v>
      </c>
      <c r="W32">
        <v>10</v>
      </c>
    </row>
    <row r="33" spans="1:23" x14ac:dyDescent="0.25">
      <c r="A33" t="s">
        <v>217</v>
      </c>
      <c r="B33" s="5">
        <f t="shared" ca="1" si="9"/>
        <v>2740</v>
      </c>
      <c r="C33" s="13">
        <f ca="1">ROUND(RANDBETWEEN(C16,D16), -2)</f>
        <v>1900</v>
      </c>
      <c r="D33">
        <f t="shared" ca="1" si="5"/>
        <v>1</v>
      </c>
      <c r="E33" s="5">
        <f t="shared" ca="1" si="10"/>
        <v>840</v>
      </c>
      <c r="F33" s="13">
        <f t="shared" ca="1" si="6"/>
        <v>0</v>
      </c>
      <c r="G33" s="13">
        <f t="shared" ca="1" si="7"/>
        <v>2</v>
      </c>
      <c r="H33" s="13">
        <f t="shared" ca="1" si="8"/>
        <v>6</v>
      </c>
      <c r="I33" s="13">
        <f t="shared" ca="1" si="11"/>
        <v>457</v>
      </c>
      <c r="J33" s="13"/>
      <c r="K33" s="17">
        <f t="shared" ca="1" si="12"/>
        <v>0.44624265705815891</v>
      </c>
      <c r="L33" s="18">
        <f t="shared" ca="1" si="12"/>
        <v>0.58818028903737019</v>
      </c>
      <c r="M33" s="18">
        <f ca="1">MAX(K33:K34)</f>
        <v>0.44624265705815891</v>
      </c>
      <c r="N33" s="18"/>
      <c r="O33" s="13"/>
      <c r="P33">
        <v>13</v>
      </c>
      <c r="Q33" s="4">
        <v>5930</v>
      </c>
      <c r="R33">
        <v>9.75</v>
      </c>
      <c r="S33" s="4">
        <v>630</v>
      </c>
      <c r="T33">
        <f t="shared" si="3"/>
        <v>-610</v>
      </c>
      <c r="U33">
        <f t="shared" si="4"/>
        <v>70</v>
      </c>
      <c r="V33">
        <v>7390</v>
      </c>
      <c r="W33">
        <v>14</v>
      </c>
    </row>
    <row r="34" spans="1:23" x14ac:dyDescent="0.25">
      <c r="A34" t="s">
        <v>221</v>
      </c>
      <c r="B34" s="5">
        <f t="shared" ca="1" si="9"/>
        <v>2940</v>
      </c>
      <c r="C34" s="13">
        <f ca="1">ROUND(RANDBETWEEN(C16,D16), -2)</f>
        <v>2100</v>
      </c>
      <c r="D34">
        <f t="shared" ca="1" si="5"/>
        <v>1</v>
      </c>
      <c r="E34" s="5">
        <f t="shared" ca="1" si="10"/>
        <v>840</v>
      </c>
      <c r="F34" s="13">
        <f t="shared" ca="1" si="6"/>
        <v>2</v>
      </c>
      <c r="G34" s="13">
        <f t="shared" ca="1" si="7"/>
        <v>0</v>
      </c>
      <c r="H34" s="13">
        <f t="shared" ca="1" si="8"/>
        <v>6</v>
      </c>
      <c r="I34" s="13">
        <f t="shared" ca="1" si="11"/>
        <v>490</v>
      </c>
      <c r="J34" s="13"/>
      <c r="K34" s="17">
        <f t="shared" ca="1" si="12"/>
        <v>0.2310269652443806</v>
      </c>
      <c r="L34" s="18"/>
      <c r="M34" s="18"/>
      <c r="N34" s="18"/>
      <c r="O34" s="13"/>
      <c r="P34">
        <v>14</v>
      </c>
      <c r="Q34" s="4">
        <v>5150</v>
      </c>
      <c r="R34">
        <v>8.75</v>
      </c>
      <c r="S34" s="4">
        <v>570</v>
      </c>
      <c r="T34">
        <f t="shared" si="3"/>
        <v>170</v>
      </c>
      <c r="U34">
        <f t="shared" si="4"/>
        <v>130</v>
      </c>
      <c r="V34">
        <v>7860</v>
      </c>
      <c r="W34">
        <v>7</v>
      </c>
    </row>
    <row r="35" spans="1:23" x14ac:dyDescent="0.25">
      <c r="A35" t="s">
        <v>221</v>
      </c>
      <c r="B35" s="5">
        <f t="shared" ca="1" si="9"/>
        <v>4570</v>
      </c>
      <c r="C35" s="13">
        <f ca="1">ROUND(RANDBETWEEN(C17,D17), -2)</f>
        <v>3300</v>
      </c>
      <c r="D35">
        <f t="shared" ca="1" si="5"/>
        <v>2</v>
      </c>
      <c r="E35" s="5">
        <f t="shared" ca="1" si="10"/>
        <v>1270</v>
      </c>
      <c r="F35" s="13">
        <f t="shared" ca="1" si="6"/>
        <v>1</v>
      </c>
      <c r="G35" s="13">
        <f t="shared" ca="1" si="7"/>
        <v>1</v>
      </c>
      <c r="H35" s="13">
        <f t="shared" ca="1" si="8"/>
        <v>8</v>
      </c>
      <c r="I35" s="13">
        <f t="shared" ca="1" si="11"/>
        <v>571</v>
      </c>
      <c r="J35" s="13"/>
      <c r="K35" s="17">
        <f t="shared" ca="1" si="12"/>
        <v>0.39890160679379805</v>
      </c>
      <c r="L35" s="18"/>
      <c r="M35" s="18">
        <f ca="1">MAX(K35:K36)</f>
        <v>0.39890160679379805</v>
      </c>
      <c r="N35" s="18"/>
      <c r="O35" s="13"/>
      <c r="P35">
        <v>15</v>
      </c>
      <c r="Q35" s="4">
        <v>6520</v>
      </c>
      <c r="R35">
        <v>9.25</v>
      </c>
      <c r="S35" s="4">
        <v>720</v>
      </c>
      <c r="T35">
        <f t="shared" si="3"/>
        <v>-1200</v>
      </c>
      <c r="U35">
        <f t="shared" si="4"/>
        <v>-20</v>
      </c>
      <c r="V35">
        <v>7860</v>
      </c>
      <c r="W35">
        <v>8</v>
      </c>
    </row>
    <row r="36" spans="1:23" x14ac:dyDescent="0.25">
      <c r="A36" t="s">
        <v>218</v>
      </c>
      <c r="B36" s="5">
        <f ca="1">SUM(C36,E36)</f>
        <v>5840</v>
      </c>
      <c r="C36" s="13">
        <f ca="1">ROUND(RANDBETWEEN(C17,D17), -2)</f>
        <v>3700</v>
      </c>
      <c r="D36">
        <f t="shared" ca="1" si="5"/>
        <v>3</v>
      </c>
      <c r="E36" s="5">
        <f t="shared" ca="1" si="10"/>
        <v>2140</v>
      </c>
      <c r="F36" s="13">
        <f t="shared" ca="1" si="6"/>
        <v>0</v>
      </c>
      <c r="G36" s="13">
        <f t="shared" ca="1" si="7"/>
        <v>0</v>
      </c>
      <c r="H36" s="13">
        <f t="shared" ca="1" si="8"/>
        <v>8</v>
      </c>
      <c r="I36" s="13">
        <f t="shared" ca="1" si="11"/>
        <v>730</v>
      </c>
      <c r="J36" s="13"/>
      <c r="K36" s="17">
        <f t="shared" ca="1" si="12"/>
        <v>9.6853877256841692E-4</v>
      </c>
      <c r="L36" s="18">
        <f t="shared" ca="1" si="12"/>
        <v>0.26948075379421776</v>
      </c>
      <c r="M36" s="18"/>
      <c r="N36" s="18"/>
      <c r="O36" s="13"/>
      <c r="P36">
        <v>16</v>
      </c>
      <c r="Q36" s="4">
        <v>6370</v>
      </c>
      <c r="R36">
        <v>7.5</v>
      </c>
      <c r="S36" s="4">
        <v>870</v>
      </c>
      <c r="T36">
        <f t="shared" si="3"/>
        <v>-1050</v>
      </c>
      <c r="U36">
        <f t="shared" si="4"/>
        <v>-170</v>
      </c>
      <c r="V36">
        <v>4960</v>
      </c>
      <c r="W36">
        <v>6</v>
      </c>
    </row>
    <row r="37" spans="1:23" x14ac:dyDescent="0.25">
      <c r="A37" t="s">
        <v>222</v>
      </c>
      <c r="B37" s="5">
        <f t="shared" ca="1" si="9"/>
        <v>7540</v>
      </c>
      <c r="C37" s="13">
        <f ca="1">ROUND(RANDBETWEEN(C18,D18), -2)</f>
        <v>5400</v>
      </c>
      <c r="D37">
        <f t="shared" ca="1" si="5"/>
        <v>3</v>
      </c>
      <c r="E37" s="5">
        <f t="shared" ca="1" si="10"/>
        <v>2140</v>
      </c>
      <c r="F37" s="13">
        <f t="shared" ca="1" si="6"/>
        <v>0</v>
      </c>
      <c r="G37" s="13">
        <f t="shared" ca="1" si="7"/>
        <v>3</v>
      </c>
      <c r="H37" s="13">
        <f t="shared" ca="1" si="8"/>
        <v>8</v>
      </c>
      <c r="I37" s="13">
        <f t="shared" ca="1" si="11"/>
        <v>943</v>
      </c>
      <c r="J37" s="13"/>
      <c r="K37" s="17">
        <f t="shared" ca="1" si="12"/>
        <v>0.92368433906416536</v>
      </c>
      <c r="L37" s="18">
        <f t="shared" ca="1" si="12"/>
        <v>0.21611890211347706</v>
      </c>
      <c r="M37" s="18">
        <f ca="1">MAX(L31:L38)</f>
        <v>0.86641540395479177</v>
      </c>
      <c r="N37" s="18"/>
      <c r="O37" s="13"/>
      <c r="P37">
        <v>17</v>
      </c>
      <c r="Q37" s="4">
        <v>5450</v>
      </c>
      <c r="R37">
        <v>7.75</v>
      </c>
      <c r="S37" s="4">
        <v>700</v>
      </c>
      <c r="T37">
        <f t="shared" si="3"/>
        <v>-130</v>
      </c>
      <c r="U37">
        <f t="shared" si="4"/>
        <v>0</v>
      </c>
      <c r="V37">
        <v>7960</v>
      </c>
      <c r="W37">
        <v>10</v>
      </c>
    </row>
    <row r="38" spans="1:23" x14ac:dyDescent="0.25">
      <c r="A38" t="s">
        <v>220</v>
      </c>
      <c r="B38" s="5">
        <f ca="1">SUM(C38,E38)</f>
        <v>6740</v>
      </c>
      <c r="C38" s="13">
        <f ca="1">ROUND(RANDBETWEEN(C18,D18), -2)</f>
        <v>4600</v>
      </c>
      <c r="D38">
        <f t="shared" ca="1" si="5"/>
        <v>3</v>
      </c>
      <c r="E38" s="5">
        <f t="shared" ca="1" si="10"/>
        <v>2140</v>
      </c>
      <c r="F38" s="13">
        <f t="shared" ca="1" si="6"/>
        <v>2</v>
      </c>
      <c r="G38" s="13">
        <f t="shared" ca="1" si="7"/>
        <v>0</v>
      </c>
      <c r="H38" s="13">
        <f t="shared" ca="1" si="8"/>
        <v>12</v>
      </c>
      <c r="I38" s="13">
        <f t="shared" ca="1" si="11"/>
        <v>562</v>
      </c>
      <c r="J38" s="13"/>
      <c r="K38" s="17">
        <f t="shared" ca="1" si="12"/>
        <v>0.49395953245574209</v>
      </c>
      <c r="L38" s="18">
        <f t="shared" ca="1" si="12"/>
        <v>0.86641540395479177</v>
      </c>
      <c r="M38" s="18"/>
      <c r="N38" s="18"/>
      <c r="O38" s="13"/>
      <c r="P38">
        <v>18</v>
      </c>
      <c r="Q38" s="4">
        <v>5170</v>
      </c>
      <c r="R38">
        <v>7</v>
      </c>
      <c r="S38" s="4">
        <v>770</v>
      </c>
      <c r="T38">
        <f t="shared" si="3"/>
        <v>150</v>
      </c>
      <c r="U38">
        <f t="shared" si="4"/>
        <v>-70</v>
      </c>
      <c r="V38">
        <v>5590</v>
      </c>
      <c r="W38">
        <v>9</v>
      </c>
    </row>
    <row r="39" spans="1:23" x14ac:dyDescent="0.25">
      <c r="A39" t="s">
        <v>131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>
        <v>19</v>
      </c>
      <c r="Q39" s="4">
        <v>6390</v>
      </c>
      <c r="R39">
        <v>8</v>
      </c>
      <c r="S39" s="4">
        <v>860</v>
      </c>
      <c r="T39">
        <f t="shared" si="3"/>
        <v>-1070</v>
      </c>
      <c r="U39">
        <f t="shared" si="4"/>
        <v>-160</v>
      </c>
      <c r="V39">
        <v>5260</v>
      </c>
      <c r="W39">
        <v>10</v>
      </c>
    </row>
    <row r="40" spans="1:23" x14ac:dyDescent="0.25">
      <c r="C40" s="11"/>
      <c r="D40" s="13"/>
      <c r="E40" s="13"/>
      <c r="F40" s="11"/>
      <c r="G40" s="11"/>
      <c r="H40" s="13"/>
      <c r="I40" s="13"/>
      <c r="J40" s="13"/>
      <c r="K40" s="13"/>
      <c r="L40" s="13"/>
      <c r="M40" s="13"/>
      <c r="P40">
        <v>20</v>
      </c>
      <c r="Q40" s="4">
        <v>5000</v>
      </c>
      <c r="R40">
        <v>8.25</v>
      </c>
      <c r="S40" s="4">
        <v>580</v>
      </c>
      <c r="T40">
        <f t="shared" si="3"/>
        <v>320</v>
      </c>
      <c r="U40">
        <f t="shared" si="4"/>
        <v>120</v>
      </c>
      <c r="V40">
        <v>9360</v>
      </c>
      <c r="W40">
        <v>11</v>
      </c>
    </row>
    <row r="41" spans="1:23" x14ac:dyDescent="0.25">
      <c r="A41" t="s">
        <v>354</v>
      </c>
      <c r="B41" t="s">
        <v>360</v>
      </c>
      <c r="C41" t="s">
        <v>214</v>
      </c>
      <c r="D41" t="s">
        <v>373</v>
      </c>
      <c r="E41" s="11" t="s">
        <v>215</v>
      </c>
      <c r="F41" s="11" t="s">
        <v>229</v>
      </c>
      <c r="G41" s="11" t="s">
        <v>230</v>
      </c>
      <c r="H41" t="s">
        <v>228</v>
      </c>
      <c r="I41" s="11" t="s">
        <v>374</v>
      </c>
      <c r="P41">
        <v>21</v>
      </c>
      <c r="Q41" s="4">
        <v>4680</v>
      </c>
      <c r="R41">
        <v>8.75</v>
      </c>
      <c r="S41" s="4">
        <v>560</v>
      </c>
      <c r="T41">
        <f t="shared" si="3"/>
        <v>640</v>
      </c>
      <c r="U41">
        <f t="shared" si="4"/>
        <v>140</v>
      </c>
      <c r="V41">
        <v>7760</v>
      </c>
      <c r="W41">
        <v>9</v>
      </c>
    </row>
    <row r="42" spans="1:23" x14ac:dyDescent="0.25">
      <c r="A42" t="str">
        <f ca="1">INDEX($A$31:$L$38, MATCH($M$31, $K$31:$K$38, 0),1)</f>
        <v>Retrieve Cargo</v>
      </c>
      <c r="B42">
        <f ca="1">INDEX($A$31:$L$38, MATCH($M31, $K$31:$K$38, 0),2)</f>
        <v>3140</v>
      </c>
      <c r="C42">
        <f ca="1">INDEX($A$31:$L$38, MATCH($M31, $K$31:$K$38, 0),3)</f>
        <v>1000</v>
      </c>
      <c r="D42">
        <f ca="1">INDEX($A$31:$L$38, MATCH($M31, $K$31:$K$38, 0),4)</f>
        <v>3</v>
      </c>
      <c r="E42">
        <f ca="1">INDEX($A$31:$L$38, MATCH($M31, $K$31:$K$38, 0),5)</f>
        <v>2140</v>
      </c>
      <c r="F42">
        <f ca="1">INDEX($A$31:$L$38, MATCH($M31, $K$31:$K$38, 0),6)</f>
        <v>1</v>
      </c>
      <c r="G42">
        <f ca="1">INDEX($A$31:$L$38, MATCH($M31, $K$31:$K$38, 0),7)</f>
        <v>1</v>
      </c>
      <c r="H42">
        <f ca="1">INDEX($A$31:$L$38, MATCH($M31, $K$31:$K$38, 0),8)</f>
        <v>6</v>
      </c>
      <c r="I42">
        <f ca="1">INDEX($A$31:$L$38, MATCH($M31, $K$31:$K$38, 0),9)</f>
        <v>523</v>
      </c>
      <c r="P42">
        <v>22</v>
      </c>
      <c r="Q42" s="4">
        <v>6390</v>
      </c>
      <c r="R42">
        <v>9.5</v>
      </c>
      <c r="S42" s="4">
        <v>710</v>
      </c>
      <c r="T42">
        <f t="shared" si="3"/>
        <v>-1070</v>
      </c>
      <c r="U42">
        <f t="shared" si="4"/>
        <v>-10</v>
      </c>
      <c r="V42">
        <v>7960</v>
      </c>
      <c r="W42">
        <v>10</v>
      </c>
    </row>
    <row r="43" spans="1:23" x14ac:dyDescent="0.25">
      <c r="A43" t="s">
        <v>355</v>
      </c>
      <c r="P43">
        <v>23</v>
      </c>
      <c r="Q43" s="4">
        <v>4930</v>
      </c>
      <c r="R43">
        <v>7.25</v>
      </c>
      <c r="S43" s="4">
        <v>700</v>
      </c>
      <c r="T43">
        <f t="shared" si="3"/>
        <v>390</v>
      </c>
      <c r="U43">
        <f t="shared" si="4"/>
        <v>0</v>
      </c>
      <c r="V43">
        <v>7460</v>
      </c>
      <c r="W43">
        <v>11</v>
      </c>
    </row>
    <row r="44" spans="1:23" x14ac:dyDescent="0.25">
      <c r="A44" t="str">
        <f ca="1">INDEX($A$31:$L$38, MATCH($M33, $K$31:$K$38, 0),1)</f>
        <v>Retrieve Data</v>
      </c>
      <c r="B44">
        <f ca="1">INDEX($A$31:$L$38, MATCH($M33, $K$31:$K$38, 0),2)</f>
        <v>2740</v>
      </c>
      <c r="C44">
        <f ca="1">INDEX($A$31:$L$38, MATCH($M33, $K$31:$K$38, 0),3)</f>
        <v>1900</v>
      </c>
      <c r="D44">
        <f ca="1">INDEX($A$31:$L$38, MATCH($M33, $K$31:$K$38, 0),4)</f>
        <v>1</v>
      </c>
      <c r="E44">
        <f ca="1">INDEX($A$31:$L$38, MATCH($M33, $K$31:$K$38, 0),5)</f>
        <v>840</v>
      </c>
      <c r="F44">
        <f ca="1">INDEX($A$31:$L$38, MATCH($M33, $K$31:$K$38, 0),6)</f>
        <v>0</v>
      </c>
      <c r="G44">
        <f ca="1">INDEX($A$31:$L$38, MATCH($M33, $K$31:$K$38, 0),7)</f>
        <v>2</v>
      </c>
      <c r="H44">
        <f ca="1">INDEX($A$31:$L$38, MATCH($M33, $K$31:$K$38, 0),8)</f>
        <v>6</v>
      </c>
      <c r="I44">
        <f ca="1">INDEX($A$31:$L$38, MATCH($M33, $K$31:$K$38, 0),9)</f>
        <v>457</v>
      </c>
      <c r="P44">
        <v>24</v>
      </c>
      <c r="Q44" s="4">
        <v>4940</v>
      </c>
      <c r="R44">
        <v>8.75</v>
      </c>
      <c r="S44" s="4">
        <v>570</v>
      </c>
      <c r="T44">
        <f t="shared" si="3"/>
        <v>380</v>
      </c>
      <c r="U44">
        <f t="shared" si="4"/>
        <v>130</v>
      </c>
      <c r="V44">
        <v>7760</v>
      </c>
      <c r="W44">
        <v>9</v>
      </c>
    </row>
    <row r="45" spans="1:23" x14ac:dyDescent="0.25">
      <c r="A45" t="s">
        <v>356</v>
      </c>
      <c r="Q45" s="13"/>
      <c r="R45" s="13"/>
    </row>
    <row r="46" spans="1:23" x14ac:dyDescent="0.25">
      <c r="A46" t="str">
        <f ca="1">INDEX($A$31:$L$38, MATCH($M35, $K$31:$K$38, 0),1)</f>
        <v>Fate of the Vessel</v>
      </c>
      <c r="B46">
        <f ca="1">INDEX($A$31:$L$38, MATCH($M35, $K$31:$K$38, 0),2)</f>
        <v>4570</v>
      </c>
      <c r="C46">
        <f ca="1">INDEX($A$31:$L$38, MATCH($M35, $K$31:$K$38, 0),3)</f>
        <v>3300</v>
      </c>
      <c r="D46">
        <f ca="1">INDEX($A$31:$L$38, MATCH($M35, $K$31:$K$38, 0),4)</f>
        <v>2</v>
      </c>
      <c r="E46">
        <f ca="1">INDEX($A$31:$L$38, MATCH($M35, $K$31:$K$38, 0),5)</f>
        <v>1270</v>
      </c>
      <c r="F46">
        <f ca="1">INDEX($A$31:$L$38, MATCH($M35, $K$31:$K$38, 0),6)</f>
        <v>1</v>
      </c>
      <c r="G46">
        <f ca="1">INDEX($A$31:$L$38, MATCH($M35, $K$31:$K$38, 0),7)</f>
        <v>1</v>
      </c>
      <c r="H46">
        <f ca="1">INDEX($A$31:$L$38, MATCH($M35, $K$31:$K$38, 0),8)</f>
        <v>8</v>
      </c>
      <c r="I46">
        <f ca="1">INDEX($A$31:$L$38, MATCH($M35, $K$31:$K$38, 0),9)</f>
        <v>571</v>
      </c>
      <c r="S46" t="s">
        <v>384</v>
      </c>
      <c r="T46">
        <f>MAX(T21:T44)</f>
        <v>1820</v>
      </c>
      <c r="U46">
        <f>MAX(U21:U44)</f>
        <v>210</v>
      </c>
      <c r="V46">
        <f>MAX(V21:V44)</f>
        <v>9360</v>
      </c>
    </row>
    <row r="47" spans="1:23" x14ac:dyDescent="0.25">
      <c r="A47" t="s">
        <v>357</v>
      </c>
      <c r="S47" t="s">
        <v>385</v>
      </c>
      <c r="T47">
        <f>MIN(T21:T44)</f>
        <v>-1200</v>
      </c>
      <c r="U47">
        <f>MIN(U21:U44)</f>
        <v>-380</v>
      </c>
      <c r="V47">
        <f>MIN(V21:V44)</f>
        <v>4960</v>
      </c>
    </row>
    <row r="48" spans="1:23" x14ac:dyDescent="0.25">
      <c r="A48" t="str">
        <f ca="1">INDEX($A$31:$L$38, MATCH($M37, $L$31:$L$38, 0),1)</f>
        <v>Cleaning Mission</v>
      </c>
      <c r="B48">
        <f ca="1">INDEX($A$31:$L$38, MATCH($M37, $L$31:$L$38, 0),2)</f>
        <v>6740</v>
      </c>
      <c r="C48">
        <f ca="1">INDEX($A$31:$L$38, MATCH($M37, $L$31:$L$38, 0),3)</f>
        <v>4600</v>
      </c>
      <c r="D48">
        <f ca="1">INDEX($A$31:$L$38, MATCH($M37, $L$31:$L$38, 0),4)</f>
        <v>3</v>
      </c>
      <c r="E48">
        <f ca="1">INDEX($A$31:$L$38, MATCH($M37, $L$31:$L$38, 0),5)</f>
        <v>2140</v>
      </c>
      <c r="F48">
        <f ca="1">INDEX($A$31:$L$38, MATCH($M37, $L$31:$L$38, 0),6)</f>
        <v>2</v>
      </c>
      <c r="G48">
        <f ca="1">INDEX($A$31:$L$38, MATCH($M37, $L$31:$L$38, 0),7)</f>
        <v>0</v>
      </c>
      <c r="H48">
        <f ca="1">INDEX($A$31:$L$38, MATCH($M37, $L$31:$L$38, 0),8)</f>
        <v>12</v>
      </c>
      <c r="I48">
        <f ca="1">INDEX($A$31:$L$38, MATCH($M37, $L$31:$L$38, 0),9)</f>
        <v>562</v>
      </c>
      <c r="S48" t="s">
        <v>386</v>
      </c>
      <c r="T48">
        <f>ROUND(T46/Q19, 2)</f>
        <v>0.34</v>
      </c>
      <c r="U48">
        <f>ROUND(U46/S19, 2)</f>
        <v>0.3</v>
      </c>
    </row>
    <row r="49" spans="1:21" x14ac:dyDescent="0.25">
      <c r="M49" t="s">
        <v>393</v>
      </c>
      <c r="S49" t="s">
        <v>386</v>
      </c>
      <c r="T49">
        <f>ROUND(-T47/Q19, 2)</f>
        <v>0.23</v>
      </c>
      <c r="U49">
        <f>ROUND(-U47/S19, 2)</f>
        <v>0.54</v>
      </c>
    </row>
    <row r="50" spans="1:21" x14ac:dyDescent="0.25">
      <c r="A50" t="s">
        <v>131</v>
      </c>
      <c r="B50">
        <f ca="1">ROUND(AVERAGE(B42:B48), -1)</f>
        <v>4300</v>
      </c>
      <c r="G50">
        <f ca="1">ROUND(AVERAGE(B42:B48), -1)</f>
        <v>4300</v>
      </c>
      <c r="H50">
        <f ca="1">AVERAGE(H42:H48)</f>
        <v>8</v>
      </c>
      <c r="I50">
        <f ca="1">ROUND(AVERAGE(I42:I48), -1)</f>
        <v>530</v>
      </c>
      <c r="M50" s="5">
        <v>100000</v>
      </c>
    </row>
    <row r="51" spans="1:21" x14ac:dyDescent="0.25">
      <c r="A51" t="s">
        <v>385</v>
      </c>
      <c r="B51">
        <f ca="1">MIN(B42:B48)</f>
        <v>2740</v>
      </c>
      <c r="M51" t="s">
        <v>394</v>
      </c>
    </row>
    <row r="52" spans="1:21" x14ac:dyDescent="0.25">
      <c r="A52" s="13" t="s">
        <v>384</v>
      </c>
      <c r="B52" s="13">
        <f ca="1">MAX(B42:B48)</f>
        <v>6740</v>
      </c>
      <c r="C52">
        <f ca="1">VLOOKUP(MAX(B42:B48), B42:I48, 7, FALSE)</f>
        <v>12</v>
      </c>
      <c r="M52" s="19">
        <v>0.05</v>
      </c>
    </row>
    <row r="53" spans="1:21" x14ac:dyDescent="0.2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t="s">
        <v>395</v>
      </c>
      <c r="O53" s="13"/>
    </row>
    <row r="54" spans="1:21" x14ac:dyDescent="0.25">
      <c r="M54" t="s">
        <v>396</v>
      </c>
    </row>
    <row r="55" spans="1:21" x14ac:dyDescent="0.25">
      <c r="A55" t="s">
        <v>349</v>
      </c>
      <c r="B55" s="11">
        <f>C55*1000</f>
        <v>100000</v>
      </c>
      <c r="C55" s="11">
        <v>100</v>
      </c>
      <c r="D55" s="13"/>
      <c r="E55" s="13"/>
      <c r="F55" s="11"/>
      <c r="G55" s="11"/>
      <c r="H55" s="13"/>
      <c r="I55" s="13"/>
      <c r="J55" s="13"/>
      <c r="K55" s="13"/>
      <c r="L55" s="13"/>
      <c r="M55" s="13"/>
    </row>
    <row r="56" spans="1:21" x14ac:dyDescent="0.25">
      <c r="C56" s="11"/>
      <c r="D56" s="13"/>
      <c r="E56" s="13"/>
      <c r="F56" s="11"/>
      <c r="G56" s="11"/>
      <c r="H56" s="13"/>
      <c r="I56" s="13"/>
      <c r="J56" s="13"/>
      <c r="K56" s="13"/>
      <c r="L56" s="13"/>
      <c r="M56" s="13"/>
      <c r="R56" s="4"/>
    </row>
    <row r="57" spans="1:21" x14ac:dyDescent="0.25">
      <c r="B57" t="s">
        <v>350</v>
      </c>
      <c r="C57" t="s">
        <v>353</v>
      </c>
      <c r="E57" t="s">
        <v>340</v>
      </c>
      <c r="F57" t="s">
        <v>343</v>
      </c>
      <c r="G57" s="13" t="s">
        <v>344</v>
      </c>
      <c r="H57" s="13" t="s">
        <v>139</v>
      </c>
      <c r="I57" s="13"/>
      <c r="J57" s="13" t="s">
        <v>340</v>
      </c>
      <c r="K57" s="13" t="s">
        <v>343</v>
      </c>
      <c r="L57" s="13" t="s">
        <v>344</v>
      </c>
      <c r="M57" s="13" t="s">
        <v>139</v>
      </c>
      <c r="N57" s="13"/>
      <c r="O57" s="13" t="s">
        <v>340</v>
      </c>
      <c r="P57" s="13" t="s">
        <v>343</v>
      </c>
      <c r="Q57" s="13" t="s">
        <v>344</v>
      </c>
      <c r="R57" s="13" t="s">
        <v>139</v>
      </c>
    </row>
    <row r="58" spans="1:21" x14ac:dyDescent="0.25">
      <c r="A58" t="s">
        <v>345</v>
      </c>
      <c r="B58" s="5">
        <f>H58+M58+R58-C58</f>
        <v>20000</v>
      </c>
      <c r="C58">
        <v>20000</v>
      </c>
      <c r="E58" s="5">
        <f>B55</f>
        <v>100000</v>
      </c>
      <c r="F58" s="5">
        <v>10000</v>
      </c>
      <c r="G58" s="13">
        <f>E58*0.2</f>
        <v>20000</v>
      </c>
      <c r="H58" s="5">
        <f>SUM(F58:G58)</f>
        <v>30000</v>
      </c>
      <c r="I58" s="13"/>
      <c r="J58" s="5">
        <v>20000</v>
      </c>
      <c r="K58" s="13">
        <v>5000</v>
      </c>
      <c r="L58" s="13">
        <f>0.25*J58</f>
        <v>5000</v>
      </c>
      <c r="M58" s="13">
        <f>SUM(K58:L58)</f>
        <v>10000</v>
      </c>
      <c r="N58" s="13"/>
      <c r="O58" s="5">
        <v>0</v>
      </c>
      <c r="P58" s="13">
        <v>0</v>
      </c>
      <c r="Q58" s="13">
        <v>0</v>
      </c>
      <c r="R58" s="13">
        <f>SUM(P58:Q58)</f>
        <v>0</v>
      </c>
    </row>
    <row r="59" spans="1:21" x14ac:dyDescent="0.25">
      <c r="A59" t="s">
        <v>346</v>
      </c>
      <c r="B59" s="5">
        <f>H59+M59+R59-C59</f>
        <v>32250</v>
      </c>
      <c r="C59">
        <v>10000</v>
      </c>
      <c r="E59" s="5">
        <f>E58-F58</f>
        <v>90000</v>
      </c>
      <c r="F59" s="5">
        <v>10000</v>
      </c>
      <c r="G59" s="13">
        <f t="shared" ref="G59:G61" si="13">E59*0.2</f>
        <v>18000</v>
      </c>
      <c r="H59" s="5">
        <f t="shared" ref="H59:H60" si="14">SUM(F59:G59)</f>
        <v>28000</v>
      </c>
      <c r="I59" s="13"/>
      <c r="J59" s="5">
        <f>J58-K58</f>
        <v>15000</v>
      </c>
      <c r="K59" s="13">
        <v>5000</v>
      </c>
      <c r="L59" s="13">
        <f t="shared" ref="L59:L62" si="15">0.25*J59</f>
        <v>3750</v>
      </c>
      <c r="M59" s="13">
        <f t="shared" ref="M59:M62" si="16">SUM(K59:L59)</f>
        <v>8750</v>
      </c>
      <c r="N59" s="13"/>
      <c r="O59" s="5">
        <v>10000</v>
      </c>
      <c r="P59" s="13">
        <v>2500</v>
      </c>
      <c r="Q59" s="13">
        <f>0.3*O59</f>
        <v>3000</v>
      </c>
      <c r="R59" s="13">
        <f t="shared" ref="R59:R62" si="17">SUM(P59:Q59)</f>
        <v>5500</v>
      </c>
    </row>
    <row r="60" spans="1:21" x14ac:dyDescent="0.25">
      <c r="A60" t="s">
        <v>347</v>
      </c>
      <c r="B60" s="5">
        <f t="shared" ref="B60:B62" si="18">H60+M60+R60-C60</f>
        <v>38250</v>
      </c>
      <c r="E60" s="5">
        <f>E59-F59</f>
        <v>80000</v>
      </c>
      <c r="F60" s="5">
        <v>10000</v>
      </c>
      <c r="G60" s="13">
        <f t="shared" si="13"/>
        <v>16000</v>
      </c>
      <c r="H60" s="5">
        <f t="shared" si="14"/>
        <v>26000</v>
      </c>
      <c r="I60" s="13"/>
      <c r="J60" s="5">
        <f t="shared" ref="J60:J62" si="19">J59-K59</f>
        <v>10000</v>
      </c>
      <c r="K60" s="13">
        <v>5000</v>
      </c>
      <c r="L60" s="13">
        <f t="shared" si="15"/>
        <v>2500</v>
      </c>
      <c r="M60" s="13">
        <f t="shared" si="16"/>
        <v>7500</v>
      </c>
      <c r="N60" s="13"/>
      <c r="O60" s="5">
        <f t="shared" ref="O60:O62" si="20">O59-P59</f>
        <v>7500</v>
      </c>
      <c r="P60" s="13">
        <v>2500</v>
      </c>
      <c r="Q60" s="13">
        <f t="shared" ref="Q60:Q62" si="21">0.3*O60</f>
        <v>2250</v>
      </c>
      <c r="R60" s="13">
        <f t="shared" si="17"/>
        <v>4750</v>
      </c>
    </row>
    <row r="61" spans="1:21" x14ac:dyDescent="0.25">
      <c r="A61" t="s">
        <v>348</v>
      </c>
      <c r="B61" s="5">
        <f t="shared" si="18"/>
        <v>34250</v>
      </c>
      <c r="E61" s="5">
        <f>E60-F60</f>
        <v>70000</v>
      </c>
      <c r="F61" s="5">
        <v>10000</v>
      </c>
      <c r="G61" s="13">
        <f t="shared" si="13"/>
        <v>14000</v>
      </c>
      <c r="H61" s="5">
        <f t="shared" ref="H61" si="22">SUM(F61:G61)</f>
        <v>24000</v>
      </c>
      <c r="I61" s="13"/>
      <c r="J61" s="5">
        <f t="shared" si="19"/>
        <v>5000</v>
      </c>
      <c r="K61" s="13">
        <v>5000</v>
      </c>
      <c r="L61" s="13">
        <f t="shared" si="15"/>
        <v>1250</v>
      </c>
      <c r="M61" s="13">
        <f t="shared" si="16"/>
        <v>6250</v>
      </c>
      <c r="N61" s="13"/>
      <c r="O61" s="5">
        <f t="shared" si="20"/>
        <v>5000</v>
      </c>
      <c r="P61" s="13">
        <v>2500</v>
      </c>
      <c r="Q61" s="13">
        <f t="shared" si="21"/>
        <v>1500</v>
      </c>
      <c r="R61" s="13">
        <f t="shared" si="17"/>
        <v>4000</v>
      </c>
    </row>
    <row r="62" spans="1:21" x14ac:dyDescent="0.25">
      <c r="A62" t="s">
        <v>352</v>
      </c>
      <c r="B62" s="5">
        <f t="shared" si="18"/>
        <v>15250</v>
      </c>
      <c r="C62" s="11"/>
      <c r="E62" s="5">
        <f>E61-F61</f>
        <v>60000</v>
      </c>
      <c r="F62" s="5">
        <v>0</v>
      </c>
      <c r="G62" s="13">
        <f t="shared" ref="G62" si="23">E62*0.2</f>
        <v>12000</v>
      </c>
      <c r="H62" s="5">
        <f t="shared" ref="H62" si="24">SUM(F62:G62)</f>
        <v>12000</v>
      </c>
      <c r="I62" s="13"/>
      <c r="J62" s="5">
        <f t="shared" si="19"/>
        <v>0</v>
      </c>
      <c r="K62" s="13">
        <v>0</v>
      </c>
      <c r="L62" s="13">
        <f t="shared" si="15"/>
        <v>0</v>
      </c>
      <c r="M62" s="13">
        <f t="shared" si="16"/>
        <v>0</v>
      </c>
      <c r="N62" s="13"/>
      <c r="O62" s="5">
        <f t="shared" si="20"/>
        <v>2500</v>
      </c>
      <c r="P62" s="13">
        <v>2500</v>
      </c>
      <c r="Q62" s="13">
        <f t="shared" si="21"/>
        <v>750</v>
      </c>
      <c r="R62" s="13">
        <f t="shared" si="17"/>
        <v>3250</v>
      </c>
    </row>
    <row r="63" spans="1:21" x14ac:dyDescent="0.25">
      <c r="C63" s="11"/>
      <c r="E63" s="13"/>
      <c r="F63" s="13"/>
      <c r="G63" s="11"/>
      <c r="H63" s="11"/>
      <c r="I63" s="13"/>
      <c r="J63" s="13"/>
      <c r="K63" s="13"/>
      <c r="L63" s="13"/>
      <c r="M63" s="13"/>
      <c r="N63" s="13"/>
      <c r="O63" s="5">
        <f t="shared" ref="O63" si="25">O62-P62</f>
        <v>0</v>
      </c>
      <c r="P63" s="13">
        <v>0</v>
      </c>
      <c r="Q63" s="13">
        <f t="shared" ref="Q63" si="26">0.25*O63</f>
        <v>0</v>
      </c>
      <c r="R63" s="13">
        <f t="shared" ref="R63" si="27">SUM(P63:Q63)</f>
        <v>0</v>
      </c>
    </row>
    <row r="65" spans="1:21" x14ac:dyDescent="0.25">
      <c r="G65" t="s">
        <v>398</v>
      </c>
      <c r="H65" t="s">
        <v>391</v>
      </c>
      <c r="I65" t="s">
        <v>397</v>
      </c>
      <c r="J65" t="s">
        <v>164</v>
      </c>
      <c r="M65" t="s">
        <v>398</v>
      </c>
    </row>
    <row r="66" spans="1:21" x14ac:dyDescent="0.25">
      <c r="G66" s="5">
        <v>100000</v>
      </c>
      <c r="H66">
        <v>0.05</v>
      </c>
      <c r="I66">
        <f>I67/1000</f>
        <v>0.05</v>
      </c>
      <c r="J66" s="5">
        <f>SUM(H69:H95)</f>
        <v>100000</v>
      </c>
      <c r="M66" s="5">
        <v>50000</v>
      </c>
    </row>
    <row r="67" spans="1:21" x14ac:dyDescent="0.25">
      <c r="I67">
        <v>50</v>
      </c>
    </row>
    <row r="68" spans="1:21" x14ac:dyDescent="0.25">
      <c r="A68" t="s">
        <v>390</v>
      </c>
      <c r="B68" t="s">
        <v>350</v>
      </c>
      <c r="C68" t="s">
        <v>392</v>
      </c>
      <c r="D68" t="s">
        <v>399</v>
      </c>
      <c r="F68" t="s">
        <v>390</v>
      </c>
      <c r="G68" t="s">
        <v>340</v>
      </c>
      <c r="H68" t="s">
        <v>343</v>
      </c>
      <c r="I68" s="13" t="s">
        <v>344</v>
      </c>
      <c r="J68" s="13" t="s">
        <v>139</v>
      </c>
      <c r="L68" s="13" t="s">
        <v>390</v>
      </c>
      <c r="M68" s="13" t="s">
        <v>340</v>
      </c>
      <c r="N68" s="13" t="s">
        <v>343</v>
      </c>
      <c r="O68" s="13" t="s">
        <v>344</v>
      </c>
      <c r="P68" s="13" t="s">
        <v>139</v>
      </c>
      <c r="Q68" s="13"/>
      <c r="R68" s="13" t="s">
        <v>340</v>
      </c>
      <c r="S68" s="13" t="s">
        <v>343</v>
      </c>
      <c r="T68" s="13" t="s">
        <v>344</v>
      </c>
      <c r="U68" s="13" t="s">
        <v>139</v>
      </c>
    </row>
    <row r="69" spans="1:21" x14ac:dyDescent="0.25">
      <c r="A69">
        <v>1</v>
      </c>
      <c r="B69" s="5">
        <f t="shared" ref="B69:B77" si="28">J69+P69+U69</f>
        <v>15000</v>
      </c>
      <c r="C69" s="5">
        <f>$B$28-B69+D69</f>
        <v>5200</v>
      </c>
      <c r="F69">
        <v>1</v>
      </c>
      <c r="G69" s="5">
        <f>G66</f>
        <v>100000</v>
      </c>
      <c r="H69" s="5">
        <f>IF(G69 &gt; 0, $G$66*0.05, 0)</f>
        <v>5000</v>
      </c>
      <c r="I69" s="13">
        <f>G69*($H$66+(A69*$I$66))</f>
        <v>10000</v>
      </c>
      <c r="J69" s="5">
        <f>SUM(H69:I69)</f>
        <v>15000</v>
      </c>
      <c r="L69" s="13"/>
      <c r="M69" s="5">
        <v>0</v>
      </c>
      <c r="N69" s="5">
        <f t="shared" ref="N69:N94" si="29">IF(M69 &gt; 0, $M$66*0.05, 0)</f>
        <v>0</v>
      </c>
      <c r="O69" s="13">
        <f t="shared" ref="O69:O94" si="30">M69*($H$66+L69*$I$66)</f>
        <v>0</v>
      </c>
      <c r="P69" s="13">
        <f>SUM(N69:O69)</f>
        <v>0</v>
      </c>
      <c r="Q69" s="13"/>
      <c r="R69" s="5">
        <v>0</v>
      </c>
      <c r="S69" s="13">
        <v>0</v>
      </c>
      <c r="T69" s="13">
        <v>0</v>
      </c>
      <c r="U69" s="13">
        <f>SUM(S69:T69)</f>
        <v>0</v>
      </c>
    </row>
    <row r="70" spans="1:21" x14ac:dyDescent="0.25">
      <c r="A70">
        <v>2</v>
      </c>
      <c r="B70" s="5">
        <f t="shared" si="28"/>
        <v>19250</v>
      </c>
      <c r="C70" s="5">
        <f>$B$28-B70+D70+C69</f>
        <v>6150</v>
      </c>
      <c r="F70">
        <v>2</v>
      </c>
      <c r="G70" s="5">
        <f t="shared" ref="G70:G77" si="31">G69-H69</f>
        <v>95000</v>
      </c>
      <c r="H70" s="5">
        <f t="shared" ref="H70:H94" si="32">IF(G70 &gt; 0, $G$69*0.05, 0)</f>
        <v>5000</v>
      </c>
      <c r="I70" s="13">
        <f t="shared" ref="I70:I94" si="33">G70*($H$66+(A70*$I$66))</f>
        <v>14250.000000000002</v>
      </c>
      <c r="J70" s="5">
        <f t="shared" ref="J70:J73" si="34">SUM(H70:I70)</f>
        <v>19250</v>
      </c>
      <c r="L70" s="13"/>
      <c r="M70" s="5">
        <f>M69-N69</f>
        <v>0</v>
      </c>
      <c r="N70" s="5">
        <f t="shared" si="29"/>
        <v>0</v>
      </c>
      <c r="O70" s="13">
        <f t="shared" si="30"/>
        <v>0</v>
      </c>
      <c r="P70" s="13">
        <f t="shared" ref="P70:P73" si="35">SUM(N70:O70)</f>
        <v>0</v>
      </c>
      <c r="Q70" s="13"/>
      <c r="R70" s="5">
        <v>0</v>
      </c>
      <c r="S70" s="13">
        <v>0</v>
      </c>
      <c r="T70" s="13">
        <f>0.3*R70</f>
        <v>0</v>
      </c>
      <c r="U70" s="13">
        <f t="shared" ref="U70:U74" si="36">SUM(S70:T70)</f>
        <v>0</v>
      </c>
    </row>
    <row r="71" spans="1:21" x14ac:dyDescent="0.25">
      <c r="A71">
        <v>3</v>
      </c>
      <c r="B71" s="5">
        <f t="shared" si="28"/>
        <v>23000</v>
      </c>
      <c r="C71" s="5">
        <f t="shared" ref="C71:C94" si="37">$B$28-B71+D71+C70</f>
        <v>3350</v>
      </c>
      <c r="F71">
        <v>3</v>
      </c>
      <c r="G71" s="5">
        <f t="shared" si="31"/>
        <v>90000</v>
      </c>
      <c r="H71" s="5">
        <f t="shared" si="32"/>
        <v>5000</v>
      </c>
      <c r="I71" s="13">
        <f t="shared" si="33"/>
        <v>18000</v>
      </c>
      <c r="J71" s="5">
        <f t="shared" si="34"/>
        <v>23000</v>
      </c>
      <c r="L71" s="13"/>
      <c r="M71" s="5">
        <f t="shared" ref="M71" si="38">M70-N70</f>
        <v>0</v>
      </c>
      <c r="N71" s="5">
        <f t="shared" si="29"/>
        <v>0</v>
      </c>
      <c r="O71" s="13">
        <f t="shared" si="30"/>
        <v>0</v>
      </c>
      <c r="P71" s="13">
        <f t="shared" si="35"/>
        <v>0</v>
      </c>
      <c r="Q71" s="13"/>
      <c r="R71" s="5">
        <v>0</v>
      </c>
      <c r="S71" s="13">
        <v>0</v>
      </c>
      <c r="T71" s="13">
        <f t="shared" ref="T71:T73" si="39">0.3*R71</f>
        <v>0</v>
      </c>
      <c r="U71" s="13">
        <f t="shared" si="36"/>
        <v>0</v>
      </c>
    </row>
    <row r="72" spans="1:21" x14ac:dyDescent="0.25">
      <c r="A72">
        <v>4</v>
      </c>
      <c r="B72" s="5">
        <f t="shared" si="28"/>
        <v>33750</v>
      </c>
      <c r="C72" s="5">
        <f>$B$28-B72+D72+C71</f>
        <v>39800</v>
      </c>
      <c r="D72" s="5">
        <v>50000</v>
      </c>
      <c r="F72">
        <v>4</v>
      </c>
      <c r="G72" s="5">
        <f t="shared" si="31"/>
        <v>85000</v>
      </c>
      <c r="H72" s="5">
        <f t="shared" si="32"/>
        <v>5000</v>
      </c>
      <c r="I72" s="13">
        <f t="shared" si="33"/>
        <v>21250</v>
      </c>
      <c r="J72" s="5">
        <f t="shared" si="34"/>
        <v>26250</v>
      </c>
      <c r="L72" s="13">
        <v>1</v>
      </c>
      <c r="M72" s="5">
        <v>50000</v>
      </c>
      <c r="N72" s="5">
        <f t="shared" si="29"/>
        <v>2500</v>
      </c>
      <c r="O72" s="13">
        <f t="shared" si="30"/>
        <v>5000</v>
      </c>
      <c r="P72" s="13">
        <f t="shared" si="35"/>
        <v>7500</v>
      </c>
      <c r="Q72" s="13"/>
      <c r="R72" s="5">
        <v>0</v>
      </c>
      <c r="S72" s="13">
        <v>0</v>
      </c>
      <c r="T72" s="13">
        <f t="shared" si="39"/>
        <v>0</v>
      </c>
      <c r="U72" s="13">
        <f t="shared" si="36"/>
        <v>0</v>
      </c>
    </row>
    <row r="73" spans="1:21" x14ac:dyDescent="0.25">
      <c r="A73">
        <v>5</v>
      </c>
      <c r="B73" s="5">
        <f t="shared" si="28"/>
        <v>38625</v>
      </c>
      <c r="C73" s="5">
        <f>$B$28-B73+D73+C72</f>
        <v>21375</v>
      </c>
      <c r="F73">
        <v>5</v>
      </c>
      <c r="G73" s="5">
        <f t="shared" si="31"/>
        <v>80000</v>
      </c>
      <c r="H73" s="5">
        <f t="shared" si="32"/>
        <v>5000</v>
      </c>
      <c r="I73" s="13">
        <f t="shared" si="33"/>
        <v>24000</v>
      </c>
      <c r="J73" s="5">
        <f t="shared" si="34"/>
        <v>29000</v>
      </c>
      <c r="L73" s="13">
        <v>2</v>
      </c>
      <c r="M73" s="5">
        <f>M72-N72</f>
        <v>47500</v>
      </c>
      <c r="N73" s="5">
        <f t="shared" si="29"/>
        <v>2500</v>
      </c>
      <c r="O73" s="13">
        <f t="shared" si="30"/>
        <v>7125.0000000000009</v>
      </c>
      <c r="P73" s="13">
        <f t="shared" si="35"/>
        <v>9625</v>
      </c>
      <c r="Q73" s="13"/>
      <c r="R73" s="5">
        <v>0</v>
      </c>
      <c r="S73" s="13">
        <v>0</v>
      </c>
      <c r="T73" s="13">
        <f t="shared" si="39"/>
        <v>0</v>
      </c>
      <c r="U73" s="13">
        <f t="shared" si="36"/>
        <v>0</v>
      </c>
    </row>
    <row r="74" spans="1:21" x14ac:dyDescent="0.25">
      <c r="A74">
        <v>6</v>
      </c>
      <c r="B74" s="5">
        <f t="shared" si="28"/>
        <v>42750</v>
      </c>
      <c r="C74" s="5">
        <f>$B$28-B74+D74+C73</f>
        <v>-1175</v>
      </c>
      <c r="F74">
        <v>6</v>
      </c>
      <c r="G74" s="5">
        <f t="shared" si="31"/>
        <v>75000</v>
      </c>
      <c r="H74" s="5">
        <f t="shared" si="32"/>
        <v>5000</v>
      </c>
      <c r="I74" s="13">
        <f t="shared" si="33"/>
        <v>26250.000000000004</v>
      </c>
      <c r="J74" s="5">
        <f t="shared" ref="J74" si="40">SUM(H74:I74)</f>
        <v>31250.000000000004</v>
      </c>
      <c r="L74" s="13">
        <v>3</v>
      </c>
      <c r="M74" s="5">
        <f t="shared" ref="M74:M78" si="41">M73-N73</f>
        <v>45000</v>
      </c>
      <c r="N74" s="5">
        <f t="shared" si="29"/>
        <v>2500</v>
      </c>
      <c r="O74" s="13">
        <f t="shared" si="30"/>
        <v>9000</v>
      </c>
      <c r="P74" s="13">
        <f t="shared" ref="P74:P78" si="42">SUM(N74:O74)</f>
        <v>11500</v>
      </c>
      <c r="Q74" s="13"/>
      <c r="R74" s="5">
        <v>0</v>
      </c>
      <c r="S74" s="13">
        <v>0</v>
      </c>
      <c r="T74" s="13">
        <f t="shared" ref="T74" si="43">0.25*R74</f>
        <v>0</v>
      </c>
      <c r="U74" s="13">
        <f t="shared" si="36"/>
        <v>0</v>
      </c>
    </row>
    <row r="75" spans="1:21" x14ac:dyDescent="0.25">
      <c r="A75">
        <v>7</v>
      </c>
      <c r="B75" s="5">
        <f t="shared" si="28"/>
        <v>46125</v>
      </c>
      <c r="C75" s="5">
        <f t="shared" si="37"/>
        <v>-27100</v>
      </c>
      <c r="F75">
        <v>7</v>
      </c>
      <c r="G75" s="5">
        <f t="shared" si="31"/>
        <v>70000</v>
      </c>
      <c r="H75" s="5">
        <f t="shared" si="32"/>
        <v>5000</v>
      </c>
      <c r="I75" s="13">
        <f t="shared" si="33"/>
        <v>28000</v>
      </c>
      <c r="J75" s="5">
        <f>SUM(H75:I75)</f>
        <v>33000</v>
      </c>
      <c r="L75" s="13">
        <v>4</v>
      </c>
      <c r="M75" s="5">
        <f t="shared" si="41"/>
        <v>42500</v>
      </c>
      <c r="N75" s="5">
        <f t="shared" si="29"/>
        <v>2500</v>
      </c>
      <c r="O75" s="13">
        <f t="shared" si="30"/>
        <v>10625</v>
      </c>
      <c r="P75" s="13">
        <f t="shared" si="42"/>
        <v>13125</v>
      </c>
      <c r="Q75" s="13"/>
      <c r="R75" s="13"/>
      <c r="S75" s="13"/>
      <c r="T75" s="13"/>
    </row>
    <row r="76" spans="1:21" x14ac:dyDescent="0.25">
      <c r="A76">
        <v>8</v>
      </c>
      <c r="B76" s="5">
        <f t="shared" si="28"/>
        <v>48750</v>
      </c>
      <c r="C76" s="5">
        <f t="shared" si="37"/>
        <v>-55650</v>
      </c>
      <c r="F76">
        <v>8</v>
      </c>
      <c r="G76" s="5">
        <f t="shared" si="31"/>
        <v>65000</v>
      </c>
      <c r="H76" s="5">
        <f t="shared" si="32"/>
        <v>5000</v>
      </c>
      <c r="I76" s="13">
        <f t="shared" si="33"/>
        <v>29250</v>
      </c>
      <c r="J76" s="5">
        <f t="shared" ref="J76:J77" si="44">SUM(H76:I76)</f>
        <v>34250</v>
      </c>
      <c r="L76" s="13">
        <v>5</v>
      </c>
      <c r="M76" s="5">
        <f t="shared" si="41"/>
        <v>40000</v>
      </c>
      <c r="N76" s="5">
        <f t="shared" si="29"/>
        <v>2500</v>
      </c>
      <c r="O76" s="13">
        <f t="shared" si="30"/>
        <v>12000</v>
      </c>
      <c r="P76" s="13">
        <f t="shared" si="42"/>
        <v>14500</v>
      </c>
      <c r="Q76" s="13"/>
      <c r="R76" s="13"/>
      <c r="S76" s="13"/>
      <c r="T76" s="13"/>
    </row>
    <row r="77" spans="1:21" x14ac:dyDescent="0.25">
      <c r="A77">
        <v>9</v>
      </c>
      <c r="B77" s="5">
        <f t="shared" si="28"/>
        <v>50625</v>
      </c>
      <c r="C77" s="5">
        <f t="shared" si="37"/>
        <v>-86075</v>
      </c>
      <c r="F77">
        <v>9</v>
      </c>
      <c r="G77" s="5">
        <f t="shared" si="31"/>
        <v>60000</v>
      </c>
      <c r="H77" s="5">
        <f t="shared" si="32"/>
        <v>5000</v>
      </c>
      <c r="I77" s="13">
        <f>G77*($H$66+(A77*$I$66))</f>
        <v>30000</v>
      </c>
      <c r="J77" s="5">
        <f t="shared" si="44"/>
        <v>35000</v>
      </c>
      <c r="L77" s="13">
        <v>6</v>
      </c>
      <c r="M77" s="5">
        <f t="shared" si="41"/>
        <v>37500</v>
      </c>
      <c r="N77" s="5">
        <f t="shared" si="29"/>
        <v>2500</v>
      </c>
      <c r="O77" s="13">
        <f t="shared" si="30"/>
        <v>13125.000000000002</v>
      </c>
      <c r="P77" s="13">
        <f t="shared" si="42"/>
        <v>15625.000000000002</v>
      </c>
      <c r="Q77" s="13"/>
      <c r="R77" s="13"/>
      <c r="S77" s="13"/>
      <c r="T77" s="13"/>
    </row>
    <row r="78" spans="1:21" x14ac:dyDescent="0.25">
      <c r="A78">
        <v>10</v>
      </c>
      <c r="B78" s="5">
        <f t="shared" ref="B78:B94" si="45">J78+N78+S78</f>
        <v>37750</v>
      </c>
      <c r="C78" s="5">
        <f t="shared" si="37"/>
        <v>-103625</v>
      </c>
      <c r="F78">
        <v>10</v>
      </c>
      <c r="G78" s="5">
        <f t="shared" ref="G78:G85" si="46">G77-H77</f>
        <v>55000</v>
      </c>
      <c r="H78" s="5">
        <f t="shared" si="32"/>
        <v>5000</v>
      </c>
      <c r="I78" s="13">
        <f t="shared" si="33"/>
        <v>30250.000000000004</v>
      </c>
      <c r="J78" s="5">
        <f t="shared" ref="J78:J85" si="47">SUM(H78:I78)</f>
        <v>35250</v>
      </c>
      <c r="L78" s="13">
        <v>7</v>
      </c>
      <c r="M78" s="5">
        <f t="shared" si="41"/>
        <v>35000</v>
      </c>
      <c r="N78" s="5">
        <f t="shared" si="29"/>
        <v>2500</v>
      </c>
      <c r="O78" s="13">
        <f t="shared" si="30"/>
        <v>14000</v>
      </c>
      <c r="P78" s="13">
        <f t="shared" si="42"/>
        <v>16500</v>
      </c>
    </row>
    <row r="79" spans="1:21" x14ac:dyDescent="0.25">
      <c r="A79">
        <v>11</v>
      </c>
      <c r="B79" s="5">
        <f t="shared" si="45"/>
        <v>37500</v>
      </c>
      <c r="C79" s="5">
        <f t="shared" si="37"/>
        <v>-120925</v>
      </c>
      <c r="F79">
        <v>11</v>
      </c>
      <c r="G79" s="5">
        <f t="shared" si="46"/>
        <v>50000</v>
      </c>
      <c r="H79" s="5">
        <f t="shared" si="32"/>
        <v>5000</v>
      </c>
      <c r="I79" s="13">
        <f t="shared" si="33"/>
        <v>30000.000000000004</v>
      </c>
      <c r="J79" s="5">
        <f t="shared" si="47"/>
        <v>35000</v>
      </c>
      <c r="L79" s="13">
        <v>8</v>
      </c>
      <c r="M79" s="5">
        <f t="shared" ref="M79:M89" si="48">M78-N78</f>
        <v>32500</v>
      </c>
      <c r="N79" s="5">
        <f t="shared" si="29"/>
        <v>2500</v>
      </c>
      <c r="O79" s="13">
        <f t="shared" si="30"/>
        <v>14625</v>
      </c>
      <c r="P79" s="13">
        <f t="shared" ref="P79:P89" si="49">SUM(N79:O79)</f>
        <v>17125</v>
      </c>
    </row>
    <row r="80" spans="1:21" x14ac:dyDescent="0.25">
      <c r="A80">
        <v>12</v>
      </c>
      <c r="B80" s="5">
        <f t="shared" si="45"/>
        <v>36750.000000000007</v>
      </c>
      <c r="C80" s="5">
        <f t="shared" si="37"/>
        <v>-137475</v>
      </c>
      <c r="F80">
        <v>12</v>
      </c>
      <c r="G80" s="5">
        <f t="shared" si="46"/>
        <v>45000</v>
      </c>
      <c r="H80" s="5">
        <f t="shared" si="32"/>
        <v>5000</v>
      </c>
      <c r="I80" s="13">
        <f t="shared" si="33"/>
        <v>29250.000000000007</v>
      </c>
      <c r="J80" s="5">
        <f>SUM(H80:I80)</f>
        <v>34250.000000000007</v>
      </c>
      <c r="L80" s="13">
        <v>9</v>
      </c>
      <c r="M80" s="5">
        <f t="shared" si="48"/>
        <v>30000</v>
      </c>
      <c r="N80" s="5">
        <f t="shared" si="29"/>
        <v>2500</v>
      </c>
      <c r="O80" s="13">
        <f t="shared" si="30"/>
        <v>15000</v>
      </c>
      <c r="P80" s="13">
        <f t="shared" si="49"/>
        <v>17500</v>
      </c>
    </row>
    <row r="81" spans="1:18" x14ac:dyDescent="0.25">
      <c r="A81">
        <v>13</v>
      </c>
      <c r="B81" s="5">
        <f t="shared" si="45"/>
        <v>35500</v>
      </c>
      <c r="C81" s="5">
        <f t="shared" si="37"/>
        <v>-152775</v>
      </c>
      <c r="F81">
        <v>13</v>
      </c>
      <c r="G81" s="5">
        <f t="shared" si="46"/>
        <v>40000</v>
      </c>
      <c r="H81" s="5">
        <f t="shared" si="32"/>
        <v>5000</v>
      </c>
      <c r="I81" s="13">
        <f t="shared" si="33"/>
        <v>28000.000000000004</v>
      </c>
      <c r="J81" s="5">
        <f t="shared" si="47"/>
        <v>33000</v>
      </c>
      <c r="L81" s="13">
        <v>10</v>
      </c>
      <c r="M81" s="5">
        <f t="shared" si="48"/>
        <v>27500</v>
      </c>
      <c r="N81" s="5">
        <f t="shared" si="29"/>
        <v>2500</v>
      </c>
      <c r="O81" s="13">
        <f t="shared" si="30"/>
        <v>15125.000000000002</v>
      </c>
      <c r="P81" s="13">
        <f t="shared" si="49"/>
        <v>17625</v>
      </c>
    </row>
    <row r="82" spans="1:18" x14ac:dyDescent="0.25">
      <c r="A82">
        <v>14</v>
      </c>
      <c r="B82" s="5">
        <f t="shared" si="45"/>
        <v>33750</v>
      </c>
      <c r="C82" s="5">
        <f t="shared" si="37"/>
        <v>-166325</v>
      </c>
      <c r="F82">
        <v>14</v>
      </c>
      <c r="G82" s="5">
        <f t="shared" si="46"/>
        <v>35000</v>
      </c>
      <c r="H82" s="5">
        <f t="shared" si="32"/>
        <v>5000</v>
      </c>
      <c r="I82" s="13">
        <f t="shared" si="33"/>
        <v>26250.000000000004</v>
      </c>
      <c r="J82" s="5">
        <f t="shared" si="47"/>
        <v>31250.000000000004</v>
      </c>
      <c r="L82" s="13">
        <v>11</v>
      </c>
      <c r="M82" s="5">
        <f t="shared" si="48"/>
        <v>25000</v>
      </c>
      <c r="N82" s="5">
        <f t="shared" si="29"/>
        <v>2500</v>
      </c>
      <c r="O82" s="13">
        <f t="shared" si="30"/>
        <v>15000.000000000002</v>
      </c>
      <c r="P82" s="13">
        <f t="shared" si="49"/>
        <v>17500</v>
      </c>
    </row>
    <row r="83" spans="1:18" x14ac:dyDescent="0.25">
      <c r="A83">
        <v>15</v>
      </c>
      <c r="B83" s="5">
        <f t="shared" si="45"/>
        <v>31500</v>
      </c>
      <c r="C83" s="5">
        <f t="shared" si="37"/>
        <v>-177625</v>
      </c>
      <c r="F83">
        <v>15</v>
      </c>
      <c r="G83" s="5">
        <f t="shared" si="46"/>
        <v>30000</v>
      </c>
      <c r="H83" s="5">
        <f t="shared" si="32"/>
        <v>5000</v>
      </c>
      <c r="I83" s="13">
        <f t="shared" si="33"/>
        <v>24000</v>
      </c>
      <c r="J83" s="5">
        <f t="shared" si="47"/>
        <v>29000</v>
      </c>
      <c r="L83" s="13">
        <v>12</v>
      </c>
      <c r="M83" s="5">
        <f t="shared" si="48"/>
        <v>22500</v>
      </c>
      <c r="N83" s="5">
        <f t="shared" si="29"/>
        <v>2500</v>
      </c>
      <c r="O83" s="13">
        <f t="shared" si="30"/>
        <v>14625.000000000004</v>
      </c>
      <c r="P83" s="13">
        <f t="shared" si="49"/>
        <v>17125.000000000004</v>
      </c>
    </row>
    <row r="84" spans="1:18" x14ac:dyDescent="0.25">
      <c r="A84">
        <v>16</v>
      </c>
      <c r="B84" s="5">
        <f t="shared" si="45"/>
        <v>28750.000000000004</v>
      </c>
      <c r="C84" s="5">
        <f t="shared" si="37"/>
        <v>-186175</v>
      </c>
      <c r="F84">
        <v>16</v>
      </c>
      <c r="G84" s="5">
        <f t="shared" si="46"/>
        <v>25000</v>
      </c>
      <c r="H84" s="5">
        <f t="shared" si="32"/>
        <v>5000</v>
      </c>
      <c r="I84" s="13">
        <f t="shared" si="33"/>
        <v>21250.000000000004</v>
      </c>
      <c r="J84" s="5">
        <f t="shared" si="47"/>
        <v>26250.000000000004</v>
      </c>
      <c r="L84" s="13">
        <v>13</v>
      </c>
      <c r="M84" s="5">
        <f t="shared" si="48"/>
        <v>20000</v>
      </c>
      <c r="N84" s="5">
        <f t="shared" si="29"/>
        <v>2500</v>
      </c>
      <c r="O84" s="13">
        <f t="shared" si="30"/>
        <v>14000.000000000002</v>
      </c>
      <c r="P84" s="13">
        <f t="shared" si="49"/>
        <v>16500</v>
      </c>
    </row>
    <row r="85" spans="1:18" x14ac:dyDescent="0.25">
      <c r="A85">
        <v>17</v>
      </c>
      <c r="B85" s="5">
        <f t="shared" si="45"/>
        <v>25500.000000000004</v>
      </c>
      <c r="C85" s="5">
        <f t="shared" si="37"/>
        <v>-191475</v>
      </c>
      <c r="F85">
        <v>17</v>
      </c>
      <c r="G85" s="5">
        <f t="shared" si="46"/>
        <v>20000</v>
      </c>
      <c r="H85" s="5">
        <f>IF(G85 &gt; 0, $G$69*0.05, 0)</f>
        <v>5000</v>
      </c>
      <c r="I85" s="13">
        <f t="shared" si="33"/>
        <v>18000.000000000004</v>
      </c>
      <c r="J85" s="5">
        <f t="shared" si="47"/>
        <v>23000.000000000004</v>
      </c>
      <c r="L85" s="13">
        <v>14</v>
      </c>
      <c r="M85" s="5">
        <f t="shared" si="48"/>
        <v>17500</v>
      </c>
      <c r="N85" s="5">
        <f t="shared" si="29"/>
        <v>2500</v>
      </c>
      <c r="O85" s="13">
        <f t="shared" si="30"/>
        <v>13125.000000000002</v>
      </c>
      <c r="P85" s="13">
        <f t="shared" si="49"/>
        <v>15625.000000000002</v>
      </c>
    </row>
    <row r="86" spans="1:18" x14ac:dyDescent="0.25">
      <c r="A86">
        <v>18</v>
      </c>
      <c r="B86" s="5">
        <f t="shared" si="45"/>
        <v>21750</v>
      </c>
      <c r="C86" s="5">
        <f t="shared" si="37"/>
        <v>-193025</v>
      </c>
      <c r="F86">
        <v>18</v>
      </c>
      <c r="G86" s="5">
        <f>G85-H85</f>
        <v>15000</v>
      </c>
      <c r="H86" s="5">
        <f t="shared" si="32"/>
        <v>5000</v>
      </c>
      <c r="I86" s="13">
        <f t="shared" si="33"/>
        <v>14250.000000000002</v>
      </c>
      <c r="J86" s="5">
        <f>SUM(H86:I86)</f>
        <v>19250</v>
      </c>
      <c r="L86" s="13">
        <v>15</v>
      </c>
      <c r="M86" s="5">
        <f t="shared" si="48"/>
        <v>15000</v>
      </c>
      <c r="N86" s="5">
        <f t="shared" si="29"/>
        <v>2500</v>
      </c>
      <c r="O86" s="13">
        <f t="shared" si="30"/>
        <v>12000</v>
      </c>
      <c r="P86" s="13">
        <f t="shared" si="49"/>
        <v>14500</v>
      </c>
    </row>
    <row r="87" spans="1:18" x14ac:dyDescent="0.25">
      <c r="A87">
        <v>19</v>
      </c>
      <c r="B87" s="5">
        <f t="shared" si="45"/>
        <v>17500</v>
      </c>
      <c r="C87" s="5">
        <f t="shared" si="37"/>
        <v>-190325</v>
      </c>
      <c r="F87">
        <v>19</v>
      </c>
      <c r="G87" s="5">
        <f>G86-H86</f>
        <v>10000</v>
      </c>
      <c r="H87" s="5">
        <f t="shared" si="32"/>
        <v>5000</v>
      </c>
      <c r="I87" s="13">
        <f t="shared" si="33"/>
        <v>10000</v>
      </c>
      <c r="J87" s="5">
        <f>SUM(H87:I87)</f>
        <v>15000</v>
      </c>
      <c r="K87" s="13"/>
      <c r="L87" s="13">
        <v>16</v>
      </c>
      <c r="M87" s="5">
        <f t="shared" si="48"/>
        <v>12500</v>
      </c>
      <c r="N87" s="5">
        <f t="shared" si="29"/>
        <v>2500</v>
      </c>
      <c r="O87" s="13">
        <f t="shared" si="30"/>
        <v>10625.000000000002</v>
      </c>
      <c r="P87" s="13">
        <f t="shared" si="49"/>
        <v>13125.000000000002</v>
      </c>
      <c r="Q87" s="13"/>
      <c r="R87" s="13"/>
    </row>
    <row r="88" spans="1:18" x14ac:dyDescent="0.25">
      <c r="A88">
        <v>20</v>
      </c>
      <c r="B88" s="5">
        <f t="shared" si="45"/>
        <v>12750</v>
      </c>
      <c r="C88" s="5">
        <f t="shared" si="37"/>
        <v>-182875</v>
      </c>
      <c r="F88">
        <v>20</v>
      </c>
      <c r="G88" s="5">
        <f>G87-H87</f>
        <v>5000</v>
      </c>
      <c r="H88" s="5">
        <f t="shared" si="32"/>
        <v>5000</v>
      </c>
      <c r="I88" s="13">
        <f>G88*($H$66+(A88*$I$66))</f>
        <v>5250</v>
      </c>
      <c r="J88" s="5">
        <f>SUM(H88:I88)</f>
        <v>10250</v>
      </c>
      <c r="K88" s="13"/>
      <c r="L88" s="13">
        <v>17</v>
      </c>
      <c r="M88" s="5">
        <f t="shared" si="48"/>
        <v>10000</v>
      </c>
      <c r="N88" s="5">
        <f t="shared" si="29"/>
        <v>2500</v>
      </c>
      <c r="O88" s="13">
        <f t="shared" si="30"/>
        <v>9000.0000000000018</v>
      </c>
      <c r="P88" s="13">
        <f t="shared" si="49"/>
        <v>11500.000000000002</v>
      </c>
      <c r="Q88" s="13"/>
      <c r="R88" s="13"/>
    </row>
    <row r="89" spans="1:18" x14ac:dyDescent="0.25">
      <c r="A89">
        <v>21</v>
      </c>
      <c r="B89" s="5">
        <f t="shared" si="45"/>
        <v>2500</v>
      </c>
      <c r="C89" s="5">
        <f t="shared" si="37"/>
        <v>-165175</v>
      </c>
      <c r="F89">
        <v>21</v>
      </c>
      <c r="G89" s="5">
        <f>G88-H88</f>
        <v>0</v>
      </c>
      <c r="H89" s="5">
        <f t="shared" si="32"/>
        <v>0</v>
      </c>
      <c r="I89" s="13">
        <f t="shared" si="33"/>
        <v>0</v>
      </c>
      <c r="J89" s="5">
        <f>SUM(H89:I89)</f>
        <v>0</v>
      </c>
      <c r="K89" s="13"/>
      <c r="L89" s="13">
        <v>18</v>
      </c>
      <c r="M89" s="5">
        <f t="shared" si="48"/>
        <v>7500</v>
      </c>
      <c r="N89" s="5">
        <f t="shared" si="29"/>
        <v>2500</v>
      </c>
      <c r="O89" s="13">
        <f t="shared" si="30"/>
        <v>7125.0000000000009</v>
      </c>
      <c r="P89" s="13">
        <f t="shared" si="49"/>
        <v>9625</v>
      </c>
      <c r="Q89" s="13"/>
      <c r="R89" s="13"/>
    </row>
    <row r="90" spans="1:18" x14ac:dyDescent="0.25">
      <c r="A90">
        <v>22</v>
      </c>
      <c r="B90" s="5">
        <f t="shared" si="45"/>
        <v>2500</v>
      </c>
      <c r="C90" s="5">
        <f t="shared" si="37"/>
        <v>-147475</v>
      </c>
      <c r="F90">
        <v>22</v>
      </c>
      <c r="G90" s="5">
        <f t="shared" ref="G90" si="50">G89-H89</f>
        <v>0</v>
      </c>
      <c r="H90" s="5">
        <f t="shared" si="32"/>
        <v>0</v>
      </c>
      <c r="I90" s="13">
        <f t="shared" si="33"/>
        <v>0</v>
      </c>
      <c r="J90" s="5">
        <f t="shared" ref="J90" si="51">SUM(H90:I90)</f>
        <v>0</v>
      </c>
      <c r="L90" s="13">
        <v>19</v>
      </c>
      <c r="M90" s="5">
        <f t="shared" ref="M90:M94" si="52">M89-N89</f>
        <v>5000</v>
      </c>
      <c r="N90" s="5">
        <f t="shared" si="29"/>
        <v>2500</v>
      </c>
      <c r="O90" s="13">
        <f t="shared" si="30"/>
        <v>5000</v>
      </c>
      <c r="P90" s="13">
        <f t="shared" ref="P90:P94" si="53">SUM(N90:O90)</f>
        <v>7500</v>
      </c>
      <c r="Q90" s="13"/>
      <c r="R90" s="13"/>
    </row>
    <row r="91" spans="1:18" x14ac:dyDescent="0.25">
      <c r="A91">
        <v>23</v>
      </c>
      <c r="B91" s="5">
        <f t="shared" si="45"/>
        <v>2500</v>
      </c>
      <c r="C91" s="5">
        <f t="shared" si="37"/>
        <v>-129775</v>
      </c>
      <c r="F91">
        <v>23</v>
      </c>
      <c r="G91" s="5">
        <f>G90-H90</f>
        <v>0</v>
      </c>
      <c r="H91" s="5">
        <f t="shared" si="32"/>
        <v>0</v>
      </c>
      <c r="I91" s="13">
        <f t="shared" si="33"/>
        <v>0</v>
      </c>
      <c r="J91" s="5">
        <f>SUM(H91:I91)</f>
        <v>0</v>
      </c>
      <c r="L91" s="13">
        <v>20</v>
      </c>
      <c r="M91" s="5">
        <f t="shared" si="52"/>
        <v>2500</v>
      </c>
      <c r="N91" s="5">
        <f t="shared" si="29"/>
        <v>2500</v>
      </c>
      <c r="O91" s="13">
        <f t="shared" si="30"/>
        <v>2625</v>
      </c>
      <c r="P91" s="13">
        <f t="shared" si="53"/>
        <v>5125</v>
      </c>
      <c r="Q91" s="13"/>
      <c r="R91" s="13"/>
    </row>
    <row r="92" spans="1:18" x14ac:dyDescent="0.25">
      <c r="A92">
        <v>24</v>
      </c>
      <c r="B92" s="5">
        <f t="shared" si="45"/>
        <v>0</v>
      </c>
      <c r="C92" s="5">
        <f t="shared" si="37"/>
        <v>-109575</v>
      </c>
      <c r="F92">
        <v>24</v>
      </c>
      <c r="G92" s="5">
        <f>G91-H91</f>
        <v>0</v>
      </c>
      <c r="H92" s="5">
        <f t="shared" si="32"/>
        <v>0</v>
      </c>
      <c r="I92" s="13">
        <f t="shared" si="33"/>
        <v>0</v>
      </c>
      <c r="J92" s="5">
        <f>SUM(H92:I92)</f>
        <v>0</v>
      </c>
      <c r="K92" s="13"/>
      <c r="L92" s="13">
        <v>21</v>
      </c>
      <c r="M92" s="5">
        <f t="shared" si="52"/>
        <v>0</v>
      </c>
      <c r="N92" s="5">
        <f t="shared" si="29"/>
        <v>0</v>
      </c>
      <c r="O92" s="13">
        <f t="shared" si="30"/>
        <v>0</v>
      </c>
      <c r="P92" s="13">
        <f t="shared" si="53"/>
        <v>0</v>
      </c>
      <c r="Q92" s="13"/>
      <c r="R92" s="13"/>
    </row>
    <row r="93" spans="1:18" x14ac:dyDescent="0.25">
      <c r="A93">
        <v>25</v>
      </c>
      <c r="B93" s="5">
        <f t="shared" si="45"/>
        <v>0</v>
      </c>
      <c r="C93" s="5">
        <f t="shared" si="37"/>
        <v>-89375</v>
      </c>
      <c r="F93">
        <v>25</v>
      </c>
      <c r="G93" s="5">
        <f>G92-H92</f>
        <v>0</v>
      </c>
      <c r="H93" s="5">
        <f t="shared" si="32"/>
        <v>0</v>
      </c>
      <c r="I93" s="13">
        <f t="shared" si="33"/>
        <v>0</v>
      </c>
      <c r="J93" s="5">
        <f>SUM(H93:I93)</f>
        <v>0</v>
      </c>
      <c r="K93" s="13"/>
      <c r="L93" s="13">
        <v>22</v>
      </c>
      <c r="M93" s="5">
        <f t="shared" si="52"/>
        <v>0</v>
      </c>
      <c r="N93" s="5">
        <f t="shared" si="29"/>
        <v>0</v>
      </c>
      <c r="O93" s="13">
        <f t="shared" si="30"/>
        <v>0</v>
      </c>
      <c r="P93" s="13">
        <f t="shared" si="53"/>
        <v>0</v>
      </c>
      <c r="Q93" s="13"/>
      <c r="R93" s="13"/>
    </row>
    <row r="94" spans="1:18" x14ac:dyDescent="0.25">
      <c r="A94">
        <v>26</v>
      </c>
      <c r="B94" s="5">
        <f t="shared" si="45"/>
        <v>0</v>
      </c>
      <c r="C94" s="5">
        <f t="shared" si="37"/>
        <v>-69175</v>
      </c>
      <c r="F94">
        <v>26</v>
      </c>
      <c r="G94" s="5">
        <f>G93-H93</f>
        <v>0</v>
      </c>
      <c r="H94" s="5">
        <f t="shared" si="32"/>
        <v>0</v>
      </c>
      <c r="I94" s="13">
        <f t="shared" si="33"/>
        <v>0</v>
      </c>
      <c r="J94" s="5">
        <f>SUM(H94:I94)</f>
        <v>0</v>
      </c>
      <c r="K94" s="13"/>
      <c r="L94" s="13">
        <v>23</v>
      </c>
      <c r="M94" s="5">
        <f t="shared" si="52"/>
        <v>0</v>
      </c>
      <c r="N94" s="5">
        <f t="shared" si="29"/>
        <v>0</v>
      </c>
      <c r="O94" s="13">
        <f t="shared" si="30"/>
        <v>0</v>
      </c>
      <c r="P94" s="13">
        <f t="shared" si="53"/>
        <v>0</v>
      </c>
      <c r="Q94" s="13"/>
      <c r="R94" s="1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2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2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2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25" x14ac:dyDescent="0.25">
      <c r="G100" t="s">
        <v>398</v>
      </c>
      <c r="H100" t="s">
        <v>391</v>
      </c>
      <c r="I100" t="s">
        <v>397</v>
      </c>
      <c r="J100" t="s">
        <v>164</v>
      </c>
      <c r="N100" t="s">
        <v>398</v>
      </c>
      <c r="Q100" t="s">
        <v>164</v>
      </c>
      <c r="U100" t="s">
        <v>398</v>
      </c>
      <c r="X100" t="s">
        <v>164</v>
      </c>
    </row>
    <row r="101" spans="1:25" x14ac:dyDescent="0.25">
      <c r="G101" s="5">
        <v>100000</v>
      </c>
      <c r="H101">
        <v>0.05</v>
      </c>
      <c r="I101">
        <f>I102/1000</f>
        <v>0.05</v>
      </c>
      <c r="J101" s="5">
        <f>SUM(J104:J130,K104:K130)</f>
        <v>196250</v>
      </c>
      <c r="N101" s="5">
        <v>50000</v>
      </c>
      <c r="Q101" s="5">
        <f>SUM(Q104:Q130,R104:R130)</f>
        <v>268750</v>
      </c>
      <c r="U101" s="5">
        <v>50000</v>
      </c>
      <c r="X101" s="5">
        <f>SUM(X104:X130,Y104:Y130)</f>
        <v>268750</v>
      </c>
    </row>
    <row r="102" spans="1:25" x14ac:dyDescent="0.25">
      <c r="I102">
        <v>50</v>
      </c>
    </row>
    <row r="103" spans="1:25" x14ac:dyDescent="0.25">
      <c r="A103" t="s">
        <v>390</v>
      </c>
      <c r="B103" t="s">
        <v>350</v>
      </c>
      <c r="C103" t="s">
        <v>392</v>
      </c>
      <c r="D103" t="s">
        <v>399</v>
      </c>
      <c r="F103" t="s">
        <v>390</v>
      </c>
      <c r="G103" t="s">
        <v>340</v>
      </c>
      <c r="H103" t="s">
        <v>343</v>
      </c>
      <c r="I103" s="13" t="s">
        <v>344</v>
      </c>
      <c r="J103" s="13" t="s">
        <v>139</v>
      </c>
      <c r="K103" s="13" t="s">
        <v>400</v>
      </c>
      <c r="M103" s="13" t="s">
        <v>390</v>
      </c>
      <c r="N103" s="13" t="s">
        <v>340</v>
      </c>
      <c r="O103" s="13" t="s">
        <v>343</v>
      </c>
      <c r="P103" s="13" t="s">
        <v>344</v>
      </c>
      <c r="Q103" s="13" t="s">
        <v>139</v>
      </c>
      <c r="R103" s="13" t="s">
        <v>400</v>
      </c>
      <c r="T103" t="s">
        <v>390</v>
      </c>
      <c r="U103" s="13" t="s">
        <v>340</v>
      </c>
      <c r="V103" s="13" t="s">
        <v>343</v>
      </c>
      <c r="W103" s="13" t="s">
        <v>344</v>
      </c>
      <c r="X103" s="13" t="s">
        <v>139</v>
      </c>
      <c r="Y103" s="13" t="s">
        <v>400</v>
      </c>
    </row>
    <row r="104" spans="1:25" x14ac:dyDescent="0.25">
      <c r="A104">
        <v>1</v>
      </c>
      <c r="B104" s="5">
        <f>J104+Q104+X104</f>
        <v>15000</v>
      </c>
      <c r="C104" s="5">
        <f>$B$28-B104+D104-K104-R104-Y104</f>
        <v>5200</v>
      </c>
      <c r="F104">
        <v>1</v>
      </c>
      <c r="G104" s="5">
        <f>G101</f>
        <v>100000</v>
      </c>
      <c r="H104" s="5">
        <f>IF(G104 &gt; 0, $G$101*0.05, 0)</f>
        <v>5000</v>
      </c>
      <c r="I104" s="13">
        <f>G104*($H$101+A104*$I$101)</f>
        <v>10000</v>
      </c>
      <c r="J104" s="5">
        <f>SUM(H104:I104)</f>
        <v>15000</v>
      </c>
      <c r="M104" s="13"/>
      <c r="N104" s="5">
        <v>0</v>
      </c>
      <c r="O104" s="5">
        <f>IF(N104 &gt; 0, $N$101*0.05, 0)</f>
        <v>0</v>
      </c>
      <c r="P104" s="13">
        <f>N104*($H$101+M104*$I$101)</f>
        <v>0</v>
      </c>
      <c r="Q104" s="13">
        <f>SUM(O104:P104)</f>
        <v>0</v>
      </c>
      <c r="R104" s="13"/>
      <c r="U104" s="5">
        <v>0</v>
      </c>
      <c r="V104" s="5">
        <f t="shared" ref="V104:V109" si="54">IF(U104 &gt; 0, $U$101*0.05, 0)</f>
        <v>0</v>
      </c>
      <c r="W104" s="13">
        <f>U104*($H$66+T104*$I$66)</f>
        <v>0</v>
      </c>
      <c r="X104" s="5">
        <f>SUM(V104:W104)</f>
        <v>0</v>
      </c>
    </row>
    <row r="105" spans="1:25" x14ac:dyDescent="0.25">
      <c r="A105">
        <v>2</v>
      </c>
      <c r="B105" s="5">
        <f t="shared" ref="B105:B129" si="55">J105+Q105+X105</f>
        <v>26750</v>
      </c>
      <c r="C105" s="5">
        <f>$B$28-B105+D105+C104-K105-R105-Y105</f>
        <v>18650</v>
      </c>
      <c r="D105">
        <v>50000</v>
      </c>
      <c r="F105">
        <v>2</v>
      </c>
      <c r="G105" s="5">
        <f>G104-H104-K104</f>
        <v>95000</v>
      </c>
      <c r="H105" s="5">
        <f t="shared" ref="H105:H129" si="56">IF(G105 &gt; 0, $G$101*0.05, 0)</f>
        <v>5000</v>
      </c>
      <c r="I105" s="13">
        <f t="shared" ref="I105:I129" si="57">G105*($H$101+A105*$I$101)</f>
        <v>14250.000000000002</v>
      </c>
      <c r="J105" s="5">
        <f t="shared" ref="J105:J109" si="58">SUM(H105:I105)</f>
        <v>19250</v>
      </c>
      <c r="K105">
        <v>30000</v>
      </c>
      <c r="M105" s="13">
        <v>1</v>
      </c>
      <c r="N105" s="5">
        <f>N101</f>
        <v>50000</v>
      </c>
      <c r="O105" s="5">
        <f t="shared" ref="O105:O129" si="59">IF(N105 &gt; 0, $N$101*0.05, 0)</f>
        <v>2500</v>
      </c>
      <c r="P105" s="13">
        <f t="shared" ref="P105:P129" si="60">N105*($H$101+M105*$I$101)</f>
        <v>5000</v>
      </c>
      <c r="Q105" s="13">
        <f t="shared" ref="Q105:Q129" si="61">SUM(O105:P105)</f>
        <v>7500</v>
      </c>
      <c r="R105" s="13"/>
      <c r="U105" s="5">
        <v>0</v>
      </c>
      <c r="V105" s="5">
        <f t="shared" si="54"/>
        <v>0</v>
      </c>
      <c r="W105" s="13">
        <f t="shared" ref="W105:W106" si="62">U105*($H$66+T105*$I$66)</f>
        <v>0</v>
      </c>
      <c r="X105" s="13">
        <f t="shared" ref="X105" si="63">SUM(V105:W105)</f>
        <v>0</v>
      </c>
    </row>
    <row r="106" spans="1:25" x14ac:dyDescent="0.25">
      <c r="A106">
        <v>3</v>
      </c>
      <c r="B106" s="5">
        <f t="shared" si="55"/>
        <v>26625</v>
      </c>
      <c r="C106" s="5">
        <f t="shared" ref="C106:C129" si="64">$B$28-B106+D106+C105-K106-R106</f>
        <v>12225</v>
      </c>
      <c r="F106">
        <v>3</v>
      </c>
      <c r="G106" s="5">
        <f t="shared" ref="G106:G129" si="65">G105-H105-K105</f>
        <v>60000</v>
      </c>
      <c r="H106" s="5">
        <f t="shared" si="56"/>
        <v>5000</v>
      </c>
      <c r="I106" s="13">
        <f t="shared" si="57"/>
        <v>12000</v>
      </c>
      <c r="J106" s="5">
        <f t="shared" si="58"/>
        <v>17000</v>
      </c>
      <c r="M106" s="13">
        <v>2</v>
      </c>
      <c r="N106" s="5">
        <f t="shared" ref="N106:N111" si="66">N105-O105-R105</f>
        <v>47500</v>
      </c>
      <c r="O106" s="5">
        <f t="shared" si="59"/>
        <v>2500</v>
      </c>
      <c r="P106" s="13">
        <f t="shared" si="60"/>
        <v>7125.0000000000009</v>
      </c>
      <c r="Q106" s="13">
        <f t="shared" si="61"/>
        <v>9625</v>
      </c>
      <c r="R106" s="13"/>
      <c r="U106" s="5">
        <f t="shared" ref="U106:U109" si="67">U105-V105-Y105</f>
        <v>0</v>
      </c>
      <c r="V106" s="5">
        <f t="shared" si="54"/>
        <v>0</v>
      </c>
      <c r="W106" s="13">
        <f t="shared" si="62"/>
        <v>0</v>
      </c>
      <c r="X106" s="13">
        <f t="shared" ref="X106:X110" si="68">SUM(V106:W106)</f>
        <v>0</v>
      </c>
    </row>
    <row r="107" spans="1:25" x14ac:dyDescent="0.25">
      <c r="A107">
        <v>4</v>
      </c>
      <c r="B107" s="5">
        <f t="shared" si="55"/>
        <v>30250</v>
      </c>
      <c r="C107" s="5">
        <f t="shared" si="64"/>
        <v>2175</v>
      </c>
      <c r="D107" s="5"/>
      <c r="F107">
        <v>4</v>
      </c>
      <c r="G107" s="5">
        <f t="shared" si="65"/>
        <v>55000</v>
      </c>
      <c r="H107" s="5">
        <f t="shared" si="56"/>
        <v>5000</v>
      </c>
      <c r="I107" s="13">
        <f t="shared" si="57"/>
        <v>13750</v>
      </c>
      <c r="J107" s="5">
        <f t="shared" si="58"/>
        <v>18750</v>
      </c>
      <c r="M107" s="13">
        <v>3</v>
      </c>
      <c r="N107" s="5">
        <f t="shared" si="66"/>
        <v>45000</v>
      </c>
      <c r="O107" s="5">
        <f t="shared" si="59"/>
        <v>2500</v>
      </c>
      <c r="P107" s="13">
        <f t="shared" si="60"/>
        <v>9000</v>
      </c>
      <c r="Q107" s="5">
        <f>SUM(O107:P107)</f>
        <v>11500</v>
      </c>
      <c r="R107" s="13"/>
      <c r="U107" s="5">
        <f t="shared" si="67"/>
        <v>0</v>
      </c>
      <c r="V107" s="5">
        <f t="shared" si="54"/>
        <v>0</v>
      </c>
      <c r="W107" s="13">
        <f>U107*($H$66+T107*$I$66)</f>
        <v>0</v>
      </c>
      <c r="X107" s="13">
        <f t="shared" si="68"/>
        <v>0</v>
      </c>
    </row>
    <row r="108" spans="1:25" x14ac:dyDescent="0.25">
      <c r="A108">
        <v>5</v>
      </c>
      <c r="B108" s="5">
        <f t="shared" si="55"/>
        <v>40625</v>
      </c>
      <c r="C108" s="5">
        <f t="shared" si="64"/>
        <v>11750</v>
      </c>
      <c r="D108">
        <v>50000</v>
      </c>
      <c r="F108">
        <v>5</v>
      </c>
      <c r="G108" s="5">
        <f t="shared" si="65"/>
        <v>50000</v>
      </c>
      <c r="H108" s="5">
        <f t="shared" si="56"/>
        <v>5000</v>
      </c>
      <c r="I108" s="13">
        <f t="shared" si="57"/>
        <v>15000</v>
      </c>
      <c r="J108" s="5">
        <f t="shared" si="58"/>
        <v>20000</v>
      </c>
      <c r="K108">
        <v>20000</v>
      </c>
      <c r="M108" s="13">
        <v>4</v>
      </c>
      <c r="N108" s="5">
        <f t="shared" si="66"/>
        <v>42500</v>
      </c>
      <c r="O108" s="5">
        <f t="shared" si="59"/>
        <v>2500</v>
      </c>
      <c r="P108" s="13">
        <f t="shared" si="60"/>
        <v>10625</v>
      </c>
      <c r="Q108" s="13">
        <f t="shared" si="61"/>
        <v>13125</v>
      </c>
      <c r="R108" s="13"/>
      <c r="T108">
        <v>1</v>
      </c>
      <c r="U108" s="5">
        <f>U101</f>
        <v>50000</v>
      </c>
      <c r="V108" s="5">
        <f t="shared" si="54"/>
        <v>2500</v>
      </c>
      <c r="W108" s="13">
        <f t="shared" ref="W108:W110" si="69">U108*($H$66+T108*$I$66)</f>
        <v>5000</v>
      </c>
      <c r="X108" s="13">
        <f t="shared" si="68"/>
        <v>7500</v>
      </c>
    </row>
    <row r="109" spans="1:25" x14ac:dyDescent="0.25">
      <c r="A109">
        <v>6</v>
      </c>
      <c r="B109" s="5">
        <f t="shared" si="55"/>
        <v>37875</v>
      </c>
      <c r="C109" s="5">
        <f t="shared" si="64"/>
        <v>-5925</v>
      </c>
      <c r="D109" s="5"/>
      <c r="F109">
        <v>6</v>
      </c>
      <c r="G109" s="5">
        <f>G108-H108-K108</f>
        <v>25000</v>
      </c>
      <c r="H109" s="5">
        <f t="shared" si="56"/>
        <v>5000</v>
      </c>
      <c r="I109" s="13">
        <f t="shared" si="57"/>
        <v>8750</v>
      </c>
      <c r="J109" s="5">
        <f t="shared" si="58"/>
        <v>13750</v>
      </c>
      <c r="M109" s="13">
        <v>5</v>
      </c>
      <c r="N109" s="5">
        <f t="shared" si="66"/>
        <v>40000</v>
      </c>
      <c r="O109" s="5">
        <f t="shared" si="59"/>
        <v>2500</v>
      </c>
      <c r="P109" s="13">
        <f t="shared" si="60"/>
        <v>12000</v>
      </c>
      <c r="Q109" s="13">
        <f t="shared" si="61"/>
        <v>14500</v>
      </c>
      <c r="R109" s="13"/>
      <c r="T109">
        <v>2</v>
      </c>
      <c r="U109" s="5">
        <f t="shared" si="67"/>
        <v>47500</v>
      </c>
      <c r="V109" s="5">
        <f t="shared" si="54"/>
        <v>2500</v>
      </c>
      <c r="W109" s="13">
        <f t="shared" si="69"/>
        <v>7125.0000000000009</v>
      </c>
      <c r="X109" s="5">
        <f>SUM(V109:W109)</f>
        <v>9625</v>
      </c>
    </row>
    <row r="110" spans="1:25" x14ac:dyDescent="0.25">
      <c r="A110">
        <v>7</v>
      </c>
      <c r="B110" s="5">
        <f t="shared" si="55"/>
        <v>40125</v>
      </c>
      <c r="C110" s="5">
        <f t="shared" si="64"/>
        <v>-25850</v>
      </c>
      <c r="F110">
        <v>7</v>
      </c>
      <c r="G110" s="5">
        <f t="shared" si="65"/>
        <v>20000</v>
      </c>
      <c r="H110" s="5">
        <f t="shared" si="56"/>
        <v>5000</v>
      </c>
      <c r="I110" s="13">
        <f t="shared" si="57"/>
        <v>8000</v>
      </c>
      <c r="J110" s="5">
        <f>SUM(H110:I110)</f>
        <v>13000</v>
      </c>
      <c r="K110" s="5"/>
      <c r="M110" s="13">
        <v>6</v>
      </c>
      <c r="N110" s="5">
        <f t="shared" si="66"/>
        <v>37500</v>
      </c>
      <c r="O110" s="5">
        <f t="shared" si="59"/>
        <v>2500</v>
      </c>
      <c r="P110" s="13">
        <f t="shared" si="60"/>
        <v>13125.000000000002</v>
      </c>
      <c r="Q110" s="13">
        <f t="shared" si="61"/>
        <v>15625.000000000002</v>
      </c>
      <c r="R110" s="13"/>
      <c r="S110" s="13"/>
      <c r="T110">
        <v>3</v>
      </c>
      <c r="U110" s="5">
        <f>U109-V109-Y109</f>
        <v>45000</v>
      </c>
      <c r="V110" s="5">
        <f>IF(U110 &gt; 0, $U$101*0.05, 0)</f>
        <v>2500</v>
      </c>
      <c r="W110" s="13">
        <f t="shared" si="69"/>
        <v>9000</v>
      </c>
      <c r="X110" s="13">
        <f t="shared" si="68"/>
        <v>11500</v>
      </c>
    </row>
    <row r="111" spans="1:25" x14ac:dyDescent="0.25">
      <c r="A111">
        <v>8</v>
      </c>
      <c r="B111" s="5">
        <f t="shared" si="55"/>
        <v>41375</v>
      </c>
      <c r="C111" s="5">
        <f t="shared" si="64"/>
        <v>-47025</v>
      </c>
      <c r="F111">
        <v>8</v>
      </c>
      <c r="G111" s="5">
        <f t="shared" si="65"/>
        <v>15000</v>
      </c>
      <c r="H111" s="5">
        <f t="shared" si="56"/>
        <v>5000</v>
      </c>
      <c r="I111" s="13">
        <f t="shared" si="57"/>
        <v>6750</v>
      </c>
      <c r="J111" s="5">
        <f t="shared" ref="J111:J114" si="70">SUM(H111:I111)</f>
        <v>11750</v>
      </c>
      <c r="M111" s="13">
        <v>7</v>
      </c>
      <c r="N111" s="5">
        <f t="shared" si="66"/>
        <v>35000</v>
      </c>
      <c r="O111" s="5">
        <f t="shared" si="59"/>
        <v>2500</v>
      </c>
      <c r="P111" s="13">
        <f t="shared" si="60"/>
        <v>14000</v>
      </c>
      <c r="Q111" s="13">
        <f t="shared" si="61"/>
        <v>16500</v>
      </c>
      <c r="R111" s="13"/>
      <c r="S111" s="13"/>
      <c r="T111">
        <v>4</v>
      </c>
      <c r="U111" s="5">
        <f t="shared" ref="U111:U129" si="71">U110-V110-Y110</f>
        <v>42500</v>
      </c>
      <c r="V111" s="5">
        <f t="shared" ref="V111:V129" si="72">IF(U111 &gt; 0, $U$101*0.05, 0)</f>
        <v>2500</v>
      </c>
      <c r="W111" s="13">
        <f t="shared" ref="W111:W129" si="73">U111*($H$66+T111*$I$66)</f>
        <v>10625</v>
      </c>
      <c r="X111" s="13">
        <f t="shared" ref="X111:X129" si="74">SUM(V111:W111)</f>
        <v>13125</v>
      </c>
    </row>
    <row r="112" spans="1:25" x14ac:dyDescent="0.25">
      <c r="A112">
        <v>9</v>
      </c>
      <c r="B112" s="5">
        <f t="shared" si="55"/>
        <v>41625</v>
      </c>
      <c r="C112" s="5">
        <f t="shared" si="64"/>
        <v>-68450</v>
      </c>
      <c r="F112">
        <v>9</v>
      </c>
      <c r="G112" s="5">
        <f t="shared" si="65"/>
        <v>10000</v>
      </c>
      <c r="H112" s="5">
        <f t="shared" si="56"/>
        <v>5000</v>
      </c>
      <c r="I112" s="13">
        <f t="shared" si="57"/>
        <v>5000</v>
      </c>
      <c r="J112" s="5">
        <f t="shared" si="70"/>
        <v>10000</v>
      </c>
      <c r="M112" s="13">
        <v>8</v>
      </c>
      <c r="N112" s="5">
        <f t="shared" ref="N112:N129" si="75">N111-O111-R111</f>
        <v>32500</v>
      </c>
      <c r="O112" s="5">
        <f t="shared" si="59"/>
        <v>2500</v>
      </c>
      <c r="P112" s="13">
        <f t="shared" si="60"/>
        <v>14625</v>
      </c>
      <c r="Q112" s="13">
        <f t="shared" si="61"/>
        <v>17125</v>
      </c>
      <c r="R112" s="13"/>
      <c r="S112" s="13"/>
      <c r="T112">
        <v>5</v>
      </c>
      <c r="U112" s="5">
        <f t="shared" si="71"/>
        <v>40000</v>
      </c>
      <c r="V112" s="5">
        <f t="shared" si="72"/>
        <v>2500</v>
      </c>
      <c r="W112" s="13">
        <f t="shared" si="73"/>
        <v>12000</v>
      </c>
      <c r="X112" s="13">
        <f t="shared" si="74"/>
        <v>14500</v>
      </c>
    </row>
    <row r="113" spans="1:24" x14ac:dyDescent="0.25">
      <c r="A113">
        <v>10</v>
      </c>
      <c r="B113" s="5">
        <f t="shared" si="55"/>
        <v>40875</v>
      </c>
      <c r="C113" s="5">
        <f t="shared" si="64"/>
        <v>-89125</v>
      </c>
      <c r="F113">
        <v>10</v>
      </c>
      <c r="G113" s="5">
        <f t="shared" si="65"/>
        <v>5000</v>
      </c>
      <c r="H113" s="5">
        <f t="shared" si="56"/>
        <v>5000</v>
      </c>
      <c r="I113" s="13">
        <f t="shared" si="57"/>
        <v>2750</v>
      </c>
      <c r="J113" s="5">
        <f t="shared" si="70"/>
        <v>7750</v>
      </c>
      <c r="M113" s="13">
        <v>9</v>
      </c>
      <c r="N113" s="5">
        <f t="shared" si="75"/>
        <v>30000</v>
      </c>
      <c r="O113" s="5">
        <f t="shared" si="59"/>
        <v>2500</v>
      </c>
      <c r="P113" s="13">
        <f t="shared" si="60"/>
        <v>15000</v>
      </c>
      <c r="Q113" s="13">
        <f t="shared" si="61"/>
        <v>17500</v>
      </c>
      <c r="T113">
        <v>6</v>
      </c>
      <c r="U113" s="5">
        <f>U112-V112-Y112</f>
        <v>37500</v>
      </c>
      <c r="V113" s="5">
        <f t="shared" si="72"/>
        <v>2500</v>
      </c>
      <c r="W113" s="13">
        <f t="shared" si="73"/>
        <v>13125.000000000002</v>
      </c>
      <c r="X113" s="13">
        <f t="shared" si="74"/>
        <v>15625.000000000002</v>
      </c>
    </row>
    <row r="114" spans="1:24" x14ac:dyDescent="0.25">
      <c r="A114">
        <v>11</v>
      </c>
      <c r="B114" s="5">
        <f t="shared" si="55"/>
        <v>34125</v>
      </c>
      <c r="C114" s="5">
        <f t="shared" si="64"/>
        <v>-103050</v>
      </c>
      <c r="F114">
        <v>11</v>
      </c>
      <c r="G114" s="5">
        <f t="shared" si="65"/>
        <v>0</v>
      </c>
      <c r="H114" s="5">
        <f t="shared" si="56"/>
        <v>0</v>
      </c>
      <c r="I114" s="13">
        <f t="shared" si="57"/>
        <v>0</v>
      </c>
      <c r="J114" s="5">
        <f t="shared" si="70"/>
        <v>0</v>
      </c>
      <c r="M114" s="13">
        <v>10</v>
      </c>
      <c r="N114" s="5">
        <f t="shared" si="75"/>
        <v>27500</v>
      </c>
      <c r="O114" s="5">
        <f t="shared" si="59"/>
        <v>2500</v>
      </c>
      <c r="P114" s="13">
        <f t="shared" si="60"/>
        <v>15125.000000000002</v>
      </c>
      <c r="Q114" s="13">
        <f t="shared" si="61"/>
        <v>17625</v>
      </c>
      <c r="T114">
        <v>7</v>
      </c>
      <c r="U114" s="5">
        <f t="shared" si="71"/>
        <v>35000</v>
      </c>
      <c r="V114" s="5">
        <f t="shared" si="72"/>
        <v>2500</v>
      </c>
      <c r="W114" s="13">
        <f t="shared" si="73"/>
        <v>14000</v>
      </c>
      <c r="X114" s="13">
        <f t="shared" si="74"/>
        <v>16500</v>
      </c>
    </row>
    <row r="115" spans="1:24" x14ac:dyDescent="0.25">
      <c r="A115">
        <v>12</v>
      </c>
      <c r="B115" s="5">
        <f t="shared" si="55"/>
        <v>34625</v>
      </c>
      <c r="C115" s="5">
        <f t="shared" si="64"/>
        <v>-117475</v>
      </c>
      <c r="F115">
        <v>12</v>
      </c>
      <c r="G115" s="5">
        <f t="shared" si="65"/>
        <v>0</v>
      </c>
      <c r="H115" s="5">
        <f t="shared" si="56"/>
        <v>0</v>
      </c>
      <c r="I115" s="13">
        <f t="shared" si="57"/>
        <v>0</v>
      </c>
      <c r="J115" s="5">
        <f>SUM(H115:I115)</f>
        <v>0</v>
      </c>
      <c r="M115" s="13">
        <v>11</v>
      </c>
      <c r="N115" s="5">
        <f t="shared" si="75"/>
        <v>25000</v>
      </c>
      <c r="O115" s="5">
        <f t="shared" si="59"/>
        <v>2500</v>
      </c>
      <c r="P115" s="13">
        <f t="shared" si="60"/>
        <v>15000.000000000002</v>
      </c>
      <c r="Q115" s="13">
        <f t="shared" si="61"/>
        <v>17500</v>
      </c>
      <c r="T115">
        <v>8</v>
      </c>
      <c r="U115" s="5">
        <f t="shared" si="71"/>
        <v>32500</v>
      </c>
      <c r="V115" s="5">
        <f t="shared" si="72"/>
        <v>2500</v>
      </c>
      <c r="W115" s="13">
        <f t="shared" si="73"/>
        <v>14625</v>
      </c>
      <c r="X115" s="13">
        <f t="shared" si="74"/>
        <v>17125</v>
      </c>
    </row>
    <row r="116" spans="1:24" x14ac:dyDescent="0.25">
      <c r="A116">
        <v>13</v>
      </c>
      <c r="B116" s="5">
        <f t="shared" si="55"/>
        <v>34625</v>
      </c>
      <c r="C116" s="5">
        <f t="shared" si="64"/>
        <v>-131900</v>
      </c>
      <c r="F116">
        <v>13</v>
      </c>
      <c r="G116" s="5">
        <f t="shared" si="65"/>
        <v>0</v>
      </c>
      <c r="H116" s="5">
        <f t="shared" si="56"/>
        <v>0</v>
      </c>
      <c r="I116" s="13">
        <f t="shared" si="57"/>
        <v>0</v>
      </c>
      <c r="J116" s="5">
        <f t="shared" ref="J116:J120" si="76">SUM(H116:I116)</f>
        <v>0</v>
      </c>
      <c r="M116" s="13">
        <v>12</v>
      </c>
      <c r="N116" s="5">
        <f t="shared" si="75"/>
        <v>22500</v>
      </c>
      <c r="O116" s="5">
        <f t="shared" si="59"/>
        <v>2500</v>
      </c>
      <c r="P116" s="13">
        <f t="shared" si="60"/>
        <v>14625.000000000004</v>
      </c>
      <c r="Q116" s="13">
        <f t="shared" si="61"/>
        <v>17125.000000000004</v>
      </c>
      <c r="T116">
        <v>9</v>
      </c>
      <c r="U116" s="5">
        <f t="shared" si="71"/>
        <v>30000</v>
      </c>
      <c r="V116" s="5">
        <f t="shared" si="72"/>
        <v>2500</v>
      </c>
      <c r="W116" s="13">
        <f t="shared" si="73"/>
        <v>15000</v>
      </c>
      <c r="X116" s="13">
        <f t="shared" si="74"/>
        <v>17500</v>
      </c>
    </row>
    <row r="117" spans="1:24" x14ac:dyDescent="0.25">
      <c r="A117">
        <v>14</v>
      </c>
      <c r="B117" s="5">
        <f t="shared" si="55"/>
        <v>34125</v>
      </c>
      <c r="C117" s="5">
        <f t="shared" si="64"/>
        <v>-145825</v>
      </c>
      <c r="F117">
        <v>14</v>
      </c>
      <c r="G117" s="5">
        <f t="shared" si="65"/>
        <v>0</v>
      </c>
      <c r="H117" s="5">
        <f t="shared" si="56"/>
        <v>0</v>
      </c>
      <c r="I117" s="13">
        <f t="shared" si="57"/>
        <v>0</v>
      </c>
      <c r="J117" s="5">
        <f t="shared" si="76"/>
        <v>0</v>
      </c>
      <c r="M117" s="13">
        <v>13</v>
      </c>
      <c r="N117" s="5">
        <f t="shared" si="75"/>
        <v>20000</v>
      </c>
      <c r="O117" s="5">
        <f t="shared" si="59"/>
        <v>2500</v>
      </c>
      <c r="P117" s="13">
        <f t="shared" si="60"/>
        <v>14000.000000000002</v>
      </c>
      <c r="Q117" s="13">
        <f t="shared" si="61"/>
        <v>16500</v>
      </c>
      <c r="T117">
        <v>10</v>
      </c>
      <c r="U117" s="5">
        <f t="shared" si="71"/>
        <v>27500</v>
      </c>
      <c r="V117" s="5">
        <f t="shared" si="72"/>
        <v>2500</v>
      </c>
      <c r="W117" s="13">
        <f t="shared" si="73"/>
        <v>15125.000000000002</v>
      </c>
      <c r="X117" s="13">
        <f t="shared" si="74"/>
        <v>17625</v>
      </c>
    </row>
    <row r="118" spans="1:24" x14ac:dyDescent="0.25">
      <c r="A118">
        <v>15</v>
      </c>
      <c r="B118" s="5">
        <f t="shared" si="55"/>
        <v>33125</v>
      </c>
      <c r="C118" s="5">
        <f t="shared" si="64"/>
        <v>-158750</v>
      </c>
      <c r="F118">
        <v>15</v>
      </c>
      <c r="G118" s="5">
        <f t="shared" si="65"/>
        <v>0</v>
      </c>
      <c r="H118" s="5">
        <f t="shared" si="56"/>
        <v>0</v>
      </c>
      <c r="I118" s="13">
        <f t="shared" si="57"/>
        <v>0</v>
      </c>
      <c r="J118" s="5">
        <f t="shared" si="76"/>
        <v>0</v>
      </c>
      <c r="M118" s="13">
        <v>14</v>
      </c>
      <c r="N118" s="5">
        <f t="shared" si="75"/>
        <v>17500</v>
      </c>
      <c r="O118" s="5">
        <f t="shared" si="59"/>
        <v>2500</v>
      </c>
      <c r="P118" s="13">
        <f t="shared" si="60"/>
        <v>13125.000000000002</v>
      </c>
      <c r="Q118" s="13">
        <f t="shared" si="61"/>
        <v>15625.000000000002</v>
      </c>
      <c r="T118">
        <v>11</v>
      </c>
      <c r="U118" s="5">
        <f t="shared" si="71"/>
        <v>25000</v>
      </c>
      <c r="V118" s="5">
        <f t="shared" si="72"/>
        <v>2500</v>
      </c>
      <c r="W118" s="13">
        <f t="shared" si="73"/>
        <v>15000.000000000002</v>
      </c>
      <c r="X118" s="13">
        <f t="shared" si="74"/>
        <v>17500</v>
      </c>
    </row>
    <row r="119" spans="1:24" x14ac:dyDescent="0.25">
      <c r="A119">
        <v>16</v>
      </c>
      <c r="B119" s="5">
        <f t="shared" si="55"/>
        <v>31625.000000000004</v>
      </c>
      <c r="C119" s="5">
        <f t="shared" si="64"/>
        <v>-170175</v>
      </c>
      <c r="F119">
        <v>16</v>
      </c>
      <c r="G119" s="5">
        <f t="shared" si="65"/>
        <v>0</v>
      </c>
      <c r="H119" s="5">
        <f t="shared" si="56"/>
        <v>0</v>
      </c>
      <c r="I119" s="13">
        <f t="shared" si="57"/>
        <v>0</v>
      </c>
      <c r="J119" s="5">
        <f t="shared" si="76"/>
        <v>0</v>
      </c>
      <c r="M119" s="13">
        <v>15</v>
      </c>
      <c r="N119" s="5">
        <f t="shared" si="75"/>
        <v>15000</v>
      </c>
      <c r="O119" s="5">
        <f t="shared" si="59"/>
        <v>2500</v>
      </c>
      <c r="P119" s="13">
        <f t="shared" si="60"/>
        <v>12000</v>
      </c>
      <c r="Q119" s="13">
        <f t="shared" si="61"/>
        <v>14500</v>
      </c>
      <c r="T119">
        <v>12</v>
      </c>
      <c r="U119" s="5">
        <f t="shared" si="71"/>
        <v>22500</v>
      </c>
      <c r="V119" s="5">
        <f t="shared" si="72"/>
        <v>2500</v>
      </c>
      <c r="W119" s="13">
        <f t="shared" si="73"/>
        <v>14625.000000000004</v>
      </c>
      <c r="X119" s="13">
        <f t="shared" si="74"/>
        <v>17125.000000000004</v>
      </c>
    </row>
    <row r="120" spans="1:24" x14ac:dyDescent="0.25">
      <c r="A120">
        <v>17</v>
      </c>
      <c r="B120" s="5">
        <f t="shared" si="55"/>
        <v>29625</v>
      </c>
      <c r="C120" s="5">
        <f t="shared" si="64"/>
        <v>-179600</v>
      </c>
      <c r="F120">
        <v>17</v>
      </c>
      <c r="G120" s="5">
        <f t="shared" si="65"/>
        <v>0</v>
      </c>
      <c r="H120" s="5">
        <f t="shared" si="56"/>
        <v>0</v>
      </c>
      <c r="I120" s="13">
        <f t="shared" si="57"/>
        <v>0</v>
      </c>
      <c r="J120" s="5">
        <f t="shared" si="76"/>
        <v>0</v>
      </c>
      <c r="M120" s="13">
        <v>16</v>
      </c>
      <c r="N120" s="5">
        <f t="shared" si="75"/>
        <v>12500</v>
      </c>
      <c r="O120" s="5">
        <f t="shared" si="59"/>
        <v>2500</v>
      </c>
      <c r="P120" s="13">
        <f t="shared" si="60"/>
        <v>10625.000000000002</v>
      </c>
      <c r="Q120" s="13">
        <f t="shared" si="61"/>
        <v>13125.000000000002</v>
      </c>
      <c r="T120">
        <v>13</v>
      </c>
      <c r="U120" s="5">
        <f t="shared" si="71"/>
        <v>20000</v>
      </c>
      <c r="V120" s="5">
        <f t="shared" si="72"/>
        <v>2500</v>
      </c>
      <c r="W120" s="13">
        <f t="shared" si="73"/>
        <v>14000.000000000002</v>
      </c>
      <c r="X120" s="13">
        <f t="shared" si="74"/>
        <v>16500</v>
      </c>
    </row>
    <row r="121" spans="1:24" x14ac:dyDescent="0.25">
      <c r="A121">
        <v>18</v>
      </c>
      <c r="B121" s="5">
        <f t="shared" si="55"/>
        <v>27125.000000000004</v>
      </c>
      <c r="C121" s="5">
        <f t="shared" si="64"/>
        <v>-186525</v>
      </c>
      <c r="F121">
        <v>18</v>
      </c>
      <c r="G121" s="5">
        <f t="shared" si="65"/>
        <v>0</v>
      </c>
      <c r="H121" s="5">
        <f t="shared" si="56"/>
        <v>0</v>
      </c>
      <c r="I121" s="13">
        <f t="shared" si="57"/>
        <v>0</v>
      </c>
      <c r="J121" s="5">
        <f>SUM(H121:I121)</f>
        <v>0</v>
      </c>
      <c r="M121" s="13">
        <v>17</v>
      </c>
      <c r="N121" s="5">
        <f t="shared" si="75"/>
        <v>10000</v>
      </c>
      <c r="O121" s="5">
        <f t="shared" si="59"/>
        <v>2500</v>
      </c>
      <c r="P121" s="13">
        <f t="shared" si="60"/>
        <v>9000.0000000000018</v>
      </c>
      <c r="Q121" s="13">
        <f t="shared" si="61"/>
        <v>11500.000000000002</v>
      </c>
      <c r="T121">
        <v>14</v>
      </c>
      <c r="U121" s="5">
        <f t="shared" si="71"/>
        <v>17500</v>
      </c>
      <c r="V121" s="5">
        <f t="shared" si="72"/>
        <v>2500</v>
      </c>
      <c r="W121" s="13">
        <f t="shared" si="73"/>
        <v>13125.000000000002</v>
      </c>
      <c r="X121" s="13">
        <f t="shared" si="74"/>
        <v>15625.000000000002</v>
      </c>
    </row>
    <row r="122" spans="1:24" x14ac:dyDescent="0.25">
      <c r="A122">
        <v>19</v>
      </c>
      <c r="B122" s="5">
        <f t="shared" si="55"/>
        <v>24125</v>
      </c>
      <c r="C122" s="5">
        <f t="shared" si="64"/>
        <v>-190450</v>
      </c>
      <c r="F122">
        <v>19</v>
      </c>
      <c r="G122" s="5">
        <f t="shared" si="65"/>
        <v>0</v>
      </c>
      <c r="H122" s="5">
        <f t="shared" si="56"/>
        <v>0</v>
      </c>
      <c r="I122" s="13">
        <f t="shared" si="57"/>
        <v>0</v>
      </c>
      <c r="J122" s="5">
        <f>SUM(H122:I122)</f>
        <v>0</v>
      </c>
      <c r="K122" s="13"/>
      <c r="M122" s="13">
        <v>18</v>
      </c>
      <c r="N122" s="5">
        <f t="shared" si="75"/>
        <v>7500</v>
      </c>
      <c r="O122" s="5">
        <f t="shared" si="59"/>
        <v>2500</v>
      </c>
      <c r="P122" s="13">
        <f t="shared" si="60"/>
        <v>7125.0000000000009</v>
      </c>
      <c r="Q122" s="13">
        <f t="shared" si="61"/>
        <v>9625</v>
      </c>
      <c r="R122" s="13"/>
      <c r="S122" s="13"/>
      <c r="T122">
        <v>15</v>
      </c>
      <c r="U122" s="5">
        <f t="shared" si="71"/>
        <v>15000</v>
      </c>
      <c r="V122" s="5">
        <f t="shared" si="72"/>
        <v>2500</v>
      </c>
      <c r="W122" s="13">
        <f t="shared" si="73"/>
        <v>12000</v>
      </c>
      <c r="X122" s="13">
        <f t="shared" si="74"/>
        <v>14500</v>
      </c>
    </row>
    <row r="123" spans="1:24" x14ac:dyDescent="0.25">
      <c r="A123">
        <v>20</v>
      </c>
      <c r="B123" s="5">
        <f t="shared" si="55"/>
        <v>20625</v>
      </c>
      <c r="C123" s="5">
        <f t="shared" si="64"/>
        <v>-190875</v>
      </c>
      <c r="F123">
        <v>20</v>
      </c>
      <c r="G123" s="5">
        <f t="shared" si="65"/>
        <v>0</v>
      </c>
      <c r="H123" s="5">
        <f t="shared" si="56"/>
        <v>0</v>
      </c>
      <c r="I123" s="13">
        <f t="shared" si="57"/>
        <v>0</v>
      </c>
      <c r="J123" s="5">
        <f>SUM(H123:I123)</f>
        <v>0</v>
      </c>
      <c r="K123" s="13"/>
      <c r="M123" s="13">
        <v>19</v>
      </c>
      <c r="N123" s="5">
        <f t="shared" si="75"/>
        <v>5000</v>
      </c>
      <c r="O123" s="5">
        <f t="shared" si="59"/>
        <v>2500</v>
      </c>
      <c r="P123" s="13">
        <f t="shared" si="60"/>
        <v>5000</v>
      </c>
      <c r="Q123" s="13">
        <f t="shared" si="61"/>
        <v>7500</v>
      </c>
      <c r="R123" s="13"/>
      <c r="S123" s="13"/>
      <c r="T123">
        <v>16</v>
      </c>
      <c r="U123" s="5">
        <f t="shared" si="71"/>
        <v>12500</v>
      </c>
      <c r="V123" s="5">
        <f t="shared" si="72"/>
        <v>2500</v>
      </c>
      <c r="W123" s="13">
        <f t="shared" si="73"/>
        <v>10625.000000000002</v>
      </c>
      <c r="X123" s="13">
        <f t="shared" si="74"/>
        <v>13125.000000000002</v>
      </c>
    </row>
    <row r="124" spans="1:24" x14ac:dyDescent="0.25">
      <c r="A124">
        <v>21</v>
      </c>
      <c r="B124" s="5">
        <f t="shared" si="55"/>
        <v>16625</v>
      </c>
      <c r="C124" s="5">
        <f t="shared" si="64"/>
        <v>-187300</v>
      </c>
      <c r="F124">
        <v>21</v>
      </c>
      <c r="G124" s="5">
        <f t="shared" si="65"/>
        <v>0</v>
      </c>
      <c r="H124" s="5">
        <f t="shared" si="56"/>
        <v>0</v>
      </c>
      <c r="I124" s="13">
        <f t="shared" si="57"/>
        <v>0</v>
      </c>
      <c r="J124" s="5">
        <f>SUM(H124:I124)</f>
        <v>0</v>
      </c>
      <c r="K124" s="13"/>
      <c r="M124" s="13">
        <v>20</v>
      </c>
      <c r="N124" s="5">
        <f t="shared" si="75"/>
        <v>2500</v>
      </c>
      <c r="O124" s="5">
        <f t="shared" si="59"/>
        <v>2500</v>
      </c>
      <c r="P124" s="13">
        <f t="shared" si="60"/>
        <v>2625</v>
      </c>
      <c r="Q124" s="13">
        <f t="shared" si="61"/>
        <v>5125</v>
      </c>
      <c r="R124" s="13"/>
      <c r="S124" s="13"/>
      <c r="T124">
        <v>17</v>
      </c>
      <c r="U124" s="5">
        <f t="shared" si="71"/>
        <v>10000</v>
      </c>
      <c r="V124" s="5">
        <f t="shared" si="72"/>
        <v>2500</v>
      </c>
      <c r="W124" s="13">
        <f t="shared" si="73"/>
        <v>9000.0000000000018</v>
      </c>
      <c r="X124" s="13">
        <f t="shared" si="74"/>
        <v>11500.000000000002</v>
      </c>
    </row>
    <row r="125" spans="1:24" x14ac:dyDescent="0.25">
      <c r="A125">
        <v>22</v>
      </c>
      <c r="B125" s="5">
        <f t="shared" si="55"/>
        <v>9625</v>
      </c>
      <c r="C125" s="5">
        <f t="shared" si="64"/>
        <v>-176725</v>
      </c>
      <c r="F125">
        <v>22</v>
      </c>
      <c r="G125" s="5">
        <f t="shared" si="65"/>
        <v>0</v>
      </c>
      <c r="H125" s="5">
        <f t="shared" si="56"/>
        <v>0</v>
      </c>
      <c r="I125" s="13">
        <f t="shared" si="57"/>
        <v>0</v>
      </c>
      <c r="J125" s="5">
        <f t="shared" ref="J125" si="77">SUM(H125:I125)</f>
        <v>0</v>
      </c>
      <c r="M125" s="13">
        <v>21</v>
      </c>
      <c r="N125" s="5">
        <f t="shared" si="75"/>
        <v>0</v>
      </c>
      <c r="O125" s="5">
        <f t="shared" si="59"/>
        <v>0</v>
      </c>
      <c r="P125" s="13">
        <f t="shared" si="60"/>
        <v>0</v>
      </c>
      <c r="Q125" s="13">
        <f t="shared" si="61"/>
        <v>0</v>
      </c>
      <c r="R125" s="13"/>
      <c r="S125" s="13"/>
      <c r="T125">
        <v>18</v>
      </c>
      <c r="U125" s="5">
        <f t="shared" si="71"/>
        <v>7500</v>
      </c>
      <c r="V125" s="5">
        <f t="shared" si="72"/>
        <v>2500</v>
      </c>
      <c r="W125" s="13">
        <f t="shared" si="73"/>
        <v>7125.0000000000009</v>
      </c>
      <c r="X125" s="13">
        <f t="shared" si="74"/>
        <v>9625</v>
      </c>
    </row>
    <row r="126" spans="1:24" x14ac:dyDescent="0.25">
      <c r="A126">
        <v>23</v>
      </c>
      <c r="B126" s="5">
        <f t="shared" si="55"/>
        <v>7500</v>
      </c>
      <c r="C126" s="5">
        <f t="shared" si="64"/>
        <v>-164025</v>
      </c>
      <c r="F126">
        <v>23</v>
      </c>
      <c r="G126" s="5">
        <f t="shared" si="65"/>
        <v>0</v>
      </c>
      <c r="H126" s="5">
        <f t="shared" si="56"/>
        <v>0</v>
      </c>
      <c r="I126" s="13">
        <f t="shared" si="57"/>
        <v>0</v>
      </c>
      <c r="J126" s="5">
        <f>SUM(H126:I126)</f>
        <v>0</v>
      </c>
      <c r="M126" s="13">
        <v>22</v>
      </c>
      <c r="N126" s="5">
        <f t="shared" si="75"/>
        <v>0</v>
      </c>
      <c r="O126" s="5">
        <f t="shared" si="59"/>
        <v>0</v>
      </c>
      <c r="P126" s="13">
        <f t="shared" si="60"/>
        <v>0</v>
      </c>
      <c r="Q126" s="13">
        <f t="shared" si="61"/>
        <v>0</v>
      </c>
      <c r="R126" s="13"/>
      <c r="S126" s="13"/>
      <c r="T126">
        <v>19</v>
      </c>
      <c r="U126" s="5">
        <f t="shared" si="71"/>
        <v>5000</v>
      </c>
      <c r="V126" s="5">
        <f t="shared" si="72"/>
        <v>2500</v>
      </c>
      <c r="W126" s="13">
        <f t="shared" si="73"/>
        <v>5000</v>
      </c>
      <c r="X126" s="13">
        <f t="shared" si="74"/>
        <v>7500</v>
      </c>
    </row>
    <row r="127" spans="1:24" x14ac:dyDescent="0.25">
      <c r="A127">
        <v>24</v>
      </c>
      <c r="B127" s="5">
        <f t="shared" si="55"/>
        <v>5125</v>
      </c>
      <c r="C127" s="5">
        <f>$B$28-B127+D127+C126-K127-R127</f>
        <v>-148950</v>
      </c>
      <c r="F127">
        <v>24</v>
      </c>
      <c r="G127" s="5">
        <f t="shared" si="65"/>
        <v>0</v>
      </c>
      <c r="H127" s="5">
        <f t="shared" si="56"/>
        <v>0</v>
      </c>
      <c r="I127" s="13">
        <f t="shared" si="57"/>
        <v>0</v>
      </c>
      <c r="J127" s="5">
        <f>SUM(H127:I127)</f>
        <v>0</v>
      </c>
      <c r="K127" s="13"/>
      <c r="M127" s="13">
        <v>23</v>
      </c>
      <c r="N127" s="5">
        <f t="shared" si="75"/>
        <v>0</v>
      </c>
      <c r="O127" s="5">
        <f t="shared" si="59"/>
        <v>0</v>
      </c>
      <c r="P127" s="13">
        <f t="shared" si="60"/>
        <v>0</v>
      </c>
      <c r="Q127" s="13">
        <f t="shared" si="61"/>
        <v>0</v>
      </c>
      <c r="R127" s="13"/>
      <c r="S127" s="13"/>
      <c r="T127">
        <v>20</v>
      </c>
      <c r="U127" s="5">
        <f t="shared" si="71"/>
        <v>2500</v>
      </c>
      <c r="V127" s="5">
        <f t="shared" si="72"/>
        <v>2500</v>
      </c>
      <c r="W127" s="13">
        <f t="shared" si="73"/>
        <v>2625</v>
      </c>
      <c r="X127" s="13">
        <f t="shared" si="74"/>
        <v>5125</v>
      </c>
    </row>
    <row r="128" spans="1:24" x14ac:dyDescent="0.25">
      <c r="A128">
        <v>25</v>
      </c>
      <c r="B128" s="5">
        <f t="shared" si="55"/>
        <v>0</v>
      </c>
      <c r="C128" s="5">
        <f t="shared" si="64"/>
        <v>-128750</v>
      </c>
      <c r="F128">
        <v>25</v>
      </c>
      <c r="G128" s="5">
        <f t="shared" si="65"/>
        <v>0</v>
      </c>
      <c r="H128" s="5">
        <f t="shared" si="56"/>
        <v>0</v>
      </c>
      <c r="I128" s="13">
        <f t="shared" si="57"/>
        <v>0</v>
      </c>
      <c r="J128" s="5">
        <f>SUM(H128:I128)</f>
        <v>0</v>
      </c>
      <c r="K128" s="13"/>
      <c r="M128" s="13">
        <v>24</v>
      </c>
      <c r="N128" s="5">
        <f t="shared" si="75"/>
        <v>0</v>
      </c>
      <c r="O128" s="5">
        <f t="shared" si="59"/>
        <v>0</v>
      </c>
      <c r="P128" s="13">
        <f t="shared" si="60"/>
        <v>0</v>
      </c>
      <c r="Q128" s="13">
        <f t="shared" si="61"/>
        <v>0</v>
      </c>
      <c r="R128" s="13"/>
      <c r="S128" s="13"/>
      <c r="T128">
        <v>21</v>
      </c>
      <c r="U128" s="5">
        <f t="shared" si="71"/>
        <v>0</v>
      </c>
      <c r="V128" s="5">
        <f t="shared" si="72"/>
        <v>0</v>
      </c>
      <c r="W128" s="13">
        <f t="shared" si="73"/>
        <v>0</v>
      </c>
      <c r="X128" s="13">
        <f t="shared" si="74"/>
        <v>0</v>
      </c>
    </row>
    <row r="129" spans="1:24" x14ac:dyDescent="0.25">
      <c r="A129">
        <v>26</v>
      </c>
      <c r="B129" s="5">
        <f t="shared" si="55"/>
        <v>0</v>
      </c>
      <c r="C129" s="5">
        <f t="shared" si="64"/>
        <v>-108550</v>
      </c>
      <c r="F129">
        <v>26</v>
      </c>
      <c r="G129" s="5">
        <f t="shared" si="65"/>
        <v>0</v>
      </c>
      <c r="H129" s="5">
        <f t="shared" si="56"/>
        <v>0</v>
      </c>
      <c r="I129" s="13">
        <f t="shared" si="57"/>
        <v>0</v>
      </c>
      <c r="J129" s="5">
        <f>SUM(H129:I129)</f>
        <v>0</v>
      </c>
      <c r="K129" s="13"/>
      <c r="M129" s="13">
        <v>25</v>
      </c>
      <c r="N129" s="5">
        <f t="shared" si="75"/>
        <v>0</v>
      </c>
      <c r="O129" s="5">
        <f t="shared" si="59"/>
        <v>0</v>
      </c>
      <c r="P129" s="13">
        <f t="shared" si="60"/>
        <v>0</v>
      </c>
      <c r="Q129" s="13">
        <f t="shared" si="61"/>
        <v>0</v>
      </c>
      <c r="R129" s="13"/>
      <c r="S129" s="13"/>
      <c r="T129">
        <v>22</v>
      </c>
      <c r="U129" s="5">
        <f t="shared" si="71"/>
        <v>0</v>
      </c>
      <c r="V129" s="5">
        <f t="shared" si="72"/>
        <v>0</v>
      </c>
      <c r="W129" s="13">
        <f t="shared" si="73"/>
        <v>0</v>
      </c>
      <c r="X129" s="13">
        <f t="shared" si="74"/>
        <v>0</v>
      </c>
    </row>
    <row r="130" spans="1:2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2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2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2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2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2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2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2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2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2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2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2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2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2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2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</sheetData>
  <conditionalFormatting sqref="H22:J2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K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D39 C5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11 C1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1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{AF13B116-63F1-4A73-8D44-10AECEC95E8E}</x14:id>
        </ext>
      </extLst>
    </cfRule>
  </conditionalFormatting>
  <conditionalFormatting sqref="I31:I38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{67906953-6FBB-46C3-9426-9623A31B5ABF}</x14:id>
        </ext>
      </extLst>
    </cfRule>
  </conditionalFormatting>
  <conditionalFormatting sqref="B31:B3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{4894C36E-DA08-4DDF-A15F-E3DC2EA9839B}</x14:id>
        </ext>
      </extLst>
    </cfRule>
  </conditionalFormatting>
  <conditionalFormatting sqref="K31:K32">
    <cfRule type="top10" dxfId="3" priority="20" rank="1"/>
  </conditionalFormatting>
  <conditionalFormatting sqref="L31:L38">
    <cfRule type="top10" dxfId="2" priority="19" rank="1"/>
  </conditionalFormatting>
  <conditionalFormatting sqref="K33:K34">
    <cfRule type="top10" dxfId="1" priority="18" rank="1"/>
  </conditionalFormatting>
  <conditionalFormatting sqref="K35:K36">
    <cfRule type="top10" dxfId="0" priority="17" rank="1"/>
  </conditionalFormatting>
  <conditionalFormatting sqref="B31:B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{ED3527A4-55C2-4F85-89E6-A3D5FC27B677}</x14:id>
        </ext>
      </extLst>
    </cfRule>
  </conditionalFormatting>
  <conditionalFormatting sqref="I31:I4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{B217FA29-E2E2-4DA1-8064-626902B6E337}</x14:id>
        </ext>
      </extLst>
    </cfRule>
  </conditionalFormatting>
  <conditionalFormatting sqref="E31:E4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{6C8F97DB-6CC7-4C98-9C40-0570BDB7F616}</x14:id>
        </ext>
      </extLst>
    </cfRule>
  </conditionalFormatting>
  <conditionalFormatting sqref="C31:C4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{7A35A63C-0D8D-4F9E-8998-1BD477708C5E}</x14:id>
        </ext>
      </extLst>
    </cfRule>
  </conditionalFormatting>
  <conditionalFormatting sqref="T21:T44 T46:V4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{BED13393-2894-45C3-BEBA-2C7C138C3251}</x14:id>
        </ext>
      </extLst>
    </cfRule>
  </conditionalFormatting>
  <conditionalFormatting sqref="Q21:Q4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{98864D61-C72E-4D5A-B5EA-2097BD84B5C3}</x14:id>
        </ext>
      </extLst>
    </cfRule>
  </conditionalFormatting>
  <conditionalFormatting sqref="U21:U4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{FEC894EB-41F1-416A-9311-2C6F760D5A75}</x14:id>
        </ext>
      </extLst>
    </cfRule>
  </conditionalFormatting>
  <conditionalFormatting sqref="S21:S4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{E8C773CA-F9A0-4D33-9640-0BC3B1F780BE}</x14:id>
        </ext>
      </extLst>
    </cfRule>
  </conditionalFormatting>
  <conditionalFormatting sqref="T21:T47 U46:V4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{15ACA067-9853-4B28-B9C8-98A89A1B2027}</x14:id>
        </ext>
      </extLst>
    </cfRule>
  </conditionalFormatting>
  <conditionalFormatting sqref="V4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{A9F6FC12-CD4D-4E8C-A099-68470145DBF1}</x14:id>
        </ext>
      </extLst>
    </cfRule>
  </conditionalFormatting>
  <conditionalFormatting sqref="V21:V4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{DBFAA247-2128-4CAC-B419-30879A3B4286}</x14:id>
        </ext>
      </extLst>
    </cfRule>
  </conditionalFormatting>
  <conditionalFormatting sqref="I69:I9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{73605C39-B582-40CA-8A4C-FC61622B2000}</x14:id>
        </ext>
      </extLst>
    </cfRule>
  </conditionalFormatting>
  <conditionalFormatting sqref="O69:O9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{9D2BCA57-5727-43B6-9C3E-DB3622E566CA}</x14:id>
        </ext>
      </extLst>
    </cfRule>
  </conditionalFormatting>
  <conditionalFormatting sqref="I104:I12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{01592675-C04A-4508-AA5F-6BC2A5C5FCA6}</x14:id>
        </ext>
      </extLst>
    </cfRule>
  </conditionalFormatting>
  <conditionalFormatting sqref="P105:P1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{C32D73DF-58FF-43F2-9988-463092C00B81}</x14:id>
        </ext>
      </extLst>
    </cfRule>
  </conditionalFormatting>
  <conditionalFormatting sqref="W104:W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{0F084481-3B0A-4C95-9FCD-15334120D339}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Scroll Bar 1">
              <controlPr defaultSize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6" r:id="rId5" name="Scroll Bar 2">
              <controlPr defaultSize="0" autoPict="0">
                <anchor moveWithCells="1">
                  <from>
                    <xdr:col>8</xdr:col>
                    <xdr:colOff>0</xdr:colOff>
                    <xdr:row>66</xdr:row>
                    <xdr:rowOff>0</xdr:rowOff>
                  </from>
                  <to>
                    <xdr:col>9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7" r:id="rId6" name="Scroll Bar 3">
              <controlPr defaultSize="0" autoPict="0">
                <anchor moveWithCells="1">
                  <from>
                    <xdr:col>8</xdr:col>
                    <xdr:colOff>0</xdr:colOff>
                    <xdr:row>101</xdr:row>
                    <xdr:rowOff>0</xdr:rowOff>
                  </from>
                  <to>
                    <xdr:col>9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13B116-63F1-4A73-8D44-10AECEC95E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K4:K11</xm:sqref>
        </x14:conditionalFormatting>
        <x14:conditionalFormatting xmlns:xm="http://schemas.microsoft.com/office/excel/2006/main">
          <x14:cfRule type="dataBar" id="{67906953-6FBB-46C3-9426-9623A31B5A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I31:I38</xm:sqref>
        </x14:conditionalFormatting>
        <x14:conditionalFormatting xmlns:xm="http://schemas.microsoft.com/office/excel/2006/main">
          <x14:cfRule type="dataBar" id="{4894C36E-DA08-4DDF-A15F-E3DC2EA983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B31:B38</xm:sqref>
        </x14:conditionalFormatting>
        <x14:conditionalFormatting xmlns:xm="http://schemas.microsoft.com/office/excel/2006/main">
          <x14:cfRule type="dataBar" id="{ED3527A4-55C2-4F85-89E6-A3D5FC27B6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B31:B48</xm:sqref>
        </x14:conditionalFormatting>
        <x14:conditionalFormatting xmlns:xm="http://schemas.microsoft.com/office/excel/2006/main">
          <x14:cfRule type="dataBar" id="{B217FA29-E2E2-4DA1-8064-626902B6E3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I31:I48</xm:sqref>
        </x14:conditionalFormatting>
        <x14:conditionalFormatting xmlns:xm="http://schemas.microsoft.com/office/excel/2006/main">
          <x14:cfRule type="dataBar" id="{6C8F97DB-6CC7-4C98-9C40-0570BDB7F6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E31:E48</xm:sqref>
        </x14:conditionalFormatting>
        <x14:conditionalFormatting xmlns:xm="http://schemas.microsoft.com/office/excel/2006/main">
          <x14:cfRule type="dataBar" id="{7A35A63C-0D8D-4F9E-8998-1BD477708C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C31:C48</xm:sqref>
        </x14:conditionalFormatting>
        <x14:conditionalFormatting xmlns:xm="http://schemas.microsoft.com/office/excel/2006/main">
          <x14:cfRule type="dataBar" id="{BED13393-2894-45C3-BEBA-2C7C138C3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T21:T44 T46:V46</xm:sqref>
        </x14:conditionalFormatting>
        <x14:conditionalFormatting xmlns:xm="http://schemas.microsoft.com/office/excel/2006/main">
          <x14:cfRule type="dataBar" id="{98864D61-C72E-4D5A-B5EA-2097BD84B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Q21:Q44</xm:sqref>
        </x14:conditionalFormatting>
        <x14:conditionalFormatting xmlns:xm="http://schemas.microsoft.com/office/excel/2006/main">
          <x14:cfRule type="dataBar" id="{FEC894EB-41F1-416A-9311-2C6F760D5A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U21:U44</xm:sqref>
        </x14:conditionalFormatting>
        <x14:conditionalFormatting xmlns:xm="http://schemas.microsoft.com/office/excel/2006/main">
          <x14:cfRule type="dataBar" id="{E8C773CA-F9A0-4D33-9640-0BC3B1F78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S21:S44</xm:sqref>
        </x14:conditionalFormatting>
        <x14:conditionalFormatting xmlns:xm="http://schemas.microsoft.com/office/excel/2006/main">
          <x14:cfRule type="dataBar" id="{15ACA067-9853-4B28-B9C8-98A89A1B20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T21:T47 U46:V47</xm:sqref>
        </x14:conditionalFormatting>
        <x14:conditionalFormatting xmlns:xm="http://schemas.microsoft.com/office/excel/2006/main">
          <x14:cfRule type="dataBar" id="{A9F6FC12-CD4D-4E8C-A099-68470145DB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V46</xm:sqref>
        </x14:conditionalFormatting>
        <x14:conditionalFormatting xmlns:xm="http://schemas.microsoft.com/office/excel/2006/main">
          <x14:cfRule type="dataBar" id="{DBFAA247-2128-4CAC-B419-30879A3B4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V21:V44</xm:sqref>
        </x14:conditionalFormatting>
        <x14:conditionalFormatting xmlns:xm="http://schemas.microsoft.com/office/excel/2006/main">
          <x14:cfRule type="dataBar" id="{73605C39-B582-40CA-8A4C-FC61622B20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I69:I94</xm:sqref>
        </x14:conditionalFormatting>
        <x14:conditionalFormatting xmlns:xm="http://schemas.microsoft.com/office/excel/2006/main">
          <x14:cfRule type="dataBar" id="{9D2BCA57-5727-43B6-9C3E-DB3622E566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O69:O94</xm:sqref>
        </x14:conditionalFormatting>
        <x14:conditionalFormatting xmlns:xm="http://schemas.microsoft.com/office/excel/2006/main">
          <x14:cfRule type="dataBar" id="{01592675-C04A-4508-AA5F-6BC2A5C5FC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I104:I129</xm:sqref>
        </x14:conditionalFormatting>
        <x14:conditionalFormatting xmlns:xm="http://schemas.microsoft.com/office/excel/2006/main">
          <x14:cfRule type="dataBar" id="{C32D73DF-58FF-43F2-9988-463092C00B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P105:P129</xm:sqref>
        </x14:conditionalFormatting>
        <x14:conditionalFormatting xmlns:xm="http://schemas.microsoft.com/office/excel/2006/main">
          <x14:cfRule type="dataBar" id="{0F084481-3B0A-4C95-9FCD-15334120D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W104:W129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2:T124"/>
  <sheetViews>
    <sheetView topLeftCell="G1" workbookViewId="0">
      <selection activeCell="M21" sqref="M21"/>
    </sheetView>
  </sheetViews>
  <sheetFormatPr defaultColWidth="15.7109375" defaultRowHeight="15" x14ac:dyDescent="0.25"/>
  <cols>
    <col min="10" max="19" width="11.28515625" customWidth="1"/>
  </cols>
  <sheetData>
    <row r="2" spans="1:19" x14ac:dyDescent="0.25">
      <c r="A2" t="s">
        <v>215</v>
      </c>
      <c r="H2" t="s">
        <v>77</v>
      </c>
    </row>
    <row r="3" spans="1:19" x14ac:dyDescent="0.25">
      <c r="E3" t="s">
        <v>362</v>
      </c>
      <c r="F3" t="s">
        <v>362</v>
      </c>
      <c r="H3">
        <v>0</v>
      </c>
    </row>
    <row r="4" spans="1:19" x14ac:dyDescent="0.25">
      <c r="A4" t="s">
        <v>223</v>
      </c>
      <c r="B4" t="s">
        <v>267</v>
      </c>
      <c r="C4" t="s">
        <v>265</v>
      </c>
      <c r="D4" t="s">
        <v>266</v>
      </c>
      <c r="E4" t="s">
        <v>265</v>
      </c>
      <c r="F4" t="s">
        <v>266</v>
      </c>
      <c r="H4" t="s">
        <v>78</v>
      </c>
      <c r="I4" s="7" t="s">
        <v>223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</row>
    <row r="5" spans="1:19" x14ac:dyDescent="0.25">
      <c r="A5" t="s">
        <v>280</v>
      </c>
      <c r="B5" t="s">
        <v>268</v>
      </c>
      <c r="C5">
        <f>E5*10</f>
        <v>100</v>
      </c>
      <c r="D5">
        <f>F5*5</f>
        <v>1100</v>
      </c>
      <c r="E5">
        <v>10</v>
      </c>
      <c r="F5">
        <v>220</v>
      </c>
      <c r="H5">
        <f>C5+((D5-C5)*$H$3)</f>
        <v>100</v>
      </c>
      <c r="I5" s="6" t="s">
        <v>280</v>
      </c>
      <c r="J5">
        <f>ROUND((((1-((J$4-1)/($S$4-1)))^2)*$C5)+(2*(1-((J$4-1)/($S$4-1)))*((J$4-1)/($S$4-1))*$H5)+((((J$4-1)/($S$4-1))^2)*$D5),-1)</f>
        <v>100</v>
      </c>
      <c r="K5">
        <f t="shared" ref="K5:S5" si="0">ROUND((((1-((K$4-1)/($S$4-1)))^2)*$C5)+(2*(1-((K$4-1)/($S$4-1)))*((K$4-1)/($S$4-1))*$H5)+((((K$4-1)/($S$4-1))^2)*$D5),-1)</f>
        <v>110</v>
      </c>
      <c r="L5">
        <f t="shared" si="0"/>
        <v>150</v>
      </c>
      <c r="M5">
        <f t="shared" si="0"/>
        <v>210</v>
      </c>
      <c r="N5">
        <f t="shared" si="0"/>
        <v>300</v>
      </c>
      <c r="O5">
        <f t="shared" si="0"/>
        <v>410</v>
      </c>
      <c r="P5">
        <f t="shared" si="0"/>
        <v>540</v>
      </c>
      <c r="Q5">
        <f t="shared" si="0"/>
        <v>700</v>
      </c>
      <c r="R5">
        <f t="shared" si="0"/>
        <v>890</v>
      </c>
      <c r="S5">
        <f t="shared" si="0"/>
        <v>1100</v>
      </c>
    </row>
    <row r="6" spans="1:19" x14ac:dyDescent="0.25">
      <c r="A6" t="s">
        <v>256</v>
      </c>
      <c r="B6" t="s">
        <v>268</v>
      </c>
      <c r="C6">
        <f t="shared" ref="C6:C17" si="1">E6*10</f>
        <v>500</v>
      </c>
      <c r="D6">
        <f t="shared" ref="D6:D17" si="2">F6*5</f>
        <v>2200</v>
      </c>
      <c r="E6">
        <v>50</v>
      </c>
      <c r="F6">
        <v>440</v>
      </c>
      <c r="H6">
        <f t="shared" ref="H6:H17" si="3">C6+((D6-C6)*$H$3)</f>
        <v>500</v>
      </c>
      <c r="I6" s="6" t="s">
        <v>256</v>
      </c>
      <c r="J6">
        <f t="shared" ref="J6:S17" si="4">ROUND((((1-((J$4-1)/($S$4-1)))^2)*$C6)+(2*(1-((J$4-1)/($S$4-1)))*((J$4-1)/($S$4-1))*$H6)+((((J$4-1)/($S$4-1))^2)*$D6),-1)</f>
        <v>500</v>
      </c>
      <c r="K6">
        <f t="shared" si="4"/>
        <v>520</v>
      </c>
      <c r="L6">
        <f t="shared" si="4"/>
        <v>580</v>
      </c>
      <c r="M6">
        <f t="shared" si="4"/>
        <v>690</v>
      </c>
      <c r="N6">
        <f t="shared" si="4"/>
        <v>840</v>
      </c>
      <c r="O6">
        <f t="shared" si="4"/>
        <v>1020</v>
      </c>
      <c r="P6">
        <f t="shared" si="4"/>
        <v>1260</v>
      </c>
      <c r="Q6">
        <f t="shared" si="4"/>
        <v>1530</v>
      </c>
      <c r="R6">
        <f t="shared" si="4"/>
        <v>1840</v>
      </c>
      <c r="S6">
        <f t="shared" si="4"/>
        <v>2200</v>
      </c>
    </row>
    <row r="7" spans="1:19" x14ac:dyDescent="0.25">
      <c r="A7" t="s">
        <v>257</v>
      </c>
      <c r="B7" t="s">
        <v>268</v>
      </c>
      <c r="C7">
        <f t="shared" si="1"/>
        <v>1400</v>
      </c>
      <c r="D7">
        <f t="shared" si="2"/>
        <v>3450</v>
      </c>
      <c r="E7">
        <v>140</v>
      </c>
      <c r="F7">
        <v>690</v>
      </c>
      <c r="H7">
        <f t="shared" si="3"/>
        <v>1400</v>
      </c>
      <c r="I7" s="6" t="s">
        <v>257</v>
      </c>
      <c r="J7">
        <f t="shared" si="4"/>
        <v>1400</v>
      </c>
      <c r="K7">
        <f t="shared" si="4"/>
        <v>1430</v>
      </c>
      <c r="L7">
        <f t="shared" si="4"/>
        <v>1500</v>
      </c>
      <c r="M7">
        <f t="shared" si="4"/>
        <v>1630</v>
      </c>
      <c r="N7">
        <f t="shared" si="4"/>
        <v>1800</v>
      </c>
      <c r="O7">
        <f t="shared" si="4"/>
        <v>2030</v>
      </c>
      <c r="P7">
        <f t="shared" si="4"/>
        <v>2310</v>
      </c>
      <c r="Q7">
        <f t="shared" si="4"/>
        <v>2640</v>
      </c>
      <c r="R7">
        <f t="shared" si="4"/>
        <v>3020</v>
      </c>
      <c r="S7">
        <f t="shared" si="4"/>
        <v>3450</v>
      </c>
    </row>
    <row r="8" spans="1:19" x14ac:dyDescent="0.25">
      <c r="A8" t="s">
        <v>258</v>
      </c>
      <c r="B8" t="s">
        <v>268</v>
      </c>
      <c r="C8">
        <f t="shared" si="1"/>
        <v>400</v>
      </c>
      <c r="D8">
        <f t="shared" si="2"/>
        <v>3600</v>
      </c>
      <c r="E8">
        <v>40</v>
      </c>
      <c r="F8">
        <v>720</v>
      </c>
      <c r="H8">
        <f t="shared" si="3"/>
        <v>400</v>
      </c>
      <c r="I8" s="6" t="s">
        <v>258</v>
      </c>
      <c r="J8">
        <f t="shared" si="4"/>
        <v>400</v>
      </c>
      <c r="K8">
        <f t="shared" si="4"/>
        <v>440</v>
      </c>
      <c r="L8">
        <f t="shared" si="4"/>
        <v>560</v>
      </c>
      <c r="M8">
        <f t="shared" si="4"/>
        <v>760</v>
      </c>
      <c r="N8">
        <f t="shared" si="4"/>
        <v>1030</v>
      </c>
      <c r="O8">
        <f t="shared" si="4"/>
        <v>1390</v>
      </c>
      <c r="P8">
        <f t="shared" si="4"/>
        <v>1820</v>
      </c>
      <c r="Q8">
        <f t="shared" si="4"/>
        <v>2340</v>
      </c>
      <c r="R8">
        <f t="shared" si="4"/>
        <v>2930</v>
      </c>
      <c r="S8">
        <f t="shared" si="4"/>
        <v>3600</v>
      </c>
    </row>
    <row r="9" spans="1:19" x14ac:dyDescent="0.25">
      <c r="A9" t="s">
        <v>259</v>
      </c>
      <c r="B9" t="s">
        <v>268</v>
      </c>
      <c r="C9">
        <f t="shared" si="1"/>
        <v>800</v>
      </c>
      <c r="D9">
        <f t="shared" si="2"/>
        <v>2600</v>
      </c>
      <c r="E9">
        <v>80</v>
      </c>
      <c r="F9">
        <v>520</v>
      </c>
      <c r="H9">
        <f t="shared" si="3"/>
        <v>800</v>
      </c>
      <c r="I9" s="6" t="s">
        <v>259</v>
      </c>
      <c r="J9">
        <f t="shared" si="4"/>
        <v>800</v>
      </c>
      <c r="K9">
        <f t="shared" si="4"/>
        <v>820</v>
      </c>
      <c r="L9">
        <f t="shared" si="4"/>
        <v>890</v>
      </c>
      <c r="M9">
        <f t="shared" si="4"/>
        <v>1000</v>
      </c>
      <c r="N9">
        <f t="shared" si="4"/>
        <v>1160</v>
      </c>
      <c r="O9">
        <f t="shared" si="4"/>
        <v>1360</v>
      </c>
      <c r="P9">
        <f t="shared" si="4"/>
        <v>1600</v>
      </c>
      <c r="Q9">
        <f t="shared" si="4"/>
        <v>1890</v>
      </c>
      <c r="R9">
        <f t="shared" si="4"/>
        <v>2220</v>
      </c>
      <c r="S9">
        <f t="shared" si="4"/>
        <v>2600</v>
      </c>
    </row>
    <row r="10" spans="1:19" x14ac:dyDescent="0.25">
      <c r="A10" t="s">
        <v>282</v>
      </c>
      <c r="B10" t="s">
        <v>268</v>
      </c>
      <c r="C10">
        <f t="shared" si="1"/>
        <v>600</v>
      </c>
      <c r="D10">
        <f t="shared" si="2"/>
        <v>2700</v>
      </c>
      <c r="E10">
        <v>60</v>
      </c>
      <c r="F10">
        <v>540</v>
      </c>
      <c r="H10">
        <f t="shared" si="3"/>
        <v>600</v>
      </c>
      <c r="I10" s="6" t="s">
        <v>282</v>
      </c>
      <c r="J10">
        <f t="shared" si="4"/>
        <v>600</v>
      </c>
      <c r="K10">
        <f t="shared" si="4"/>
        <v>630</v>
      </c>
      <c r="L10">
        <f t="shared" si="4"/>
        <v>700</v>
      </c>
      <c r="M10">
        <f t="shared" si="4"/>
        <v>830</v>
      </c>
      <c r="N10">
        <f t="shared" si="4"/>
        <v>1010</v>
      </c>
      <c r="O10">
        <f t="shared" si="4"/>
        <v>1250</v>
      </c>
      <c r="P10">
        <f t="shared" si="4"/>
        <v>1530</v>
      </c>
      <c r="Q10">
        <f t="shared" si="4"/>
        <v>1870</v>
      </c>
      <c r="R10">
        <f t="shared" si="4"/>
        <v>2260</v>
      </c>
      <c r="S10">
        <f t="shared" si="4"/>
        <v>2700</v>
      </c>
    </row>
    <row r="11" spans="1:19" x14ac:dyDescent="0.25">
      <c r="A11" t="s">
        <v>260</v>
      </c>
      <c r="B11" t="s">
        <v>268</v>
      </c>
      <c r="C11">
        <f t="shared" si="1"/>
        <v>900</v>
      </c>
      <c r="D11">
        <f t="shared" si="2"/>
        <v>2850</v>
      </c>
      <c r="E11">
        <v>90</v>
      </c>
      <c r="F11">
        <v>570</v>
      </c>
      <c r="H11">
        <f t="shared" si="3"/>
        <v>900</v>
      </c>
      <c r="I11" s="6" t="s">
        <v>260</v>
      </c>
      <c r="J11">
        <f t="shared" si="4"/>
        <v>900</v>
      </c>
      <c r="K11">
        <f t="shared" si="4"/>
        <v>920</v>
      </c>
      <c r="L11">
        <f t="shared" si="4"/>
        <v>1000</v>
      </c>
      <c r="M11">
        <f t="shared" si="4"/>
        <v>1120</v>
      </c>
      <c r="N11">
        <f t="shared" si="4"/>
        <v>1290</v>
      </c>
      <c r="O11">
        <f t="shared" si="4"/>
        <v>1500</v>
      </c>
      <c r="P11">
        <f t="shared" si="4"/>
        <v>1770</v>
      </c>
      <c r="Q11">
        <f t="shared" si="4"/>
        <v>2080</v>
      </c>
      <c r="R11">
        <f t="shared" si="4"/>
        <v>2440</v>
      </c>
      <c r="S11">
        <f t="shared" si="4"/>
        <v>2850</v>
      </c>
    </row>
    <row r="12" spans="1:19" x14ac:dyDescent="0.25">
      <c r="A12" t="s">
        <v>262</v>
      </c>
      <c r="B12" t="s">
        <v>268</v>
      </c>
      <c r="C12">
        <f t="shared" si="1"/>
        <v>1200</v>
      </c>
      <c r="D12">
        <f t="shared" si="2"/>
        <v>3250</v>
      </c>
      <c r="E12">
        <v>120</v>
      </c>
      <c r="F12">
        <v>650</v>
      </c>
      <c r="H12">
        <f t="shared" si="3"/>
        <v>1200</v>
      </c>
      <c r="I12" s="6" t="s">
        <v>262</v>
      </c>
      <c r="J12">
        <f t="shared" si="4"/>
        <v>1200</v>
      </c>
      <c r="K12">
        <f t="shared" si="4"/>
        <v>1230</v>
      </c>
      <c r="L12">
        <f t="shared" si="4"/>
        <v>1300</v>
      </c>
      <c r="M12">
        <f t="shared" si="4"/>
        <v>1430</v>
      </c>
      <c r="N12">
        <f t="shared" si="4"/>
        <v>1600</v>
      </c>
      <c r="O12">
        <f t="shared" si="4"/>
        <v>1830</v>
      </c>
      <c r="P12">
        <f t="shared" si="4"/>
        <v>2110</v>
      </c>
      <c r="Q12">
        <f t="shared" si="4"/>
        <v>2440</v>
      </c>
      <c r="R12">
        <f t="shared" si="4"/>
        <v>2820</v>
      </c>
      <c r="S12">
        <f t="shared" si="4"/>
        <v>3250</v>
      </c>
    </row>
    <row r="13" spans="1:19" x14ac:dyDescent="0.25">
      <c r="A13" t="s">
        <v>281</v>
      </c>
      <c r="B13" t="s">
        <v>268</v>
      </c>
      <c r="C13">
        <f t="shared" si="1"/>
        <v>300</v>
      </c>
      <c r="D13">
        <f t="shared" si="2"/>
        <v>1650</v>
      </c>
      <c r="E13">
        <v>30</v>
      </c>
      <c r="F13">
        <v>330</v>
      </c>
      <c r="H13">
        <f t="shared" si="3"/>
        <v>300</v>
      </c>
      <c r="I13" s="6" t="s">
        <v>281</v>
      </c>
      <c r="J13">
        <f t="shared" si="4"/>
        <v>300</v>
      </c>
      <c r="K13">
        <f t="shared" si="4"/>
        <v>320</v>
      </c>
      <c r="L13">
        <f t="shared" si="4"/>
        <v>370</v>
      </c>
      <c r="M13">
        <f t="shared" si="4"/>
        <v>450</v>
      </c>
      <c r="N13">
        <f t="shared" si="4"/>
        <v>570</v>
      </c>
      <c r="O13">
        <f t="shared" si="4"/>
        <v>720</v>
      </c>
      <c r="P13">
        <f t="shared" si="4"/>
        <v>900</v>
      </c>
      <c r="Q13">
        <f t="shared" si="4"/>
        <v>1120</v>
      </c>
      <c r="R13">
        <f t="shared" si="4"/>
        <v>1370</v>
      </c>
      <c r="S13">
        <f t="shared" si="4"/>
        <v>1650</v>
      </c>
    </row>
    <row r="14" spans="1:19" x14ac:dyDescent="0.25">
      <c r="A14" t="s">
        <v>284</v>
      </c>
      <c r="B14" t="s">
        <v>268</v>
      </c>
      <c r="C14">
        <f t="shared" si="1"/>
        <v>200</v>
      </c>
      <c r="D14">
        <f t="shared" si="2"/>
        <v>1450</v>
      </c>
      <c r="E14">
        <v>20</v>
      </c>
      <c r="F14">
        <v>290</v>
      </c>
      <c r="H14">
        <f t="shared" si="3"/>
        <v>200</v>
      </c>
      <c r="I14" s="6" t="s">
        <v>284</v>
      </c>
      <c r="J14">
        <f t="shared" si="4"/>
        <v>200</v>
      </c>
      <c r="K14">
        <f t="shared" si="4"/>
        <v>220</v>
      </c>
      <c r="L14">
        <f t="shared" si="4"/>
        <v>260</v>
      </c>
      <c r="M14">
        <f t="shared" si="4"/>
        <v>340</v>
      </c>
      <c r="N14">
        <f t="shared" si="4"/>
        <v>450</v>
      </c>
      <c r="O14">
        <f t="shared" si="4"/>
        <v>590</v>
      </c>
      <c r="P14">
        <f t="shared" si="4"/>
        <v>760</v>
      </c>
      <c r="Q14">
        <f t="shared" si="4"/>
        <v>960</v>
      </c>
      <c r="R14">
        <f t="shared" si="4"/>
        <v>1190</v>
      </c>
      <c r="S14">
        <f t="shared" si="4"/>
        <v>1450</v>
      </c>
    </row>
    <row r="15" spans="1:19" x14ac:dyDescent="0.25">
      <c r="A15" t="s">
        <v>283</v>
      </c>
      <c r="B15" t="s">
        <v>268</v>
      </c>
      <c r="C15">
        <f t="shared" si="1"/>
        <v>900</v>
      </c>
      <c r="D15">
        <f t="shared" si="2"/>
        <v>2950</v>
      </c>
      <c r="E15">
        <v>90</v>
      </c>
      <c r="F15">
        <v>590</v>
      </c>
      <c r="H15">
        <f t="shared" si="3"/>
        <v>900</v>
      </c>
      <c r="I15" s="6" t="s">
        <v>283</v>
      </c>
      <c r="J15">
        <f t="shared" si="4"/>
        <v>900</v>
      </c>
      <c r="K15">
        <f t="shared" si="4"/>
        <v>930</v>
      </c>
      <c r="L15">
        <f t="shared" si="4"/>
        <v>1000</v>
      </c>
      <c r="M15">
        <f t="shared" si="4"/>
        <v>1130</v>
      </c>
      <c r="N15">
        <f t="shared" si="4"/>
        <v>1300</v>
      </c>
      <c r="O15">
        <f t="shared" si="4"/>
        <v>1530</v>
      </c>
      <c r="P15">
        <f t="shared" si="4"/>
        <v>1810</v>
      </c>
      <c r="Q15">
        <f t="shared" si="4"/>
        <v>2140</v>
      </c>
      <c r="R15">
        <f t="shared" si="4"/>
        <v>2520</v>
      </c>
      <c r="S15">
        <f t="shared" si="4"/>
        <v>2950</v>
      </c>
    </row>
    <row r="16" spans="1:19" x14ac:dyDescent="0.25">
      <c r="A16" t="s">
        <v>261</v>
      </c>
      <c r="B16" t="s">
        <v>268</v>
      </c>
      <c r="C16">
        <f t="shared" si="1"/>
        <v>1000</v>
      </c>
      <c r="D16">
        <f t="shared" si="2"/>
        <v>3750</v>
      </c>
      <c r="E16">
        <v>100</v>
      </c>
      <c r="F16">
        <v>750</v>
      </c>
      <c r="H16">
        <f t="shared" si="3"/>
        <v>1000</v>
      </c>
      <c r="I16" s="6" t="s">
        <v>261</v>
      </c>
      <c r="J16">
        <f t="shared" si="4"/>
        <v>1000</v>
      </c>
      <c r="K16">
        <f t="shared" si="4"/>
        <v>1030</v>
      </c>
      <c r="L16">
        <f t="shared" si="4"/>
        <v>1140</v>
      </c>
      <c r="M16">
        <f t="shared" si="4"/>
        <v>1310</v>
      </c>
      <c r="N16">
        <f t="shared" si="4"/>
        <v>1540</v>
      </c>
      <c r="O16">
        <f t="shared" si="4"/>
        <v>1850</v>
      </c>
      <c r="P16">
        <f t="shared" si="4"/>
        <v>2220</v>
      </c>
      <c r="Q16">
        <f t="shared" si="4"/>
        <v>2660</v>
      </c>
      <c r="R16">
        <f t="shared" si="4"/>
        <v>3170</v>
      </c>
      <c r="S16">
        <f t="shared" si="4"/>
        <v>3750</v>
      </c>
    </row>
    <row r="17" spans="1:20" x14ac:dyDescent="0.25">
      <c r="A17" t="s">
        <v>363</v>
      </c>
      <c r="B17" t="s">
        <v>268</v>
      </c>
      <c r="C17">
        <f t="shared" si="1"/>
        <v>1500</v>
      </c>
      <c r="D17">
        <f t="shared" si="2"/>
        <v>3650</v>
      </c>
      <c r="E17">
        <v>150</v>
      </c>
      <c r="F17">
        <v>730</v>
      </c>
      <c r="H17">
        <f t="shared" si="3"/>
        <v>1500</v>
      </c>
      <c r="I17" s="6" t="s">
        <v>363</v>
      </c>
      <c r="J17">
        <f t="shared" si="4"/>
        <v>1500</v>
      </c>
      <c r="K17">
        <f t="shared" si="4"/>
        <v>1530</v>
      </c>
      <c r="L17">
        <f t="shared" si="4"/>
        <v>1610</v>
      </c>
      <c r="M17">
        <f t="shared" si="4"/>
        <v>1740</v>
      </c>
      <c r="N17">
        <f t="shared" si="4"/>
        <v>1920</v>
      </c>
      <c r="O17">
        <f t="shared" si="4"/>
        <v>2160</v>
      </c>
      <c r="P17">
        <f t="shared" si="4"/>
        <v>2460</v>
      </c>
      <c r="Q17">
        <f t="shared" si="4"/>
        <v>2800</v>
      </c>
      <c r="R17">
        <f t="shared" si="4"/>
        <v>3200</v>
      </c>
      <c r="S17">
        <f t="shared" si="4"/>
        <v>3650</v>
      </c>
    </row>
    <row r="18" spans="1:20" x14ac:dyDescent="0.25">
      <c r="T18" t="s">
        <v>474</v>
      </c>
    </row>
    <row r="19" spans="1:20" x14ac:dyDescent="0.25">
      <c r="I19" t="s">
        <v>131</v>
      </c>
      <c r="J19" s="15">
        <f>ROUND(AVERAGE(J5:J17), -1)</f>
        <v>750</v>
      </c>
      <c r="K19" s="15">
        <f t="shared" ref="K19:S19" si="5">ROUND(AVERAGE(K5:K17), -1)</f>
        <v>780</v>
      </c>
      <c r="L19" s="15">
        <f t="shared" si="5"/>
        <v>850</v>
      </c>
      <c r="M19" s="15">
        <f t="shared" si="5"/>
        <v>970</v>
      </c>
      <c r="N19" s="15">
        <f t="shared" si="5"/>
        <v>1140</v>
      </c>
      <c r="O19" s="15">
        <f t="shared" si="5"/>
        <v>1360</v>
      </c>
      <c r="P19" s="15">
        <f t="shared" si="5"/>
        <v>1620</v>
      </c>
      <c r="Q19" s="15">
        <f t="shared" si="5"/>
        <v>1940</v>
      </c>
      <c r="R19" s="15">
        <f t="shared" si="5"/>
        <v>2300</v>
      </c>
      <c r="S19" s="15">
        <f t="shared" si="5"/>
        <v>2710</v>
      </c>
      <c r="T19" s="15">
        <f>AVERAGE(J19:S19)</f>
        <v>1442</v>
      </c>
    </row>
    <row r="21" spans="1:20" x14ac:dyDescent="0.25">
      <c r="I21" t="s">
        <v>364</v>
      </c>
      <c r="J21">
        <f>ROUND(AVERAGE(J19:M19), -1)</f>
        <v>840</v>
      </c>
    </row>
    <row r="22" spans="1:20" x14ac:dyDescent="0.25">
      <c r="F22" s="2"/>
      <c r="I22" t="s">
        <v>365</v>
      </c>
      <c r="J22">
        <f>ROUND(AVERAGE(M19:P19), -1)</f>
        <v>1270</v>
      </c>
    </row>
    <row r="23" spans="1:20" x14ac:dyDescent="0.25">
      <c r="I23" t="s">
        <v>366</v>
      </c>
      <c r="J23">
        <f>ROUND(AVERAGE(P19:S19), -1)</f>
        <v>2140</v>
      </c>
    </row>
    <row r="25" spans="1:20" x14ac:dyDescent="0.25">
      <c r="J25" t="s">
        <v>419</v>
      </c>
    </row>
    <row r="26" spans="1:20" x14ac:dyDescent="0.25">
      <c r="I26" s="7"/>
      <c r="J26" s="8">
        <v>1</v>
      </c>
      <c r="K26" s="8">
        <v>2</v>
      </c>
      <c r="L26" s="8">
        <v>3</v>
      </c>
      <c r="M26" s="8">
        <v>4</v>
      </c>
      <c r="N26" s="8">
        <v>5</v>
      </c>
      <c r="O26" s="8">
        <v>6</v>
      </c>
      <c r="P26" s="8">
        <v>7</v>
      </c>
      <c r="Q26" s="8">
        <v>8</v>
      </c>
      <c r="R26" s="8">
        <v>9</v>
      </c>
      <c r="S26" s="8">
        <v>10</v>
      </c>
      <c r="T26" t="s">
        <v>164</v>
      </c>
    </row>
    <row r="27" spans="1:20" x14ac:dyDescent="0.25">
      <c r="H27" s="2" t="s">
        <v>418</v>
      </c>
      <c r="I27" s="6">
        <v>1</v>
      </c>
      <c r="J27">
        <v>10</v>
      </c>
      <c r="K27">
        <v>25</v>
      </c>
      <c r="L27">
        <v>25</v>
      </c>
      <c r="M27">
        <v>25</v>
      </c>
      <c r="N27">
        <v>10</v>
      </c>
      <c r="O27">
        <v>1</v>
      </c>
      <c r="P27">
        <v>1</v>
      </c>
      <c r="Q27">
        <v>1</v>
      </c>
      <c r="R27">
        <v>1</v>
      </c>
      <c r="S27">
        <v>1</v>
      </c>
      <c r="T27">
        <f>SUM(J27:S27)</f>
        <v>100</v>
      </c>
    </row>
    <row r="28" spans="1:20" x14ac:dyDescent="0.25">
      <c r="I28" s="6">
        <v>2</v>
      </c>
      <c r="J28">
        <v>5</v>
      </c>
      <c r="K28">
        <v>10</v>
      </c>
      <c r="L28">
        <v>15</v>
      </c>
      <c r="M28">
        <v>20</v>
      </c>
      <c r="N28">
        <v>20</v>
      </c>
      <c r="O28">
        <v>15</v>
      </c>
      <c r="P28">
        <v>5</v>
      </c>
      <c r="Q28">
        <v>5</v>
      </c>
      <c r="R28">
        <v>3</v>
      </c>
      <c r="S28">
        <v>2</v>
      </c>
      <c r="T28">
        <f t="shared" ref="T28:T30" si="6">SUM(J28:S28)</f>
        <v>100</v>
      </c>
    </row>
    <row r="29" spans="1:20" x14ac:dyDescent="0.25">
      <c r="I29" s="6">
        <v>3</v>
      </c>
      <c r="J29">
        <v>2</v>
      </c>
      <c r="K29">
        <v>3</v>
      </c>
      <c r="L29">
        <v>5</v>
      </c>
      <c r="M29">
        <v>15</v>
      </c>
      <c r="N29">
        <v>20</v>
      </c>
      <c r="O29">
        <v>20</v>
      </c>
      <c r="P29">
        <v>15</v>
      </c>
      <c r="Q29">
        <v>10</v>
      </c>
      <c r="R29">
        <v>5</v>
      </c>
      <c r="S29">
        <v>5</v>
      </c>
      <c r="T29">
        <f t="shared" si="6"/>
        <v>100</v>
      </c>
    </row>
    <row r="30" spans="1:20" x14ac:dyDescent="0.25">
      <c r="I30" s="21" t="s">
        <v>417</v>
      </c>
      <c r="J30">
        <v>2</v>
      </c>
      <c r="K30">
        <v>3</v>
      </c>
      <c r="L30">
        <v>15</v>
      </c>
      <c r="M30">
        <v>15</v>
      </c>
      <c r="N30">
        <v>25</v>
      </c>
      <c r="O30">
        <v>20</v>
      </c>
      <c r="P30">
        <v>10</v>
      </c>
      <c r="Q30">
        <v>5</v>
      </c>
      <c r="R30">
        <v>3</v>
      </c>
      <c r="S30">
        <v>2</v>
      </c>
      <c r="T30">
        <f t="shared" si="6"/>
        <v>100</v>
      </c>
    </row>
    <row r="32" spans="1:20" x14ac:dyDescent="0.25">
      <c r="I32" s="6" t="s">
        <v>415</v>
      </c>
      <c r="J32">
        <v>3</v>
      </c>
    </row>
    <row r="33" spans="1:20" x14ac:dyDescent="0.25">
      <c r="D33" t="s">
        <v>403</v>
      </c>
      <c r="I33" s="6" t="s">
        <v>416</v>
      </c>
      <c r="J33">
        <f>INDEX(J$27:J$30, MATCH($J32, $I$27:$I$30))</f>
        <v>2</v>
      </c>
      <c r="K33">
        <f t="shared" ref="K33:S33" si="7">INDEX(K$27:K$30, MATCH($J32, $I$27:$I$30))</f>
        <v>3</v>
      </c>
      <c r="L33">
        <f t="shared" si="7"/>
        <v>5</v>
      </c>
      <c r="M33">
        <f t="shared" si="7"/>
        <v>15</v>
      </c>
      <c r="N33">
        <f t="shared" si="7"/>
        <v>20</v>
      </c>
      <c r="O33">
        <f t="shared" si="7"/>
        <v>20</v>
      </c>
      <c r="P33">
        <f t="shared" si="7"/>
        <v>15</v>
      </c>
      <c r="Q33">
        <f t="shared" si="7"/>
        <v>10</v>
      </c>
      <c r="R33">
        <f t="shared" si="7"/>
        <v>5</v>
      </c>
      <c r="S33">
        <f t="shared" si="7"/>
        <v>5</v>
      </c>
      <c r="T33">
        <f t="shared" ref="T33" si="8">INDEX(T27:T30, MATCH($J32, $I$27:$I$30))</f>
        <v>100</v>
      </c>
    </row>
    <row r="34" spans="1:20" x14ac:dyDescent="0.25">
      <c r="D34" t="s">
        <v>406</v>
      </c>
      <c r="E34" t="s">
        <v>420</v>
      </c>
      <c r="F34" t="s">
        <v>27</v>
      </c>
      <c r="I34" s="7" t="s">
        <v>410</v>
      </c>
      <c r="J34" s="8">
        <v>1</v>
      </c>
      <c r="K34" s="8">
        <v>2</v>
      </c>
      <c r="L34" s="8">
        <v>3</v>
      </c>
      <c r="M34" s="8">
        <v>4</v>
      </c>
      <c r="N34" s="8">
        <v>5</v>
      </c>
      <c r="O34" s="8">
        <v>6</v>
      </c>
      <c r="P34" s="8">
        <v>7</v>
      </c>
      <c r="Q34" s="8">
        <v>8</v>
      </c>
      <c r="R34" s="8">
        <v>9</v>
      </c>
      <c r="S34" s="8">
        <v>10</v>
      </c>
    </row>
    <row r="35" spans="1:20" x14ac:dyDescent="0.25">
      <c r="A35" t="s">
        <v>116</v>
      </c>
      <c r="B35" t="s">
        <v>28</v>
      </c>
      <c r="D35" t="s">
        <v>116</v>
      </c>
      <c r="E35">
        <v>1</v>
      </c>
      <c r="F35">
        <f t="shared" ref="F35:F63" si="9">ROUND(E35/E$68, 4)</f>
        <v>1.11E-2</v>
      </c>
      <c r="H35" t="s">
        <v>425</v>
      </c>
      <c r="I35" s="20" t="s">
        <v>116</v>
      </c>
      <c r="J35">
        <f>($F35*(J$33/$T$33))*100</f>
        <v>2.2200000000000001E-2</v>
      </c>
      <c r="K35">
        <f t="shared" ref="K35:S50" si="10">($F35*(K$33/$T$33))*100</f>
        <v>3.3300000000000003E-2</v>
      </c>
      <c r="L35">
        <f t="shared" si="10"/>
        <v>5.5500000000000008E-2</v>
      </c>
      <c r="M35">
        <f t="shared" si="10"/>
        <v>0.16650000000000001</v>
      </c>
      <c r="N35">
        <f t="shared" si="10"/>
        <v>0.22200000000000003</v>
      </c>
      <c r="O35">
        <f t="shared" si="10"/>
        <v>0.22200000000000003</v>
      </c>
      <c r="P35">
        <f t="shared" si="10"/>
        <v>0.16650000000000001</v>
      </c>
      <c r="Q35">
        <f t="shared" si="10"/>
        <v>0.11100000000000002</v>
      </c>
      <c r="R35">
        <f t="shared" si="10"/>
        <v>5.5500000000000008E-2</v>
      </c>
      <c r="S35">
        <f t="shared" si="10"/>
        <v>5.5500000000000008E-2</v>
      </c>
      <c r="T35">
        <f>SUM(J35:S35)</f>
        <v>1.1100000000000001</v>
      </c>
    </row>
    <row r="36" spans="1:20" x14ac:dyDescent="0.25">
      <c r="A36" t="s">
        <v>118</v>
      </c>
      <c r="B36" t="s">
        <v>28</v>
      </c>
      <c r="D36" t="s">
        <v>118</v>
      </c>
      <c r="E36">
        <v>1</v>
      </c>
      <c r="F36">
        <f t="shared" si="9"/>
        <v>1.11E-2</v>
      </c>
      <c r="I36" s="6" t="s">
        <v>118</v>
      </c>
      <c r="J36">
        <f t="shared" ref="J36:J63" si="11">($F36*(J$33/$T$33))*100</f>
        <v>2.2200000000000001E-2</v>
      </c>
      <c r="K36">
        <f t="shared" si="10"/>
        <v>3.3300000000000003E-2</v>
      </c>
      <c r="L36">
        <f t="shared" si="10"/>
        <v>5.5500000000000008E-2</v>
      </c>
      <c r="M36">
        <f t="shared" si="10"/>
        <v>0.16650000000000001</v>
      </c>
      <c r="N36">
        <f t="shared" si="10"/>
        <v>0.22200000000000003</v>
      </c>
      <c r="O36">
        <f t="shared" si="10"/>
        <v>0.22200000000000003</v>
      </c>
      <c r="P36">
        <f t="shared" si="10"/>
        <v>0.16650000000000001</v>
      </c>
      <c r="Q36">
        <f t="shared" si="10"/>
        <v>0.11100000000000002</v>
      </c>
      <c r="R36">
        <f t="shared" si="10"/>
        <v>5.5500000000000008E-2</v>
      </c>
      <c r="S36">
        <f t="shared" si="10"/>
        <v>5.5500000000000008E-2</v>
      </c>
      <c r="T36">
        <f t="shared" ref="T36:T40" si="12">SUM(J36:S36)</f>
        <v>1.1100000000000001</v>
      </c>
    </row>
    <row r="37" spans="1:20" x14ac:dyDescent="0.25">
      <c r="A37" t="s">
        <v>117</v>
      </c>
      <c r="B37" t="s">
        <v>28</v>
      </c>
      <c r="D37" t="s">
        <v>117</v>
      </c>
      <c r="E37">
        <v>1</v>
      </c>
      <c r="F37">
        <f t="shared" si="9"/>
        <v>1.11E-2</v>
      </c>
      <c r="I37" s="6" t="s">
        <v>117</v>
      </c>
      <c r="J37">
        <f t="shared" si="11"/>
        <v>2.2200000000000001E-2</v>
      </c>
      <c r="K37">
        <f t="shared" si="10"/>
        <v>3.3300000000000003E-2</v>
      </c>
      <c r="L37">
        <f t="shared" si="10"/>
        <v>5.5500000000000008E-2</v>
      </c>
      <c r="M37">
        <f t="shared" si="10"/>
        <v>0.16650000000000001</v>
      </c>
      <c r="N37">
        <f t="shared" si="10"/>
        <v>0.22200000000000003</v>
      </c>
      <c r="O37">
        <f t="shared" si="10"/>
        <v>0.22200000000000003</v>
      </c>
      <c r="P37">
        <f t="shared" si="10"/>
        <v>0.16650000000000001</v>
      </c>
      <c r="Q37">
        <f t="shared" si="10"/>
        <v>0.11100000000000002</v>
      </c>
      <c r="R37">
        <f t="shared" si="10"/>
        <v>5.5500000000000008E-2</v>
      </c>
      <c r="S37">
        <f t="shared" si="10"/>
        <v>5.5500000000000008E-2</v>
      </c>
      <c r="T37">
        <f t="shared" si="12"/>
        <v>1.1100000000000001</v>
      </c>
    </row>
    <row r="38" spans="1:20" x14ac:dyDescent="0.25">
      <c r="A38" t="s">
        <v>119</v>
      </c>
      <c r="B38" t="s">
        <v>28</v>
      </c>
      <c r="D38" t="s">
        <v>119</v>
      </c>
      <c r="E38">
        <v>1</v>
      </c>
      <c r="F38">
        <f t="shared" si="9"/>
        <v>1.11E-2</v>
      </c>
      <c r="I38" s="6" t="s">
        <v>119</v>
      </c>
      <c r="J38">
        <f t="shared" si="11"/>
        <v>2.2200000000000001E-2</v>
      </c>
      <c r="K38">
        <f t="shared" si="10"/>
        <v>3.3300000000000003E-2</v>
      </c>
      <c r="L38">
        <f t="shared" si="10"/>
        <v>5.5500000000000008E-2</v>
      </c>
      <c r="M38">
        <f t="shared" si="10"/>
        <v>0.16650000000000001</v>
      </c>
      <c r="N38">
        <f t="shared" si="10"/>
        <v>0.22200000000000003</v>
      </c>
      <c r="O38">
        <f t="shared" si="10"/>
        <v>0.22200000000000003</v>
      </c>
      <c r="P38">
        <f t="shared" si="10"/>
        <v>0.16650000000000001</v>
      </c>
      <c r="Q38">
        <f t="shared" si="10"/>
        <v>0.11100000000000002</v>
      </c>
      <c r="R38">
        <f t="shared" si="10"/>
        <v>5.5500000000000008E-2</v>
      </c>
      <c r="S38">
        <f t="shared" si="10"/>
        <v>5.5500000000000008E-2</v>
      </c>
      <c r="T38">
        <f t="shared" si="12"/>
        <v>1.1100000000000001</v>
      </c>
    </row>
    <row r="39" spans="1:20" x14ac:dyDescent="0.25">
      <c r="A39" t="s">
        <v>120</v>
      </c>
      <c r="B39" t="s">
        <v>28</v>
      </c>
      <c r="D39" t="s">
        <v>120</v>
      </c>
      <c r="E39">
        <v>1</v>
      </c>
      <c r="F39">
        <f t="shared" si="9"/>
        <v>1.11E-2</v>
      </c>
      <c r="I39" s="6" t="s">
        <v>120</v>
      </c>
      <c r="J39">
        <f t="shared" si="11"/>
        <v>2.2200000000000001E-2</v>
      </c>
      <c r="K39">
        <f t="shared" si="10"/>
        <v>3.3300000000000003E-2</v>
      </c>
      <c r="L39">
        <f t="shared" si="10"/>
        <v>5.5500000000000008E-2</v>
      </c>
      <c r="M39">
        <f t="shared" si="10"/>
        <v>0.16650000000000001</v>
      </c>
      <c r="N39">
        <f t="shared" si="10"/>
        <v>0.22200000000000003</v>
      </c>
      <c r="O39">
        <f t="shared" si="10"/>
        <v>0.22200000000000003</v>
      </c>
      <c r="P39">
        <f t="shared" si="10"/>
        <v>0.16650000000000001</v>
      </c>
      <c r="Q39">
        <f t="shared" si="10"/>
        <v>0.11100000000000002</v>
      </c>
      <c r="R39">
        <f t="shared" si="10"/>
        <v>5.5500000000000008E-2</v>
      </c>
      <c r="S39">
        <f t="shared" si="10"/>
        <v>5.5500000000000008E-2</v>
      </c>
      <c r="T39">
        <f t="shared" si="12"/>
        <v>1.1100000000000001</v>
      </c>
    </row>
    <row r="40" spans="1:20" x14ac:dyDescent="0.25">
      <c r="A40" t="s">
        <v>121</v>
      </c>
      <c r="B40" t="s">
        <v>28</v>
      </c>
      <c r="D40" s="8" t="s">
        <v>121</v>
      </c>
      <c r="E40" s="8">
        <v>1</v>
      </c>
      <c r="F40" s="8">
        <f t="shared" si="9"/>
        <v>1.11E-2</v>
      </c>
      <c r="I40" s="7" t="s">
        <v>121</v>
      </c>
      <c r="J40" s="23">
        <f t="shared" si="11"/>
        <v>2.2200000000000001E-2</v>
      </c>
      <c r="K40" s="8">
        <f t="shared" si="10"/>
        <v>3.3300000000000003E-2</v>
      </c>
      <c r="L40" s="8">
        <f t="shared" si="10"/>
        <v>5.5500000000000008E-2</v>
      </c>
      <c r="M40" s="8">
        <f t="shared" si="10"/>
        <v>0.16650000000000001</v>
      </c>
      <c r="N40" s="8">
        <f t="shared" si="10"/>
        <v>0.22200000000000003</v>
      </c>
      <c r="O40" s="8">
        <f t="shared" si="10"/>
        <v>0.22200000000000003</v>
      </c>
      <c r="P40" s="8">
        <f t="shared" si="10"/>
        <v>0.16650000000000001</v>
      </c>
      <c r="Q40" s="8">
        <f t="shared" si="10"/>
        <v>0.11100000000000002</v>
      </c>
      <c r="R40" s="8">
        <f t="shared" si="10"/>
        <v>5.5500000000000008E-2</v>
      </c>
      <c r="S40" s="8">
        <f t="shared" si="10"/>
        <v>5.5500000000000008E-2</v>
      </c>
      <c r="T40" s="8">
        <f t="shared" si="12"/>
        <v>1.1100000000000001</v>
      </c>
    </row>
    <row r="41" spans="1:20" x14ac:dyDescent="0.25">
      <c r="D41" t="s">
        <v>270</v>
      </c>
      <c r="E41">
        <v>1</v>
      </c>
      <c r="F41">
        <f t="shared" si="9"/>
        <v>1.11E-2</v>
      </c>
      <c r="H41" t="s">
        <v>426</v>
      </c>
      <c r="I41" s="6" t="s">
        <v>270</v>
      </c>
      <c r="J41">
        <f t="shared" si="11"/>
        <v>2.2200000000000001E-2</v>
      </c>
      <c r="K41">
        <f t="shared" si="10"/>
        <v>3.3300000000000003E-2</v>
      </c>
      <c r="L41">
        <f t="shared" si="10"/>
        <v>5.5500000000000008E-2</v>
      </c>
      <c r="M41">
        <f t="shared" si="10"/>
        <v>0.16650000000000001</v>
      </c>
      <c r="N41">
        <f t="shared" si="10"/>
        <v>0.22200000000000003</v>
      </c>
      <c r="O41">
        <f t="shared" si="10"/>
        <v>0.22200000000000003</v>
      </c>
      <c r="P41">
        <f t="shared" si="10"/>
        <v>0.16650000000000001</v>
      </c>
      <c r="Q41">
        <f t="shared" si="10"/>
        <v>0.11100000000000002</v>
      </c>
      <c r="R41">
        <f t="shared" si="10"/>
        <v>5.5500000000000008E-2</v>
      </c>
      <c r="S41">
        <f t="shared" si="10"/>
        <v>5.5500000000000008E-2</v>
      </c>
      <c r="T41">
        <f t="shared" ref="T41:T64" si="13">SUM(J41:S41)</f>
        <v>1.1100000000000001</v>
      </c>
    </row>
    <row r="42" spans="1:20" x14ac:dyDescent="0.25">
      <c r="A42" t="s">
        <v>270</v>
      </c>
      <c r="B42" t="s">
        <v>269</v>
      </c>
      <c r="D42" t="s">
        <v>271</v>
      </c>
      <c r="E42">
        <v>1</v>
      </c>
      <c r="F42">
        <f t="shared" si="9"/>
        <v>1.11E-2</v>
      </c>
      <c r="I42" s="6" t="s">
        <v>271</v>
      </c>
      <c r="J42">
        <f t="shared" si="11"/>
        <v>2.2200000000000001E-2</v>
      </c>
      <c r="K42">
        <f t="shared" si="10"/>
        <v>3.3300000000000003E-2</v>
      </c>
      <c r="L42">
        <f t="shared" si="10"/>
        <v>5.5500000000000008E-2</v>
      </c>
      <c r="M42">
        <f t="shared" si="10"/>
        <v>0.16650000000000001</v>
      </c>
      <c r="N42">
        <f t="shared" si="10"/>
        <v>0.22200000000000003</v>
      </c>
      <c r="O42">
        <f t="shared" si="10"/>
        <v>0.22200000000000003</v>
      </c>
      <c r="P42">
        <f t="shared" si="10"/>
        <v>0.16650000000000001</v>
      </c>
      <c r="Q42">
        <f t="shared" si="10"/>
        <v>0.11100000000000002</v>
      </c>
      <c r="R42">
        <f t="shared" si="10"/>
        <v>5.5500000000000008E-2</v>
      </c>
      <c r="S42">
        <f t="shared" si="10"/>
        <v>5.5500000000000008E-2</v>
      </c>
      <c r="T42">
        <f t="shared" si="13"/>
        <v>1.1100000000000001</v>
      </c>
    </row>
    <row r="43" spans="1:20" x14ac:dyDescent="0.25">
      <c r="A43" t="s">
        <v>271</v>
      </c>
      <c r="B43" t="s">
        <v>269</v>
      </c>
      <c r="D43" t="s">
        <v>272</v>
      </c>
      <c r="E43">
        <v>1</v>
      </c>
      <c r="F43">
        <f t="shared" si="9"/>
        <v>1.11E-2</v>
      </c>
      <c r="I43" s="6" t="s">
        <v>272</v>
      </c>
      <c r="J43">
        <f t="shared" si="11"/>
        <v>2.2200000000000001E-2</v>
      </c>
      <c r="K43">
        <f t="shared" si="10"/>
        <v>3.3300000000000003E-2</v>
      </c>
      <c r="L43">
        <f t="shared" si="10"/>
        <v>5.5500000000000008E-2</v>
      </c>
      <c r="M43">
        <f t="shared" si="10"/>
        <v>0.16650000000000001</v>
      </c>
      <c r="N43">
        <f t="shared" si="10"/>
        <v>0.22200000000000003</v>
      </c>
      <c r="O43">
        <f t="shared" si="10"/>
        <v>0.22200000000000003</v>
      </c>
      <c r="P43">
        <f t="shared" si="10"/>
        <v>0.16650000000000001</v>
      </c>
      <c r="Q43">
        <f t="shared" si="10"/>
        <v>0.11100000000000002</v>
      </c>
      <c r="R43">
        <f t="shared" si="10"/>
        <v>5.5500000000000008E-2</v>
      </c>
      <c r="S43">
        <f t="shared" si="10"/>
        <v>5.5500000000000008E-2</v>
      </c>
      <c r="T43">
        <f t="shared" si="13"/>
        <v>1.1100000000000001</v>
      </c>
    </row>
    <row r="44" spans="1:20" x14ac:dyDescent="0.25">
      <c r="A44" t="s">
        <v>272</v>
      </c>
      <c r="B44" t="s">
        <v>269</v>
      </c>
      <c r="D44" t="s">
        <v>273</v>
      </c>
      <c r="E44">
        <v>1</v>
      </c>
      <c r="F44">
        <f t="shared" si="9"/>
        <v>1.11E-2</v>
      </c>
      <c r="I44" s="6" t="s">
        <v>273</v>
      </c>
      <c r="J44">
        <f t="shared" si="11"/>
        <v>2.2200000000000001E-2</v>
      </c>
      <c r="K44">
        <f t="shared" si="10"/>
        <v>3.3300000000000003E-2</v>
      </c>
      <c r="L44">
        <f t="shared" si="10"/>
        <v>5.5500000000000008E-2</v>
      </c>
      <c r="M44">
        <f t="shared" si="10"/>
        <v>0.16650000000000001</v>
      </c>
      <c r="N44">
        <f t="shared" si="10"/>
        <v>0.22200000000000003</v>
      </c>
      <c r="O44">
        <f t="shared" si="10"/>
        <v>0.22200000000000003</v>
      </c>
      <c r="P44">
        <f t="shared" si="10"/>
        <v>0.16650000000000001</v>
      </c>
      <c r="Q44">
        <f t="shared" si="10"/>
        <v>0.11100000000000002</v>
      </c>
      <c r="R44">
        <f t="shared" si="10"/>
        <v>5.5500000000000008E-2</v>
      </c>
      <c r="S44">
        <f t="shared" si="10"/>
        <v>5.5500000000000008E-2</v>
      </c>
      <c r="T44">
        <f t="shared" si="13"/>
        <v>1.1100000000000001</v>
      </c>
    </row>
    <row r="45" spans="1:20" x14ac:dyDescent="0.25">
      <c r="A45" t="s">
        <v>273</v>
      </c>
      <c r="B45" t="s">
        <v>269</v>
      </c>
      <c r="D45" t="s">
        <v>274</v>
      </c>
      <c r="E45">
        <v>1</v>
      </c>
      <c r="F45">
        <f t="shared" si="9"/>
        <v>1.11E-2</v>
      </c>
      <c r="I45" s="6" t="s">
        <v>274</v>
      </c>
      <c r="J45">
        <f t="shared" si="11"/>
        <v>2.2200000000000001E-2</v>
      </c>
      <c r="K45">
        <f t="shared" si="10"/>
        <v>3.3300000000000003E-2</v>
      </c>
      <c r="L45">
        <f t="shared" si="10"/>
        <v>5.5500000000000008E-2</v>
      </c>
      <c r="M45">
        <f t="shared" si="10"/>
        <v>0.16650000000000001</v>
      </c>
      <c r="N45">
        <f>($F45*(N$33/$T$33))*100</f>
        <v>0.22200000000000003</v>
      </c>
      <c r="O45">
        <f t="shared" si="10"/>
        <v>0.22200000000000003</v>
      </c>
      <c r="P45">
        <f t="shared" si="10"/>
        <v>0.16650000000000001</v>
      </c>
      <c r="Q45">
        <f t="shared" si="10"/>
        <v>0.11100000000000002</v>
      </c>
      <c r="R45">
        <f t="shared" si="10"/>
        <v>5.5500000000000008E-2</v>
      </c>
      <c r="S45">
        <f t="shared" si="10"/>
        <v>5.5500000000000008E-2</v>
      </c>
      <c r="T45">
        <f t="shared" si="13"/>
        <v>1.1100000000000001</v>
      </c>
    </row>
    <row r="46" spans="1:20" x14ac:dyDescent="0.25">
      <c r="A46" t="s">
        <v>274</v>
      </c>
      <c r="B46" t="s">
        <v>269</v>
      </c>
      <c r="D46" t="s">
        <v>276</v>
      </c>
      <c r="E46">
        <v>1</v>
      </c>
      <c r="F46">
        <f t="shared" si="9"/>
        <v>1.11E-2</v>
      </c>
      <c r="I46" s="6" t="s">
        <v>276</v>
      </c>
      <c r="J46">
        <f t="shared" si="11"/>
        <v>2.2200000000000001E-2</v>
      </c>
      <c r="K46">
        <f t="shared" si="10"/>
        <v>3.3300000000000003E-2</v>
      </c>
      <c r="L46">
        <f t="shared" si="10"/>
        <v>5.5500000000000008E-2</v>
      </c>
      <c r="M46">
        <f t="shared" si="10"/>
        <v>0.16650000000000001</v>
      </c>
      <c r="N46">
        <f t="shared" si="10"/>
        <v>0.22200000000000003</v>
      </c>
      <c r="O46">
        <f t="shared" si="10"/>
        <v>0.22200000000000003</v>
      </c>
      <c r="P46">
        <f t="shared" si="10"/>
        <v>0.16650000000000001</v>
      </c>
      <c r="Q46">
        <f>($F46*(Q$33/$T$33))*100</f>
        <v>0.11100000000000002</v>
      </c>
      <c r="R46">
        <f t="shared" si="10"/>
        <v>5.5500000000000008E-2</v>
      </c>
      <c r="S46">
        <f t="shared" si="10"/>
        <v>5.5500000000000008E-2</v>
      </c>
      <c r="T46">
        <f t="shared" si="13"/>
        <v>1.1100000000000001</v>
      </c>
    </row>
    <row r="47" spans="1:20" x14ac:dyDescent="0.25">
      <c r="A47" t="s">
        <v>276</v>
      </c>
      <c r="B47" t="s">
        <v>269</v>
      </c>
      <c r="D47" t="s">
        <v>275</v>
      </c>
      <c r="E47">
        <v>1</v>
      </c>
      <c r="F47">
        <f t="shared" si="9"/>
        <v>1.11E-2</v>
      </c>
      <c r="I47" s="6" t="s">
        <v>275</v>
      </c>
      <c r="J47">
        <f t="shared" si="11"/>
        <v>2.2200000000000001E-2</v>
      </c>
      <c r="K47">
        <f t="shared" si="10"/>
        <v>3.3300000000000003E-2</v>
      </c>
      <c r="L47">
        <f t="shared" si="10"/>
        <v>5.5500000000000008E-2</v>
      </c>
      <c r="M47">
        <f t="shared" si="10"/>
        <v>0.16650000000000001</v>
      </c>
      <c r="N47">
        <f t="shared" si="10"/>
        <v>0.22200000000000003</v>
      </c>
      <c r="O47">
        <f t="shared" si="10"/>
        <v>0.22200000000000003</v>
      </c>
      <c r="P47">
        <f t="shared" si="10"/>
        <v>0.16650000000000001</v>
      </c>
      <c r="Q47">
        <f t="shared" si="10"/>
        <v>0.11100000000000002</v>
      </c>
      <c r="R47">
        <f t="shared" si="10"/>
        <v>5.5500000000000008E-2</v>
      </c>
      <c r="S47">
        <f t="shared" si="10"/>
        <v>5.5500000000000008E-2</v>
      </c>
      <c r="T47">
        <f t="shared" si="13"/>
        <v>1.1100000000000001</v>
      </c>
    </row>
    <row r="48" spans="1:20" x14ac:dyDescent="0.25">
      <c r="A48" t="s">
        <v>275</v>
      </c>
      <c r="B48" t="s">
        <v>269</v>
      </c>
      <c r="D48" s="8" t="s">
        <v>277</v>
      </c>
      <c r="E48" s="8">
        <v>1</v>
      </c>
      <c r="F48" s="8">
        <f t="shared" si="9"/>
        <v>1.11E-2</v>
      </c>
      <c r="I48" s="7" t="s">
        <v>277</v>
      </c>
      <c r="J48" s="23">
        <f t="shared" si="11"/>
        <v>2.2200000000000001E-2</v>
      </c>
      <c r="K48" s="8">
        <f t="shared" si="10"/>
        <v>3.3300000000000003E-2</v>
      </c>
      <c r="L48" s="8">
        <f t="shared" si="10"/>
        <v>5.5500000000000008E-2</v>
      </c>
      <c r="M48" s="8">
        <f t="shared" si="10"/>
        <v>0.16650000000000001</v>
      </c>
      <c r="N48" s="8">
        <f t="shared" si="10"/>
        <v>0.22200000000000003</v>
      </c>
      <c r="O48" s="8">
        <f t="shared" si="10"/>
        <v>0.22200000000000003</v>
      </c>
      <c r="P48" s="8">
        <f t="shared" si="10"/>
        <v>0.16650000000000001</v>
      </c>
      <c r="Q48" s="8">
        <f t="shared" si="10"/>
        <v>0.11100000000000002</v>
      </c>
      <c r="R48" s="8">
        <f t="shared" si="10"/>
        <v>5.5500000000000008E-2</v>
      </c>
      <c r="S48" s="8">
        <f t="shared" si="10"/>
        <v>5.5500000000000008E-2</v>
      </c>
      <c r="T48" s="8">
        <f t="shared" si="13"/>
        <v>1.1100000000000001</v>
      </c>
    </row>
    <row r="49" spans="1:20" x14ac:dyDescent="0.25">
      <c r="A49" t="s">
        <v>277</v>
      </c>
      <c r="B49" t="s">
        <v>269</v>
      </c>
      <c r="D49" t="s">
        <v>411</v>
      </c>
      <c r="E49">
        <v>2</v>
      </c>
      <c r="F49">
        <f t="shared" si="9"/>
        <v>2.2200000000000001E-2</v>
      </c>
      <c r="H49" t="s">
        <v>427</v>
      </c>
      <c r="I49" s="6" t="s">
        <v>411</v>
      </c>
      <c r="J49">
        <f t="shared" si="11"/>
        <v>4.4400000000000002E-2</v>
      </c>
      <c r="K49">
        <f t="shared" si="10"/>
        <v>6.6600000000000006E-2</v>
      </c>
      <c r="L49">
        <f t="shared" si="10"/>
        <v>0.11100000000000002</v>
      </c>
      <c r="M49">
        <f t="shared" si="10"/>
        <v>0.33300000000000002</v>
      </c>
      <c r="N49">
        <f t="shared" si="10"/>
        <v>0.44400000000000006</v>
      </c>
      <c r="O49">
        <f t="shared" si="10"/>
        <v>0.44400000000000006</v>
      </c>
      <c r="P49">
        <f t="shared" si="10"/>
        <v>0.33300000000000002</v>
      </c>
      <c r="Q49">
        <f t="shared" si="10"/>
        <v>0.22200000000000003</v>
      </c>
      <c r="R49">
        <f t="shared" si="10"/>
        <v>0.11100000000000002</v>
      </c>
      <c r="S49">
        <f t="shared" si="10"/>
        <v>0.11100000000000002</v>
      </c>
      <c r="T49">
        <f t="shared" si="13"/>
        <v>2.2200000000000002</v>
      </c>
    </row>
    <row r="50" spans="1:20" x14ac:dyDescent="0.25">
      <c r="D50" t="s">
        <v>412</v>
      </c>
      <c r="E50">
        <v>2</v>
      </c>
      <c r="F50">
        <f t="shared" si="9"/>
        <v>2.2200000000000001E-2</v>
      </c>
      <c r="I50" s="6" t="s">
        <v>412</v>
      </c>
      <c r="J50">
        <f t="shared" si="11"/>
        <v>4.4400000000000002E-2</v>
      </c>
      <c r="K50">
        <f t="shared" si="10"/>
        <v>6.6600000000000006E-2</v>
      </c>
      <c r="L50">
        <f t="shared" si="10"/>
        <v>0.11100000000000002</v>
      </c>
      <c r="M50">
        <f t="shared" si="10"/>
        <v>0.33300000000000002</v>
      </c>
      <c r="N50">
        <f t="shared" ref="K50:S63" si="14">($F50*(N$33/$T$33))*100</f>
        <v>0.44400000000000006</v>
      </c>
      <c r="O50">
        <f t="shared" si="14"/>
        <v>0.44400000000000006</v>
      </c>
      <c r="P50">
        <f t="shared" si="14"/>
        <v>0.33300000000000002</v>
      </c>
      <c r="Q50">
        <f t="shared" si="14"/>
        <v>0.22200000000000003</v>
      </c>
      <c r="R50">
        <f t="shared" si="14"/>
        <v>0.11100000000000002</v>
      </c>
      <c r="S50">
        <f t="shared" si="14"/>
        <v>0.11100000000000002</v>
      </c>
      <c r="T50">
        <f t="shared" si="13"/>
        <v>2.2200000000000002</v>
      </c>
    </row>
    <row r="51" spans="1:20" x14ac:dyDescent="0.25">
      <c r="A51" t="s">
        <v>224</v>
      </c>
      <c r="D51" t="s">
        <v>413</v>
      </c>
      <c r="E51">
        <v>2</v>
      </c>
      <c r="F51">
        <f t="shared" si="9"/>
        <v>2.2200000000000001E-2</v>
      </c>
      <c r="I51" s="6" t="s">
        <v>413</v>
      </c>
      <c r="J51">
        <f t="shared" si="11"/>
        <v>4.4400000000000002E-2</v>
      </c>
      <c r="K51">
        <f t="shared" si="14"/>
        <v>6.6600000000000006E-2</v>
      </c>
      <c r="L51">
        <f t="shared" si="14"/>
        <v>0.11100000000000002</v>
      </c>
      <c r="M51">
        <f t="shared" si="14"/>
        <v>0.33300000000000002</v>
      </c>
      <c r="N51">
        <f t="shared" si="14"/>
        <v>0.44400000000000006</v>
      </c>
      <c r="O51">
        <f t="shared" si="14"/>
        <v>0.44400000000000006</v>
      </c>
      <c r="P51">
        <f t="shared" si="14"/>
        <v>0.33300000000000002</v>
      </c>
      <c r="Q51">
        <f t="shared" si="14"/>
        <v>0.22200000000000003</v>
      </c>
      <c r="R51">
        <f t="shared" si="14"/>
        <v>0.11100000000000002</v>
      </c>
      <c r="S51">
        <f t="shared" si="14"/>
        <v>0.11100000000000002</v>
      </c>
      <c r="T51">
        <f t="shared" si="13"/>
        <v>2.2200000000000002</v>
      </c>
    </row>
    <row r="52" spans="1:20" x14ac:dyDescent="0.25">
      <c r="A52" t="s">
        <v>253</v>
      </c>
      <c r="D52" s="8" t="s">
        <v>414</v>
      </c>
      <c r="E52" s="8">
        <v>2</v>
      </c>
      <c r="F52" s="8">
        <f t="shared" si="9"/>
        <v>2.2200000000000001E-2</v>
      </c>
      <c r="I52" s="7" t="s">
        <v>414</v>
      </c>
      <c r="J52" s="23">
        <f t="shared" si="11"/>
        <v>4.4400000000000002E-2</v>
      </c>
      <c r="K52" s="8">
        <f t="shared" si="14"/>
        <v>6.6600000000000006E-2</v>
      </c>
      <c r="L52" s="8">
        <f t="shared" si="14"/>
        <v>0.11100000000000002</v>
      </c>
      <c r="M52" s="8">
        <f t="shared" si="14"/>
        <v>0.33300000000000002</v>
      </c>
      <c r="N52" s="8">
        <f t="shared" si="14"/>
        <v>0.44400000000000006</v>
      </c>
      <c r="O52" s="8">
        <f t="shared" si="14"/>
        <v>0.44400000000000006</v>
      </c>
      <c r="P52" s="8">
        <f t="shared" si="14"/>
        <v>0.33300000000000002</v>
      </c>
      <c r="Q52" s="8">
        <f t="shared" si="14"/>
        <v>0.22200000000000003</v>
      </c>
      <c r="R52" s="8">
        <f t="shared" si="14"/>
        <v>0.11100000000000002</v>
      </c>
      <c r="S52" s="8">
        <f t="shared" si="14"/>
        <v>0.11100000000000002</v>
      </c>
      <c r="T52" s="8">
        <f t="shared" si="13"/>
        <v>2.2200000000000002</v>
      </c>
    </row>
    <row r="53" spans="1:20" x14ac:dyDescent="0.25">
      <c r="D53" t="s">
        <v>285</v>
      </c>
      <c r="E53">
        <v>12</v>
      </c>
      <c r="F53">
        <f t="shared" si="9"/>
        <v>0.1333</v>
      </c>
      <c r="H53" t="s">
        <v>428</v>
      </c>
      <c r="I53" s="6" t="s">
        <v>285</v>
      </c>
      <c r="J53">
        <f t="shared" si="11"/>
        <v>0.2666</v>
      </c>
      <c r="K53">
        <f t="shared" si="14"/>
        <v>0.39989999999999998</v>
      </c>
      <c r="L53">
        <f t="shared" si="14"/>
        <v>0.66650000000000009</v>
      </c>
      <c r="M53">
        <f t="shared" si="14"/>
        <v>1.9994999999999998</v>
      </c>
      <c r="N53">
        <f t="shared" si="14"/>
        <v>2.6660000000000004</v>
      </c>
      <c r="O53">
        <f t="shared" si="14"/>
        <v>2.6660000000000004</v>
      </c>
      <c r="P53">
        <f t="shared" si="14"/>
        <v>1.9994999999999998</v>
      </c>
      <c r="Q53">
        <f t="shared" si="14"/>
        <v>1.3330000000000002</v>
      </c>
      <c r="R53">
        <f t="shared" si="14"/>
        <v>0.66650000000000009</v>
      </c>
      <c r="S53">
        <f t="shared" si="14"/>
        <v>0.66650000000000009</v>
      </c>
      <c r="T53">
        <f t="shared" si="13"/>
        <v>13.329999999999998</v>
      </c>
    </row>
    <row r="54" spans="1:20" x14ac:dyDescent="0.25">
      <c r="A54" t="s">
        <v>254</v>
      </c>
      <c r="D54" t="s">
        <v>286</v>
      </c>
      <c r="E54">
        <v>12</v>
      </c>
      <c r="F54">
        <f t="shared" si="9"/>
        <v>0.1333</v>
      </c>
      <c r="I54" s="6" t="s">
        <v>286</v>
      </c>
      <c r="J54">
        <f t="shared" si="11"/>
        <v>0.2666</v>
      </c>
      <c r="K54">
        <f t="shared" si="14"/>
        <v>0.39989999999999998</v>
      </c>
      <c r="L54">
        <f t="shared" si="14"/>
        <v>0.66650000000000009</v>
      </c>
      <c r="M54">
        <f t="shared" si="14"/>
        <v>1.9994999999999998</v>
      </c>
      <c r="N54">
        <f t="shared" si="14"/>
        <v>2.6660000000000004</v>
      </c>
      <c r="O54">
        <f t="shared" si="14"/>
        <v>2.6660000000000004</v>
      </c>
      <c r="P54">
        <f t="shared" si="14"/>
        <v>1.9994999999999998</v>
      </c>
      <c r="Q54">
        <f t="shared" si="14"/>
        <v>1.3330000000000002</v>
      </c>
      <c r="R54">
        <f t="shared" si="14"/>
        <v>0.66650000000000009</v>
      </c>
      <c r="S54">
        <f t="shared" si="14"/>
        <v>0.66650000000000009</v>
      </c>
      <c r="T54">
        <f t="shared" si="13"/>
        <v>13.329999999999998</v>
      </c>
    </row>
    <row r="55" spans="1:20" x14ac:dyDescent="0.25">
      <c r="A55" t="s">
        <v>255</v>
      </c>
      <c r="D55" t="s">
        <v>287</v>
      </c>
      <c r="E55">
        <v>6</v>
      </c>
      <c r="F55">
        <f t="shared" si="9"/>
        <v>6.6699999999999995E-2</v>
      </c>
      <c r="I55" s="6" t="s">
        <v>287</v>
      </c>
      <c r="J55">
        <f t="shared" si="11"/>
        <v>0.13339999999999999</v>
      </c>
      <c r="K55">
        <f t="shared" si="14"/>
        <v>0.20009999999999997</v>
      </c>
      <c r="L55">
        <f t="shared" si="14"/>
        <v>0.33349999999999996</v>
      </c>
      <c r="M55">
        <f t="shared" si="14"/>
        <v>1.0004999999999997</v>
      </c>
      <c r="N55">
        <f t="shared" si="14"/>
        <v>1.3339999999999999</v>
      </c>
      <c r="O55">
        <f t="shared" si="14"/>
        <v>1.3339999999999999</v>
      </c>
      <c r="P55">
        <f t="shared" si="14"/>
        <v>1.0004999999999997</v>
      </c>
      <c r="Q55">
        <f t="shared" si="14"/>
        <v>0.66699999999999993</v>
      </c>
      <c r="R55">
        <f t="shared" si="14"/>
        <v>0.33349999999999996</v>
      </c>
      <c r="S55">
        <f t="shared" si="14"/>
        <v>0.33349999999999996</v>
      </c>
      <c r="T55">
        <f t="shared" si="13"/>
        <v>6.6699999999999982</v>
      </c>
    </row>
    <row r="56" spans="1:20" x14ac:dyDescent="0.25">
      <c r="D56" t="s">
        <v>294</v>
      </c>
      <c r="E56">
        <v>9</v>
      </c>
      <c r="F56">
        <f t="shared" si="9"/>
        <v>0.1</v>
      </c>
      <c r="I56" s="6" t="s">
        <v>294</v>
      </c>
      <c r="J56">
        <f t="shared" si="11"/>
        <v>0.2</v>
      </c>
      <c r="K56">
        <f t="shared" si="14"/>
        <v>0.3</v>
      </c>
      <c r="L56">
        <f t="shared" si="14"/>
        <v>0.50000000000000011</v>
      </c>
      <c r="M56">
        <f t="shared" si="14"/>
        <v>1.5</v>
      </c>
      <c r="N56">
        <f t="shared" si="14"/>
        <v>2.0000000000000004</v>
      </c>
      <c r="O56">
        <f t="shared" si="14"/>
        <v>2.0000000000000004</v>
      </c>
      <c r="P56">
        <f t="shared" si="14"/>
        <v>1.5</v>
      </c>
      <c r="Q56">
        <f t="shared" si="14"/>
        <v>1.0000000000000002</v>
      </c>
      <c r="R56">
        <f t="shared" si="14"/>
        <v>0.50000000000000011</v>
      </c>
      <c r="S56">
        <f t="shared" si="14"/>
        <v>0.50000000000000011</v>
      </c>
      <c r="T56">
        <f t="shared" si="13"/>
        <v>10</v>
      </c>
    </row>
    <row r="57" spans="1:20" x14ac:dyDescent="0.25">
      <c r="A57" t="s">
        <v>263</v>
      </c>
      <c r="D57" t="s">
        <v>288</v>
      </c>
      <c r="E57">
        <v>9</v>
      </c>
      <c r="F57">
        <f t="shared" si="9"/>
        <v>0.1</v>
      </c>
      <c r="I57" s="6" t="s">
        <v>288</v>
      </c>
      <c r="J57">
        <f t="shared" si="11"/>
        <v>0.2</v>
      </c>
      <c r="K57">
        <f t="shared" si="14"/>
        <v>0.3</v>
      </c>
      <c r="L57">
        <f t="shared" si="14"/>
        <v>0.50000000000000011</v>
      </c>
      <c r="M57">
        <f t="shared" si="14"/>
        <v>1.5</v>
      </c>
      <c r="N57">
        <f t="shared" si="14"/>
        <v>2.0000000000000004</v>
      </c>
      <c r="O57">
        <f t="shared" si="14"/>
        <v>2.0000000000000004</v>
      </c>
      <c r="P57">
        <f t="shared" si="14"/>
        <v>1.5</v>
      </c>
      <c r="Q57">
        <f t="shared" si="14"/>
        <v>1.0000000000000002</v>
      </c>
      <c r="R57">
        <f t="shared" si="14"/>
        <v>0.50000000000000011</v>
      </c>
      <c r="S57">
        <f t="shared" si="14"/>
        <v>0.50000000000000011</v>
      </c>
      <c r="T57">
        <f t="shared" si="13"/>
        <v>10</v>
      </c>
    </row>
    <row r="58" spans="1:20" x14ac:dyDescent="0.25">
      <c r="A58" t="s">
        <v>264</v>
      </c>
      <c r="D58" t="s">
        <v>289</v>
      </c>
      <c r="E58">
        <v>6</v>
      </c>
      <c r="F58">
        <f t="shared" si="9"/>
        <v>6.6699999999999995E-2</v>
      </c>
      <c r="I58" s="6" t="s">
        <v>289</v>
      </c>
      <c r="J58">
        <f t="shared" si="11"/>
        <v>0.13339999999999999</v>
      </c>
      <c r="K58">
        <f t="shared" si="14"/>
        <v>0.20009999999999997</v>
      </c>
      <c r="L58">
        <f t="shared" si="14"/>
        <v>0.33349999999999996</v>
      </c>
      <c r="M58">
        <f t="shared" si="14"/>
        <v>1.0004999999999997</v>
      </c>
      <c r="N58">
        <f t="shared" si="14"/>
        <v>1.3339999999999999</v>
      </c>
      <c r="O58">
        <f t="shared" si="14"/>
        <v>1.3339999999999999</v>
      </c>
      <c r="P58">
        <f t="shared" si="14"/>
        <v>1.0004999999999997</v>
      </c>
      <c r="Q58">
        <f t="shared" si="14"/>
        <v>0.66699999999999993</v>
      </c>
      <c r="R58">
        <f t="shared" si="14"/>
        <v>0.33349999999999996</v>
      </c>
      <c r="S58">
        <f t="shared" si="14"/>
        <v>0.33349999999999996</v>
      </c>
      <c r="T58">
        <f t="shared" si="13"/>
        <v>6.6699999999999982</v>
      </c>
    </row>
    <row r="59" spans="1:20" x14ac:dyDescent="0.25">
      <c r="D59" t="s">
        <v>290</v>
      </c>
      <c r="E59">
        <v>3</v>
      </c>
      <c r="F59">
        <f t="shared" si="9"/>
        <v>3.3300000000000003E-2</v>
      </c>
      <c r="I59" s="6" t="s">
        <v>290</v>
      </c>
      <c r="J59">
        <f t="shared" si="11"/>
        <v>6.6600000000000006E-2</v>
      </c>
      <c r="K59">
        <f t="shared" si="14"/>
        <v>9.9900000000000017E-2</v>
      </c>
      <c r="L59">
        <f t="shared" si="14"/>
        <v>0.16650000000000004</v>
      </c>
      <c r="M59">
        <f t="shared" si="14"/>
        <v>0.49950000000000006</v>
      </c>
      <c r="N59">
        <f t="shared" si="14"/>
        <v>0.66600000000000015</v>
      </c>
      <c r="O59">
        <f t="shared" si="14"/>
        <v>0.66600000000000015</v>
      </c>
      <c r="P59">
        <f t="shared" si="14"/>
        <v>0.49950000000000006</v>
      </c>
      <c r="Q59">
        <f t="shared" si="14"/>
        <v>0.33300000000000007</v>
      </c>
      <c r="R59">
        <f t="shared" si="14"/>
        <v>0.16650000000000004</v>
      </c>
      <c r="S59">
        <f t="shared" si="14"/>
        <v>0.16650000000000004</v>
      </c>
      <c r="T59">
        <f t="shared" si="13"/>
        <v>3.330000000000001</v>
      </c>
    </row>
    <row r="60" spans="1:20" x14ac:dyDescent="0.25">
      <c r="D60" t="s">
        <v>291</v>
      </c>
      <c r="E60">
        <v>3</v>
      </c>
      <c r="F60">
        <f t="shared" si="9"/>
        <v>3.3300000000000003E-2</v>
      </c>
      <c r="I60" s="6" t="s">
        <v>291</v>
      </c>
      <c r="J60">
        <f t="shared" si="11"/>
        <v>6.6600000000000006E-2</v>
      </c>
      <c r="K60">
        <f t="shared" si="14"/>
        <v>9.9900000000000017E-2</v>
      </c>
      <c r="L60">
        <f t="shared" si="14"/>
        <v>0.16650000000000004</v>
      </c>
      <c r="M60">
        <f t="shared" si="14"/>
        <v>0.49950000000000006</v>
      </c>
      <c r="N60">
        <f t="shared" si="14"/>
        <v>0.66600000000000015</v>
      </c>
      <c r="O60">
        <f t="shared" si="14"/>
        <v>0.66600000000000015</v>
      </c>
      <c r="P60">
        <f t="shared" si="14"/>
        <v>0.49950000000000006</v>
      </c>
      <c r="Q60">
        <f t="shared" si="14"/>
        <v>0.33300000000000007</v>
      </c>
      <c r="R60">
        <f t="shared" si="14"/>
        <v>0.16650000000000004</v>
      </c>
      <c r="S60">
        <f t="shared" si="14"/>
        <v>0.16650000000000004</v>
      </c>
      <c r="T60">
        <f t="shared" si="13"/>
        <v>3.330000000000001</v>
      </c>
    </row>
    <row r="61" spans="1:20" x14ac:dyDescent="0.25">
      <c r="D61" t="s">
        <v>292</v>
      </c>
      <c r="E61">
        <v>3</v>
      </c>
      <c r="F61">
        <f t="shared" si="9"/>
        <v>3.3300000000000003E-2</v>
      </c>
      <c r="I61" s="6" t="s">
        <v>292</v>
      </c>
      <c r="J61">
        <f t="shared" si="11"/>
        <v>6.6600000000000006E-2</v>
      </c>
      <c r="K61">
        <f t="shared" si="14"/>
        <v>9.9900000000000017E-2</v>
      </c>
      <c r="L61">
        <f t="shared" si="14"/>
        <v>0.16650000000000004</v>
      </c>
      <c r="M61">
        <f t="shared" si="14"/>
        <v>0.49950000000000006</v>
      </c>
      <c r="N61">
        <f t="shared" si="14"/>
        <v>0.66600000000000015</v>
      </c>
      <c r="O61">
        <f t="shared" si="14"/>
        <v>0.66600000000000015</v>
      </c>
      <c r="P61">
        <f t="shared" si="14"/>
        <v>0.49950000000000006</v>
      </c>
      <c r="Q61">
        <f t="shared" si="14"/>
        <v>0.33300000000000007</v>
      </c>
      <c r="R61">
        <f t="shared" si="14"/>
        <v>0.16650000000000004</v>
      </c>
      <c r="S61">
        <f t="shared" si="14"/>
        <v>0.16650000000000004</v>
      </c>
      <c r="T61">
        <f t="shared" si="13"/>
        <v>3.330000000000001</v>
      </c>
    </row>
    <row r="62" spans="1:20" x14ac:dyDescent="0.25">
      <c r="D62" t="s">
        <v>293</v>
      </c>
      <c r="E62">
        <v>3</v>
      </c>
      <c r="F62">
        <f t="shared" si="9"/>
        <v>3.3300000000000003E-2</v>
      </c>
      <c r="I62" s="6" t="s">
        <v>293</v>
      </c>
      <c r="J62">
        <f t="shared" si="11"/>
        <v>6.6600000000000006E-2</v>
      </c>
      <c r="K62">
        <f t="shared" si="14"/>
        <v>9.9900000000000017E-2</v>
      </c>
      <c r="L62">
        <f t="shared" si="14"/>
        <v>0.16650000000000004</v>
      </c>
      <c r="M62">
        <f t="shared" si="14"/>
        <v>0.49950000000000006</v>
      </c>
      <c r="N62">
        <f t="shared" si="14"/>
        <v>0.66600000000000015</v>
      </c>
      <c r="O62">
        <f t="shared" si="14"/>
        <v>0.66600000000000015</v>
      </c>
      <c r="P62">
        <f t="shared" si="14"/>
        <v>0.49950000000000006</v>
      </c>
      <c r="Q62">
        <f t="shared" si="14"/>
        <v>0.33300000000000007</v>
      </c>
      <c r="R62">
        <f t="shared" si="14"/>
        <v>0.16650000000000004</v>
      </c>
      <c r="S62">
        <f t="shared" si="14"/>
        <v>0.16650000000000004</v>
      </c>
      <c r="T62">
        <f t="shared" si="13"/>
        <v>3.330000000000001</v>
      </c>
    </row>
    <row r="63" spans="1:20" x14ac:dyDescent="0.25">
      <c r="D63" s="8" t="s">
        <v>297</v>
      </c>
      <c r="E63" s="8">
        <v>2</v>
      </c>
      <c r="F63" s="8">
        <f t="shared" si="9"/>
        <v>2.2200000000000001E-2</v>
      </c>
      <c r="I63" s="7" t="s">
        <v>297</v>
      </c>
      <c r="J63" s="23">
        <f t="shared" si="11"/>
        <v>4.4400000000000002E-2</v>
      </c>
      <c r="K63" s="8">
        <f t="shared" si="14"/>
        <v>6.6600000000000006E-2</v>
      </c>
      <c r="L63" s="8">
        <f t="shared" si="14"/>
        <v>0.11100000000000002</v>
      </c>
      <c r="M63" s="8">
        <f t="shared" si="14"/>
        <v>0.33300000000000002</v>
      </c>
      <c r="N63" s="8">
        <f t="shared" si="14"/>
        <v>0.44400000000000006</v>
      </c>
      <c r="O63" s="8">
        <f t="shared" si="14"/>
        <v>0.44400000000000006</v>
      </c>
      <c r="P63" s="8">
        <f t="shared" si="14"/>
        <v>0.33300000000000002</v>
      </c>
      <c r="Q63" s="8">
        <f t="shared" si="14"/>
        <v>0.22200000000000003</v>
      </c>
      <c r="R63" s="8">
        <f t="shared" si="14"/>
        <v>0.11100000000000002</v>
      </c>
      <c r="S63" s="8">
        <f t="shared" si="14"/>
        <v>0.11100000000000002</v>
      </c>
      <c r="T63" s="8">
        <f t="shared" si="13"/>
        <v>2.2200000000000002</v>
      </c>
    </row>
    <row r="64" spans="1:20" x14ac:dyDescent="0.25">
      <c r="D64" t="s">
        <v>423</v>
      </c>
      <c r="E64">
        <f>SUM(E35:E40)</f>
        <v>6</v>
      </c>
      <c r="F64">
        <f>SUM(F35:F40)</f>
        <v>6.6600000000000006E-2</v>
      </c>
      <c r="G64">
        <f>ROUND(F64*100, 1)</f>
        <v>6.7</v>
      </c>
      <c r="H64" t="s">
        <v>429</v>
      </c>
      <c r="I64" s="26" t="s">
        <v>423</v>
      </c>
      <c r="J64" s="22">
        <f>SUM(J35:J40)</f>
        <v>0.13320000000000001</v>
      </c>
      <c r="K64" s="22">
        <f t="shared" ref="K64:S64" si="15">SUM(K35:K40)</f>
        <v>0.19980000000000001</v>
      </c>
      <c r="L64" s="22">
        <f t="shared" si="15"/>
        <v>0.33300000000000002</v>
      </c>
      <c r="M64" s="22">
        <f t="shared" si="15"/>
        <v>0.999</v>
      </c>
      <c r="N64" s="22">
        <f t="shared" si="15"/>
        <v>1.3320000000000001</v>
      </c>
      <c r="O64" s="22">
        <f t="shared" si="15"/>
        <v>1.3320000000000001</v>
      </c>
      <c r="P64" s="22">
        <f t="shared" si="15"/>
        <v>0.999</v>
      </c>
      <c r="Q64" s="22">
        <f t="shared" si="15"/>
        <v>0.66600000000000004</v>
      </c>
      <c r="R64" s="22">
        <f t="shared" si="15"/>
        <v>0.33300000000000002</v>
      </c>
      <c r="S64" s="22">
        <f t="shared" si="15"/>
        <v>0.33300000000000002</v>
      </c>
      <c r="T64" s="15">
        <f t="shared" si="13"/>
        <v>6.66</v>
      </c>
    </row>
    <row r="65" spans="4:20" x14ac:dyDescent="0.25">
      <c r="D65" t="s">
        <v>424</v>
      </c>
      <c r="E65">
        <f>SUM(E41:E48)</f>
        <v>8</v>
      </c>
      <c r="F65">
        <f>SUM(F41:F48)</f>
        <v>8.8800000000000004E-2</v>
      </c>
      <c r="G65">
        <f>ROUND(F65*100, 1)</f>
        <v>8.9</v>
      </c>
      <c r="I65" s="24" t="s">
        <v>424</v>
      </c>
      <c r="J65" s="22">
        <f>SUM(J41:J48)</f>
        <v>0.17760000000000001</v>
      </c>
      <c r="K65" s="22">
        <f t="shared" ref="K65:S65" si="16">SUM(K41:K48)</f>
        <v>0.26640000000000003</v>
      </c>
      <c r="L65" s="22">
        <f t="shared" si="16"/>
        <v>0.44400000000000001</v>
      </c>
      <c r="M65" s="22">
        <f t="shared" si="16"/>
        <v>1.3320000000000001</v>
      </c>
      <c r="N65" s="22">
        <f t="shared" si="16"/>
        <v>1.776</v>
      </c>
      <c r="O65" s="22">
        <f t="shared" si="16"/>
        <v>1.776</v>
      </c>
      <c r="P65" s="22">
        <f t="shared" si="16"/>
        <v>1.3320000000000001</v>
      </c>
      <c r="Q65" s="22">
        <f t="shared" si="16"/>
        <v>0.88800000000000001</v>
      </c>
      <c r="R65" s="22">
        <f t="shared" si="16"/>
        <v>0.44400000000000001</v>
      </c>
      <c r="S65" s="22">
        <f t="shared" si="16"/>
        <v>0.44400000000000001</v>
      </c>
      <c r="T65" s="15">
        <f t="shared" ref="T65:T67" si="17">SUM(J65:S65)</f>
        <v>8.8800000000000008</v>
      </c>
    </row>
    <row r="66" spans="4:20" x14ac:dyDescent="0.25">
      <c r="D66" t="s">
        <v>421</v>
      </c>
      <c r="E66">
        <f>SUM(E49:E52)</f>
        <v>8</v>
      </c>
      <c r="F66">
        <f>SUM(F49:F52)</f>
        <v>8.8800000000000004E-2</v>
      </c>
      <c r="G66">
        <f>ROUND(F66*100, 1)</f>
        <v>8.9</v>
      </c>
      <c r="I66" s="24" t="s">
        <v>421</v>
      </c>
      <c r="J66" s="1">
        <f>SUM(J49:J52)</f>
        <v>0.17760000000000001</v>
      </c>
      <c r="K66" s="1">
        <f t="shared" ref="K66:S66" si="18">SUM(K49:K52)</f>
        <v>0.26640000000000003</v>
      </c>
      <c r="L66" s="1">
        <f t="shared" si="18"/>
        <v>0.44400000000000006</v>
      </c>
      <c r="M66" s="1">
        <f t="shared" si="18"/>
        <v>1.3320000000000001</v>
      </c>
      <c r="N66" s="1">
        <f t="shared" si="18"/>
        <v>1.7760000000000002</v>
      </c>
      <c r="O66" s="1">
        <f t="shared" si="18"/>
        <v>1.7760000000000002</v>
      </c>
      <c r="P66" s="1">
        <f t="shared" si="18"/>
        <v>1.3320000000000001</v>
      </c>
      <c r="Q66" s="1">
        <f t="shared" si="18"/>
        <v>0.88800000000000012</v>
      </c>
      <c r="R66" s="1">
        <f t="shared" si="18"/>
        <v>0.44400000000000006</v>
      </c>
      <c r="S66" s="1">
        <f t="shared" si="18"/>
        <v>0.44400000000000006</v>
      </c>
      <c r="T66" s="15">
        <f t="shared" si="17"/>
        <v>8.8800000000000008</v>
      </c>
    </row>
    <row r="67" spans="4:20" x14ac:dyDescent="0.25">
      <c r="D67" s="8" t="s">
        <v>422</v>
      </c>
      <c r="E67" s="8">
        <f>SUM(E53:E63)</f>
        <v>68</v>
      </c>
      <c r="F67" s="8">
        <f>SUM(F53:F63)</f>
        <v>0.75539999999999996</v>
      </c>
      <c r="G67">
        <f>ROUND(F67*100, 1)</f>
        <v>75.5</v>
      </c>
      <c r="I67" s="25" t="s">
        <v>422</v>
      </c>
      <c r="J67" s="1">
        <f t="shared" ref="J67:S67" si="19">SUM(J53:J63)</f>
        <v>1.5107999999999999</v>
      </c>
      <c r="K67" s="1">
        <f t="shared" si="19"/>
        <v>2.2662</v>
      </c>
      <c r="L67" s="1">
        <f t="shared" si="19"/>
        <v>3.7770000000000006</v>
      </c>
      <c r="M67" s="1">
        <f t="shared" si="19"/>
        <v>11.330999999999998</v>
      </c>
      <c r="N67" s="1">
        <f t="shared" si="19"/>
        <v>15.108000000000002</v>
      </c>
      <c r="O67" s="1">
        <f t="shared" si="19"/>
        <v>15.108000000000002</v>
      </c>
      <c r="P67" s="1">
        <f t="shared" si="19"/>
        <v>11.330999999999998</v>
      </c>
      <c r="Q67" s="1">
        <f t="shared" si="19"/>
        <v>7.5540000000000012</v>
      </c>
      <c r="R67" s="1">
        <f t="shared" si="19"/>
        <v>3.7770000000000006</v>
      </c>
      <c r="S67" s="1">
        <f t="shared" si="19"/>
        <v>3.7770000000000006</v>
      </c>
      <c r="T67" s="15">
        <f t="shared" si="17"/>
        <v>75.540000000000006</v>
      </c>
    </row>
    <row r="68" spans="4:20" x14ac:dyDescent="0.25">
      <c r="D68" t="s">
        <v>164</v>
      </c>
      <c r="E68">
        <f>SUM(E35:E63)</f>
        <v>90</v>
      </c>
      <c r="F68">
        <f>SUM(F35:F63)</f>
        <v>0.99959999999999993</v>
      </c>
      <c r="G68">
        <f>SUM(G64:G67)</f>
        <v>100</v>
      </c>
      <c r="T68" s="15">
        <f>SUM(T64:T67)</f>
        <v>99.960000000000008</v>
      </c>
    </row>
    <row r="69" spans="4:20" x14ac:dyDescent="0.25">
      <c r="I69" s="6" t="s">
        <v>415</v>
      </c>
      <c r="J69">
        <v>3</v>
      </c>
    </row>
    <row r="70" spans="4:20" x14ac:dyDescent="0.25">
      <c r="D70" t="s">
        <v>404</v>
      </c>
      <c r="I70" s="6" t="s">
        <v>416</v>
      </c>
      <c r="J70">
        <f>INDEX(J$27:J$30, MATCH($J69, $I$27:$I$30))</f>
        <v>2</v>
      </c>
      <c r="K70">
        <f t="shared" ref="K70" si="20">INDEX(K$27:K$30, MATCH($J69, $I$27:$I$30))</f>
        <v>3</v>
      </c>
      <c r="L70">
        <f t="shared" ref="L70" si="21">INDEX(L$27:L$30, MATCH($J69, $I$27:$I$30))</f>
        <v>5</v>
      </c>
      <c r="M70">
        <f t="shared" ref="M70" si="22">INDEX(M$27:M$30, MATCH($J69, $I$27:$I$30))</f>
        <v>15</v>
      </c>
      <c r="N70">
        <f t="shared" ref="N70" si="23">INDEX(N$27:N$30, MATCH($J69, $I$27:$I$30))</f>
        <v>20</v>
      </c>
      <c r="O70">
        <f t="shared" ref="O70" si="24">INDEX(O$27:O$30, MATCH($J69, $I$27:$I$30))</f>
        <v>20</v>
      </c>
      <c r="P70">
        <f t="shared" ref="P70" si="25">INDEX(P$27:P$30, MATCH($J69, $I$27:$I$30))</f>
        <v>15</v>
      </c>
      <c r="Q70">
        <f t="shared" ref="Q70" si="26">INDEX(Q$27:Q$30, MATCH($J69, $I$27:$I$30))</f>
        <v>10</v>
      </c>
      <c r="R70">
        <f t="shared" ref="R70" si="27">INDEX(R$27:R$30, MATCH($J69, $I$27:$I$30))</f>
        <v>5</v>
      </c>
      <c r="S70">
        <f t="shared" ref="S70" si="28">INDEX(S$27:S$30, MATCH($J69, $I$27:$I$30))</f>
        <v>5</v>
      </c>
      <c r="T70">
        <f>INDEX(T$27:T$30, MATCH($J69, $I$27:$I$30))</f>
        <v>100</v>
      </c>
    </row>
    <row r="71" spans="4:20" x14ac:dyDescent="0.25">
      <c r="D71" t="s">
        <v>405</v>
      </c>
      <c r="E71" t="s">
        <v>420</v>
      </c>
      <c r="F71" t="s">
        <v>27</v>
      </c>
      <c r="I71" s="7" t="s">
        <v>410</v>
      </c>
      <c r="J71" s="8">
        <v>1</v>
      </c>
      <c r="K71" s="8">
        <v>2</v>
      </c>
      <c r="L71" s="8">
        <v>3</v>
      </c>
      <c r="M71" s="8">
        <v>4</v>
      </c>
      <c r="N71" s="8">
        <v>5</v>
      </c>
      <c r="O71" s="8">
        <v>6</v>
      </c>
      <c r="P71" s="8">
        <v>7</v>
      </c>
      <c r="Q71" s="8">
        <v>8</v>
      </c>
      <c r="R71" s="8">
        <v>9</v>
      </c>
      <c r="S71" s="8">
        <v>10</v>
      </c>
    </row>
    <row r="72" spans="4:20" x14ac:dyDescent="0.25">
      <c r="D72" t="s">
        <v>116</v>
      </c>
      <c r="E72">
        <v>1</v>
      </c>
      <c r="F72">
        <f>ROUND(E72/E$104, 4)</f>
        <v>1.23E-2</v>
      </c>
      <c r="H72" t="s">
        <v>409</v>
      </c>
      <c r="I72" s="20" t="s">
        <v>116</v>
      </c>
      <c r="J72">
        <f>($F72*(J$70/$T$70))*100</f>
        <v>2.46E-2</v>
      </c>
      <c r="K72">
        <f t="shared" ref="K72:S87" si="29">($F72*(K$70/$T$70))*100</f>
        <v>3.6899999999999995E-2</v>
      </c>
      <c r="L72">
        <f t="shared" si="29"/>
        <v>6.1500000000000013E-2</v>
      </c>
      <c r="M72">
        <f t="shared" si="29"/>
        <v>0.1845</v>
      </c>
      <c r="N72">
        <f t="shared" si="29"/>
        <v>0.24600000000000005</v>
      </c>
      <c r="O72">
        <f t="shared" si="29"/>
        <v>0.24600000000000005</v>
      </c>
      <c r="P72">
        <f t="shared" si="29"/>
        <v>0.1845</v>
      </c>
      <c r="Q72">
        <f t="shared" si="29"/>
        <v>0.12300000000000003</v>
      </c>
      <c r="R72">
        <f t="shared" si="29"/>
        <v>6.1500000000000013E-2</v>
      </c>
      <c r="S72">
        <f t="shared" si="29"/>
        <v>6.1500000000000013E-2</v>
      </c>
      <c r="T72">
        <f>SUM(J72:S72)</f>
        <v>1.2300000000000004</v>
      </c>
    </row>
    <row r="73" spans="4:20" x14ac:dyDescent="0.25">
      <c r="D73" t="s">
        <v>118</v>
      </c>
      <c r="E73">
        <v>1</v>
      </c>
      <c r="F73">
        <f t="shared" ref="F73:F103" si="30">ROUND(E73/E$104, 4)</f>
        <v>1.23E-2</v>
      </c>
      <c r="I73" s="6" t="s">
        <v>118</v>
      </c>
      <c r="J73">
        <f t="shared" ref="J73:S99" si="31">($F73*(J$70/$T$70))*100</f>
        <v>2.46E-2</v>
      </c>
      <c r="K73">
        <f t="shared" si="29"/>
        <v>3.6899999999999995E-2</v>
      </c>
      <c r="L73">
        <f t="shared" si="29"/>
        <v>6.1500000000000013E-2</v>
      </c>
      <c r="M73">
        <f t="shared" si="29"/>
        <v>0.1845</v>
      </c>
      <c r="N73">
        <f t="shared" si="29"/>
        <v>0.24600000000000005</v>
      </c>
      <c r="O73">
        <f t="shared" si="29"/>
        <v>0.24600000000000005</v>
      </c>
      <c r="P73">
        <f t="shared" si="29"/>
        <v>0.1845</v>
      </c>
      <c r="Q73">
        <f t="shared" si="29"/>
        <v>0.12300000000000003</v>
      </c>
      <c r="R73">
        <f t="shared" si="29"/>
        <v>6.1500000000000013E-2</v>
      </c>
      <c r="S73">
        <f t="shared" si="29"/>
        <v>6.1500000000000013E-2</v>
      </c>
      <c r="T73">
        <f t="shared" ref="T73:T103" si="32">SUM(J73:S73)</f>
        <v>1.2300000000000004</v>
      </c>
    </row>
    <row r="74" spans="4:20" x14ac:dyDescent="0.25">
      <c r="D74" t="s">
        <v>117</v>
      </c>
      <c r="E74">
        <v>1</v>
      </c>
      <c r="F74">
        <f t="shared" si="30"/>
        <v>1.23E-2</v>
      </c>
      <c r="I74" s="6" t="s">
        <v>117</v>
      </c>
      <c r="J74">
        <f t="shared" si="31"/>
        <v>2.46E-2</v>
      </c>
      <c r="K74">
        <f t="shared" si="29"/>
        <v>3.6899999999999995E-2</v>
      </c>
      <c r="L74">
        <f t="shared" si="29"/>
        <v>6.1500000000000013E-2</v>
      </c>
      <c r="M74">
        <f t="shared" si="29"/>
        <v>0.1845</v>
      </c>
      <c r="N74">
        <f t="shared" si="29"/>
        <v>0.24600000000000005</v>
      </c>
      <c r="O74">
        <f t="shared" si="29"/>
        <v>0.24600000000000005</v>
      </c>
      <c r="P74">
        <f t="shared" si="29"/>
        <v>0.1845</v>
      </c>
      <c r="Q74">
        <f t="shared" si="29"/>
        <v>0.12300000000000003</v>
      </c>
      <c r="R74">
        <f t="shared" si="29"/>
        <v>6.1500000000000013E-2</v>
      </c>
      <c r="S74">
        <f t="shared" si="29"/>
        <v>6.1500000000000013E-2</v>
      </c>
      <c r="T74">
        <f t="shared" si="32"/>
        <v>1.2300000000000004</v>
      </c>
    </row>
    <row r="75" spans="4:20" x14ac:dyDescent="0.25">
      <c r="D75" t="s">
        <v>119</v>
      </c>
      <c r="E75">
        <v>1</v>
      </c>
      <c r="F75">
        <f t="shared" si="30"/>
        <v>1.23E-2</v>
      </c>
      <c r="I75" s="6" t="s">
        <v>119</v>
      </c>
      <c r="J75">
        <f t="shared" si="31"/>
        <v>2.46E-2</v>
      </c>
      <c r="K75">
        <f t="shared" si="29"/>
        <v>3.6899999999999995E-2</v>
      </c>
      <c r="L75">
        <f t="shared" si="29"/>
        <v>6.1500000000000013E-2</v>
      </c>
      <c r="M75">
        <f t="shared" si="29"/>
        <v>0.1845</v>
      </c>
      <c r="N75">
        <f t="shared" si="29"/>
        <v>0.24600000000000005</v>
      </c>
      <c r="O75">
        <f t="shared" si="29"/>
        <v>0.24600000000000005</v>
      </c>
      <c r="P75">
        <f t="shared" si="29"/>
        <v>0.1845</v>
      </c>
      <c r="Q75">
        <f t="shared" si="29"/>
        <v>0.12300000000000003</v>
      </c>
      <c r="R75">
        <f t="shared" si="29"/>
        <v>6.1500000000000013E-2</v>
      </c>
      <c r="S75">
        <f t="shared" si="29"/>
        <v>6.1500000000000013E-2</v>
      </c>
      <c r="T75">
        <f t="shared" si="32"/>
        <v>1.2300000000000004</v>
      </c>
    </row>
    <row r="76" spans="4:20" x14ac:dyDescent="0.25">
      <c r="D76" t="s">
        <v>120</v>
      </c>
      <c r="E76">
        <v>1</v>
      </c>
      <c r="F76">
        <f t="shared" si="30"/>
        <v>1.23E-2</v>
      </c>
      <c r="I76" s="6" t="s">
        <v>120</v>
      </c>
      <c r="J76">
        <f t="shared" si="31"/>
        <v>2.46E-2</v>
      </c>
      <c r="K76">
        <f t="shared" si="29"/>
        <v>3.6899999999999995E-2</v>
      </c>
      <c r="L76">
        <f t="shared" si="29"/>
        <v>6.1500000000000013E-2</v>
      </c>
      <c r="M76">
        <f t="shared" si="29"/>
        <v>0.1845</v>
      </c>
      <c r="N76">
        <f t="shared" si="29"/>
        <v>0.24600000000000005</v>
      </c>
      <c r="O76">
        <f t="shared" si="29"/>
        <v>0.24600000000000005</v>
      </c>
      <c r="P76">
        <f t="shared" si="29"/>
        <v>0.1845</v>
      </c>
      <c r="Q76">
        <f t="shared" si="29"/>
        <v>0.12300000000000003</v>
      </c>
      <c r="R76">
        <f t="shared" si="29"/>
        <v>6.1500000000000013E-2</v>
      </c>
      <c r="S76">
        <f t="shared" si="29"/>
        <v>6.1500000000000013E-2</v>
      </c>
      <c r="T76">
        <f t="shared" si="32"/>
        <v>1.2300000000000004</v>
      </c>
    </row>
    <row r="77" spans="4:20" x14ac:dyDescent="0.25">
      <c r="D77" s="8" t="s">
        <v>121</v>
      </c>
      <c r="E77" s="8">
        <v>1</v>
      </c>
      <c r="F77" s="8">
        <f t="shared" si="30"/>
        <v>1.23E-2</v>
      </c>
      <c r="I77" s="7" t="s">
        <v>121</v>
      </c>
      <c r="J77" s="8">
        <f t="shared" si="31"/>
        <v>2.46E-2</v>
      </c>
      <c r="K77" s="8">
        <f t="shared" si="29"/>
        <v>3.6899999999999995E-2</v>
      </c>
      <c r="L77" s="8">
        <f t="shared" si="29"/>
        <v>6.1500000000000013E-2</v>
      </c>
      <c r="M77" s="8">
        <f t="shared" si="29"/>
        <v>0.1845</v>
      </c>
      <c r="N77" s="8">
        <f t="shared" si="29"/>
        <v>0.24600000000000005</v>
      </c>
      <c r="O77" s="8">
        <f t="shared" si="29"/>
        <v>0.24600000000000005</v>
      </c>
      <c r="P77" s="8">
        <f t="shared" si="29"/>
        <v>0.1845</v>
      </c>
      <c r="Q77" s="8">
        <f t="shared" si="29"/>
        <v>0.12300000000000003</v>
      </c>
      <c r="R77" s="8">
        <f t="shared" si="29"/>
        <v>6.1500000000000013E-2</v>
      </c>
      <c r="S77" s="8">
        <f t="shared" si="29"/>
        <v>6.1500000000000013E-2</v>
      </c>
      <c r="T77">
        <f t="shared" si="32"/>
        <v>1.2300000000000004</v>
      </c>
    </row>
    <row r="78" spans="4:20" x14ac:dyDescent="0.25">
      <c r="D78" t="s">
        <v>270</v>
      </c>
      <c r="E78">
        <v>1</v>
      </c>
      <c r="F78">
        <f t="shared" si="30"/>
        <v>1.23E-2</v>
      </c>
      <c r="I78" s="6" t="s">
        <v>270</v>
      </c>
      <c r="J78">
        <f t="shared" si="31"/>
        <v>2.46E-2</v>
      </c>
      <c r="K78">
        <f t="shared" si="29"/>
        <v>3.6899999999999995E-2</v>
      </c>
      <c r="L78">
        <f t="shared" si="29"/>
        <v>6.1500000000000013E-2</v>
      </c>
      <c r="M78">
        <f t="shared" si="29"/>
        <v>0.1845</v>
      </c>
      <c r="N78">
        <f t="shared" si="29"/>
        <v>0.24600000000000005</v>
      </c>
      <c r="O78">
        <f t="shared" si="29"/>
        <v>0.24600000000000005</v>
      </c>
      <c r="P78">
        <f t="shared" si="29"/>
        <v>0.1845</v>
      </c>
      <c r="Q78">
        <f t="shared" si="29"/>
        <v>0.12300000000000003</v>
      </c>
      <c r="R78">
        <f t="shared" si="29"/>
        <v>6.1500000000000013E-2</v>
      </c>
      <c r="S78">
        <f t="shared" si="29"/>
        <v>6.1500000000000013E-2</v>
      </c>
      <c r="T78">
        <f t="shared" si="32"/>
        <v>1.2300000000000004</v>
      </c>
    </row>
    <row r="79" spans="4:20" x14ac:dyDescent="0.25">
      <c r="D79" t="s">
        <v>271</v>
      </c>
      <c r="E79">
        <v>1</v>
      </c>
      <c r="F79">
        <f t="shared" si="30"/>
        <v>1.23E-2</v>
      </c>
      <c r="I79" s="6" t="s">
        <v>271</v>
      </c>
      <c r="J79">
        <f t="shared" si="31"/>
        <v>2.46E-2</v>
      </c>
      <c r="K79">
        <f t="shared" si="29"/>
        <v>3.6899999999999995E-2</v>
      </c>
      <c r="L79">
        <f t="shared" si="29"/>
        <v>6.1500000000000013E-2</v>
      </c>
      <c r="M79">
        <f t="shared" si="29"/>
        <v>0.1845</v>
      </c>
      <c r="N79">
        <f t="shared" si="29"/>
        <v>0.24600000000000005</v>
      </c>
      <c r="O79">
        <f t="shared" si="29"/>
        <v>0.24600000000000005</v>
      </c>
      <c r="P79">
        <f t="shared" si="29"/>
        <v>0.1845</v>
      </c>
      <c r="Q79">
        <f t="shared" si="29"/>
        <v>0.12300000000000003</v>
      </c>
      <c r="R79">
        <f t="shared" si="29"/>
        <v>6.1500000000000013E-2</v>
      </c>
      <c r="S79">
        <f t="shared" si="29"/>
        <v>6.1500000000000013E-2</v>
      </c>
      <c r="T79">
        <f t="shared" si="32"/>
        <v>1.2300000000000004</v>
      </c>
    </row>
    <row r="80" spans="4:20" x14ac:dyDescent="0.25">
      <c r="D80" t="s">
        <v>272</v>
      </c>
      <c r="E80">
        <v>1</v>
      </c>
      <c r="F80">
        <f t="shared" si="30"/>
        <v>1.23E-2</v>
      </c>
      <c r="I80" s="6" t="s">
        <v>272</v>
      </c>
      <c r="J80">
        <f t="shared" si="31"/>
        <v>2.46E-2</v>
      </c>
      <c r="K80">
        <f t="shared" si="29"/>
        <v>3.6899999999999995E-2</v>
      </c>
      <c r="L80">
        <f t="shared" si="29"/>
        <v>6.1500000000000013E-2</v>
      </c>
      <c r="M80">
        <f t="shared" si="29"/>
        <v>0.1845</v>
      </c>
      <c r="N80">
        <f t="shared" si="29"/>
        <v>0.24600000000000005</v>
      </c>
      <c r="O80">
        <f t="shared" si="29"/>
        <v>0.24600000000000005</v>
      </c>
      <c r="P80">
        <f t="shared" si="29"/>
        <v>0.1845</v>
      </c>
      <c r="Q80">
        <f t="shared" si="29"/>
        <v>0.12300000000000003</v>
      </c>
      <c r="R80">
        <f t="shared" si="29"/>
        <v>6.1500000000000013E-2</v>
      </c>
      <c r="S80">
        <f t="shared" si="29"/>
        <v>6.1500000000000013E-2</v>
      </c>
      <c r="T80">
        <f t="shared" si="32"/>
        <v>1.2300000000000004</v>
      </c>
    </row>
    <row r="81" spans="4:20" x14ac:dyDescent="0.25">
      <c r="D81" t="s">
        <v>273</v>
      </c>
      <c r="E81">
        <v>1</v>
      </c>
      <c r="F81">
        <f t="shared" si="30"/>
        <v>1.23E-2</v>
      </c>
      <c r="I81" s="6" t="s">
        <v>273</v>
      </c>
      <c r="J81">
        <f t="shared" si="31"/>
        <v>2.46E-2</v>
      </c>
      <c r="K81">
        <f t="shared" si="29"/>
        <v>3.6899999999999995E-2</v>
      </c>
      <c r="L81">
        <f t="shared" si="29"/>
        <v>6.1500000000000013E-2</v>
      </c>
      <c r="M81">
        <f t="shared" si="29"/>
        <v>0.1845</v>
      </c>
      <c r="N81">
        <f t="shared" si="29"/>
        <v>0.24600000000000005</v>
      </c>
      <c r="O81">
        <f t="shared" si="29"/>
        <v>0.24600000000000005</v>
      </c>
      <c r="P81">
        <f t="shared" si="29"/>
        <v>0.1845</v>
      </c>
      <c r="Q81">
        <f t="shared" si="29"/>
        <v>0.12300000000000003</v>
      </c>
      <c r="R81">
        <f t="shared" si="29"/>
        <v>6.1500000000000013E-2</v>
      </c>
      <c r="S81">
        <f t="shared" si="29"/>
        <v>6.1500000000000013E-2</v>
      </c>
      <c r="T81">
        <f t="shared" si="32"/>
        <v>1.2300000000000004</v>
      </c>
    </row>
    <row r="82" spans="4:20" x14ac:dyDescent="0.25">
      <c r="D82" t="s">
        <v>274</v>
      </c>
      <c r="E82">
        <v>1</v>
      </c>
      <c r="F82">
        <f t="shared" si="30"/>
        <v>1.23E-2</v>
      </c>
      <c r="I82" s="6" t="s">
        <v>274</v>
      </c>
      <c r="J82">
        <f t="shared" si="31"/>
        <v>2.46E-2</v>
      </c>
      <c r="K82">
        <f t="shared" si="29"/>
        <v>3.6899999999999995E-2</v>
      </c>
      <c r="L82">
        <f t="shared" si="29"/>
        <v>6.1500000000000013E-2</v>
      </c>
      <c r="M82">
        <f t="shared" si="29"/>
        <v>0.1845</v>
      </c>
      <c r="N82">
        <f t="shared" si="29"/>
        <v>0.24600000000000005</v>
      </c>
      <c r="O82">
        <f t="shared" si="29"/>
        <v>0.24600000000000005</v>
      </c>
      <c r="P82">
        <f t="shared" si="29"/>
        <v>0.1845</v>
      </c>
      <c r="Q82">
        <f t="shared" si="29"/>
        <v>0.12300000000000003</v>
      </c>
      <c r="R82">
        <f t="shared" si="29"/>
        <v>6.1500000000000013E-2</v>
      </c>
      <c r="S82">
        <f t="shared" si="29"/>
        <v>6.1500000000000013E-2</v>
      </c>
      <c r="T82">
        <f t="shared" si="32"/>
        <v>1.2300000000000004</v>
      </c>
    </row>
    <row r="83" spans="4:20" x14ac:dyDescent="0.25">
      <c r="D83" t="s">
        <v>276</v>
      </c>
      <c r="E83">
        <v>1</v>
      </c>
      <c r="F83">
        <f t="shared" si="30"/>
        <v>1.23E-2</v>
      </c>
      <c r="I83" s="6" t="s">
        <v>276</v>
      </c>
      <c r="J83">
        <f t="shared" si="31"/>
        <v>2.46E-2</v>
      </c>
      <c r="K83">
        <f t="shared" si="29"/>
        <v>3.6899999999999995E-2</v>
      </c>
      <c r="L83">
        <f t="shared" si="29"/>
        <v>6.1500000000000013E-2</v>
      </c>
      <c r="M83">
        <f t="shared" si="29"/>
        <v>0.1845</v>
      </c>
      <c r="N83">
        <f t="shared" si="29"/>
        <v>0.24600000000000005</v>
      </c>
      <c r="O83">
        <f t="shared" si="29"/>
        <v>0.24600000000000005</v>
      </c>
      <c r="P83">
        <f t="shared" si="29"/>
        <v>0.1845</v>
      </c>
      <c r="Q83">
        <f t="shared" si="29"/>
        <v>0.12300000000000003</v>
      </c>
      <c r="R83">
        <f t="shared" si="29"/>
        <v>6.1500000000000013E-2</v>
      </c>
      <c r="S83">
        <f t="shared" si="29"/>
        <v>6.1500000000000013E-2</v>
      </c>
      <c r="T83">
        <f t="shared" si="32"/>
        <v>1.2300000000000004</v>
      </c>
    </row>
    <row r="84" spans="4:20" x14ac:dyDescent="0.25">
      <c r="D84" t="s">
        <v>275</v>
      </c>
      <c r="E84">
        <v>1</v>
      </c>
      <c r="F84">
        <f t="shared" si="30"/>
        <v>1.23E-2</v>
      </c>
      <c r="I84" s="6" t="s">
        <v>275</v>
      </c>
      <c r="J84">
        <f t="shared" si="31"/>
        <v>2.46E-2</v>
      </c>
      <c r="K84">
        <f t="shared" si="29"/>
        <v>3.6899999999999995E-2</v>
      </c>
      <c r="L84">
        <f t="shared" si="29"/>
        <v>6.1500000000000013E-2</v>
      </c>
      <c r="M84">
        <f t="shared" si="29"/>
        <v>0.1845</v>
      </c>
      <c r="N84">
        <f t="shared" si="29"/>
        <v>0.24600000000000005</v>
      </c>
      <c r="O84">
        <f t="shared" si="29"/>
        <v>0.24600000000000005</v>
      </c>
      <c r="P84">
        <f t="shared" si="29"/>
        <v>0.1845</v>
      </c>
      <c r="Q84">
        <f t="shared" si="29"/>
        <v>0.12300000000000003</v>
      </c>
      <c r="R84">
        <f t="shared" si="29"/>
        <v>6.1500000000000013E-2</v>
      </c>
      <c r="S84">
        <f t="shared" si="29"/>
        <v>6.1500000000000013E-2</v>
      </c>
      <c r="T84">
        <f t="shared" si="32"/>
        <v>1.2300000000000004</v>
      </c>
    </row>
    <row r="85" spans="4:20" x14ac:dyDescent="0.25">
      <c r="D85" s="8" t="s">
        <v>277</v>
      </c>
      <c r="E85" s="8">
        <v>1</v>
      </c>
      <c r="F85" s="8">
        <f t="shared" si="30"/>
        <v>1.23E-2</v>
      </c>
      <c r="I85" s="7" t="s">
        <v>277</v>
      </c>
      <c r="J85" s="8">
        <f t="shared" si="31"/>
        <v>2.46E-2</v>
      </c>
      <c r="K85" s="8">
        <f t="shared" si="29"/>
        <v>3.6899999999999995E-2</v>
      </c>
      <c r="L85" s="8">
        <f t="shared" si="29"/>
        <v>6.1500000000000013E-2</v>
      </c>
      <c r="M85" s="8">
        <f t="shared" si="29"/>
        <v>0.1845</v>
      </c>
      <c r="N85" s="8">
        <f t="shared" si="29"/>
        <v>0.24600000000000005</v>
      </c>
      <c r="O85" s="8">
        <f t="shared" si="29"/>
        <v>0.24600000000000005</v>
      </c>
      <c r="P85" s="8">
        <f t="shared" si="29"/>
        <v>0.1845</v>
      </c>
      <c r="Q85" s="8">
        <f t="shared" si="29"/>
        <v>0.12300000000000003</v>
      </c>
      <c r="R85" s="8">
        <f t="shared" si="29"/>
        <v>6.1500000000000013E-2</v>
      </c>
      <c r="S85" s="8">
        <f t="shared" si="29"/>
        <v>6.1500000000000013E-2</v>
      </c>
      <c r="T85">
        <f t="shared" si="32"/>
        <v>1.2300000000000004</v>
      </c>
    </row>
    <row r="86" spans="4:20" x14ac:dyDescent="0.25">
      <c r="D86" t="s">
        <v>411</v>
      </c>
      <c r="E86">
        <v>4</v>
      </c>
      <c r="F86">
        <f t="shared" si="30"/>
        <v>4.9399999999999999E-2</v>
      </c>
      <c r="I86" s="6" t="s">
        <v>411</v>
      </c>
      <c r="J86">
        <f t="shared" si="31"/>
        <v>9.8799999999999999E-2</v>
      </c>
      <c r="K86">
        <f t="shared" si="29"/>
        <v>0.1482</v>
      </c>
      <c r="L86">
        <f t="shared" si="29"/>
        <v>0.247</v>
      </c>
      <c r="M86">
        <f t="shared" si="29"/>
        <v>0.74099999999999999</v>
      </c>
      <c r="N86">
        <f t="shared" si="29"/>
        <v>0.98799999999999999</v>
      </c>
      <c r="O86">
        <f t="shared" si="29"/>
        <v>0.98799999999999999</v>
      </c>
      <c r="P86">
        <f t="shared" si="29"/>
        <v>0.74099999999999999</v>
      </c>
      <c r="Q86">
        <f t="shared" si="29"/>
        <v>0.49399999999999999</v>
      </c>
      <c r="R86">
        <f t="shared" si="29"/>
        <v>0.247</v>
      </c>
      <c r="S86">
        <f t="shared" si="29"/>
        <v>0.247</v>
      </c>
      <c r="T86">
        <f t="shared" si="32"/>
        <v>4.9399999999999995</v>
      </c>
    </row>
    <row r="87" spans="4:20" x14ac:dyDescent="0.25">
      <c r="D87" t="s">
        <v>412</v>
      </c>
      <c r="E87">
        <v>4</v>
      </c>
      <c r="F87">
        <f t="shared" si="30"/>
        <v>4.9399999999999999E-2</v>
      </c>
      <c r="I87" s="6" t="s">
        <v>412</v>
      </c>
      <c r="J87">
        <f t="shared" si="31"/>
        <v>9.8799999999999999E-2</v>
      </c>
      <c r="K87">
        <f t="shared" si="29"/>
        <v>0.1482</v>
      </c>
      <c r="L87">
        <f t="shared" si="29"/>
        <v>0.247</v>
      </c>
      <c r="M87">
        <f t="shared" si="29"/>
        <v>0.74099999999999999</v>
      </c>
      <c r="N87">
        <f t="shared" si="29"/>
        <v>0.98799999999999999</v>
      </c>
      <c r="O87">
        <f t="shared" si="29"/>
        <v>0.98799999999999999</v>
      </c>
      <c r="P87">
        <f t="shared" si="29"/>
        <v>0.74099999999999999</v>
      </c>
      <c r="Q87">
        <f t="shared" si="29"/>
        <v>0.49399999999999999</v>
      </c>
      <c r="R87">
        <f t="shared" si="29"/>
        <v>0.247</v>
      </c>
      <c r="S87">
        <f t="shared" si="29"/>
        <v>0.247</v>
      </c>
      <c r="T87">
        <f t="shared" si="32"/>
        <v>4.9399999999999995</v>
      </c>
    </row>
    <row r="88" spans="4:20" x14ac:dyDescent="0.25">
      <c r="D88" t="s">
        <v>413</v>
      </c>
      <c r="E88">
        <v>4</v>
      </c>
      <c r="F88">
        <f t="shared" si="30"/>
        <v>4.9399999999999999E-2</v>
      </c>
      <c r="I88" s="6" t="s">
        <v>413</v>
      </c>
      <c r="J88">
        <f t="shared" si="31"/>
        <v>9.8799999999999999E-2</v>
      </c>
      <c r="K88">
        <f t="shared" si="31"/>
        <v>0.1482</v>
      </c>
      <c r="L88">
        <f t="shared" si="31"/>
        <v>0.247</v>
      </c>
      <c r="M88">
        <f t="shared" si="31"/>
        <v>0.74099999999999999</v>
      </c>
      <c r="N88">
        <f t="shared" si="31"/>
        <v>0.98799999999999999</v>
      </c>
      <c r="O88">
        <f t="shared" si="31"/>
        <v>0.98799999999999999</v>
      </c>
      <c r="P88">
        <f t="shared" si="31"/>
        <v>0.74099999999999999</v>
      </c>
      <c r="Q88">
        <f t="shared" si="31"/>
        <v>0.49399999999999999</v>
      </c>
      <c r="R88">
        <f t="shared" si="31"/>
        <v>0.247</v>
      </c>
      <c r="S88">
        <f t="shared" si="31"/>
        <v>0.247</v>
      </c>
      <c r="T88">
        <f t="shared" si="32"/>
        <v>4.9399999999999995</v>
      </c>
    </row>
    <row r="89" spans="4:20" x14ac:dyDescent="0.25">
      <c r="D89" s="8" t="s">
        <v>414</v>
      </c>
      <c r="E89" s="8">
        <v>4</v>
      </c>
      <c r="F89" s="8">
        <f t="shared" si="30"/>
        <v>4.9399999999999999E-2</v>
      </c>
      <c r="I89" s="7" t="s">
        <v>414</v>
      </c>
      <c r="J89" s="8">
        <f t="shared" si="31"/>
        <v>9.8799999999999999E-2</v>
      </c>
      <c r="K89" s="8">
        <f t="shared" si="31"/>
        <v>0.1482</v>
      </c>
      <c r="L89" s="8">
        <f t="shared" si="31"/>
        <v>0.247</v>
      </c>
      <c r="M89" s="8">
        <f t="shared" si="31"/>
        <v>0.74099999999999999</v>
      </c>
      <c r="N89" s="8">
        <f t="shared" si="31"/>
        <v>0.98799999999999999</v>
      </c>
      <c r="O89" s="8">
        <f t="shared" si="31"/>
        <v>0.98799999999999999</v>
      </c>
      <c r="P89" s="8">
        <f t="shared" si="31"/>
        <v>0.74099999999999999</v>
      </c>
      <c r="Q89" s="8">
        <f t="shared" si="31"/>
        <v>0.49399999999999999</v>
      </c>
      <c r="R89" s="8">
        <f t="shared" si="31"/>
        <v>0.247</v>
      </c>
      <c r="S89" s="8">
        <f t="shared" si="31"/>
        <v>0.247</v>
      </c>
      <c r="T89">
        <f t="shared" si="32"/>
        <v>4.9399999999999995</v>
      </c>
    </row>
    <row r="90" spans="4:20" x14ac:dyDescent="0.25">
      <c r="D90" t="s">
        <v>291</v>
      </c>
      <c r="E90">
        <v>6</v>
      </c>
      <c r="F90">
        <f t="shared" si="30"/>
        <v>7.4099999999999999E-2</v>
      </c>
      <c r="I90" s="6" t="s">
        <v>291</v>
      </c>
      <c r="J90">
        <f t="shared" si="31"/>
        <v>0.1482</v>
      </c>
      <c r="K90">
        <f t="shared" si="31"/>
        <v>0.22229999999999997</v>
      </c>
      <c r="L90">
        <f t="shared" si="31"/>
        <v>0.3705</v>
      </c>
      <c r="M90">
        <f t="shared" si="31"/>
        <v>1.1114999999999999</v>
      </c>
      <c r="N90">
        <f t="shared" si="31"/>
        <v>1.482</v>
      </c>
      <c r="O90">
        <f t="shared" si="31"/>
        <v>1.482</v>
      </c>
      <c r="P90">
        <f t="shared" si="31"/>
        <v>1.1114999999999999</v>
      </c>
      <c r="Q90">
        <f t="shared" si="31"/>
        <v>0.74099999999999999</v>
      </c>
      <c r="R90">
        <f t="shared" si="31"/>
        <v>0.3705</v>
      </c>
      <c r="S90">
        <f t="shared" si="31"/>
        <v>0.3705</v>
      </c>
      <c r="T90">
        <f t="shared" si="32"/>
        <v>7.4099999999999984</v>
      </c>
    </row>
    <row r="91" spans="4:20" x14ac:dyDescent="0.25">
      <c r="D91" t="s">
        <v>290</v>
      </c>
      <c r="E91">
        <v>6</v>
      </c>
      <c r="F91">
        <f t="shared" si="30"/>
        <v>7.4099999999999999E-2</v>
      </c>
      <c r="I91" s="6" t="s">
        <v>290</v>
      </c>
      <c r="J91">
        <f t="shared" si="31"/>
        <v>0.1482</v>
      </c>
      <c r="K91">
        <f t="shared" si="31"/>
        <v>0.22229999999999997</v>
      </c>
      <c r="L91">
        <f t="shared" si="31"/>
        <v>0.3705</v>
      </c>
      <c r="M91">
        <f t="shared" si="31"/>
        <v>1.1114999999999999</v>
      </c>
      <c r="N91">
        <f t="shared" si="31"/>
        <v>1.482</v>
      </c>
      <c r="O91">
        <f t="shared" si="31"/>
        <v>1.482</v>
      </c>
      <c r="P91">
        <f t="shared" si="31"/>
        <v>1.1114999999999999</v>
      </c>
      <c r="Q91">
        <f t="shared" si="31"/>
        <v>0.74099999999999999</v>
      </c>
      <c r="R91">
        <f t="shared" si="31"/>
        <v>0.3705</v>
      </c>
      <c r="S91">
        <f t="shared" si="31"/>
        <v>0.3705</v>
      </c>
      <c r="T91">
        <f t="shared" si="32"/>
        <v>7.4099999999999984</v>
      </c>
    </row>
    <row r="92" spans="4:20" x14ac:dyDescent="0.25">
      <c r="D92" t="s">
        <v>293</v>
      </c>
      <c r="E92">
        <v>3</v>
      </c>
      <c r="F92">
        <f t="shared" si="30"/>
        <v>3.6999999999999998E-2</v>
      </c>
      <c r="I92" s="6" t="s">
        <v>293</v>
      </c>
      <c r="J92">
        <f t="shared" si="31"/>
        <v>7.3999999999999996E-2</v>
      </c>
      <c r="K92">
        <f t="shared" si="31"/>
        <v>0.11099999999999999</v>
      </c>
      <c r="L92">
        <f t="shared" si="31"/>
        <v>0.185</v>
      </c>
      <c r="M92">
        <f t="shared" si="31"/>
        <v>0.55499999999999994</v>
      </c>
      <c r="N92">
        <f t="shared" si="31"/>
        <v>0.74</v>
      </c>
      <c r="O92">
        <f t="shared" si="31"/>
        <v>0.74</v>
      </c>
      <c r="P92">
        <f t="shared" si="31"/>
        <v>0.55499999999999994</v>
      </c>
      <c r="Q92">
        <f t="shared" si="31"/>
        <v>0.37</v>
      </c>
      <c r="R92">
        <f t="shared" si="31"/>
        <v>0.185</v>
      </c>
      <c r="S92">
        <f t="shared" si="31"/>
        <v>0.185</v>
      </c>
      <c r="T92">
        <f t="shared" si="32"/>
        <v>3.7</v>
      </c>
    </row>
    <row r="93" spans="4:20" x14ac:dyDescent="0.25">
      <c r="D93" t="s">
        <v>295</v>
      </c>
      <c r="E93">
        <v>6</v>
      </c>
      <c r="F93">
        <f t="shared" si="30"/>
        <v>7.4099999999999999E-2</v>
      </c>
      <c r="I93" s="6" t="s">
        <v>295</v>
      </c>
      <c r="J93">
        <f t="shared" si="31"/>
        <v>0.1482</v>
      </c>
      <c r="K93">
        <f t="shared" si="31"/>
        <v>0.22229999999999997</v>
      </c>
      <c r="L93">
        <f t="shared" si="31"/>
        <v>0.3705</v>
      </c>
      <c r="M93">
        <f t="shared" si="31"/>
        <v>1.1114999999999999</v>
      </c>
      <c r="N93">
        <f t="shared" si="31"/>
        <v>1.482</v>
      </c>
      <c r="O93">
        <f t="shared" si="31"/>
        <v>1.482</v>
      </c>
      <c r="P93">
        <f t="shared" si="31"/>
        <v>1.1114999999999999</v>
      </c>
      <c r="Q93">
        <f t="shared" si="31"/>
        <v>0.74099999999999999</v>
      </c>
      <c r="R93">
        <f t="shared" si="31"/>
        <v>0.3705</v>
      </c>
      <c r="S93">
        <f t="shared" si="31"/>
        <v>0.3705</v>
      </c>
      <c r="T93">
        <f t="shared" si="32"/>
        <v>7.4099999999999984</v>
      </c>
    </row>
    <row r="94" spans="4:20" x14ac:dyDescent="0.25">
      <c r="D94" t="s">
        <v>296</v>
      </c>
      <c r="E94">
        <v>6</v>
      </c>
      <c r="F94">
        <f t="shared" si="30"/>
        <v>7.4099999999999999E-2</v>
      </c>
      <c r="I94" s="6" t="s">
        <v>296</v>
      </c>
      <c r="J94">
        <f t="shared" si="31"/>
        <v>0.1482</v>
      </c>
      <c r="K94">
        <f t="shared" si="31"/>
        <v>0.22229999999999997</v>
      </c>
      <c r="L94">
        <f t="shared" si="31"/>
        <v>0.3705</v>
      </c>
      <c r="M94">
        <f t="shared" si="31"/>
        <v>1.1114999999999999</v>
      </c>
      <c r="N94">
        <f t="shared" si="31"/>
        <v>1.482</v>
      </c>
      <c r="O94">
        <f t="shared" si="31"/>
        <v>1.482</v>
      </c>
      <c r="P94">
        <f t="shared" si="31"/>
        <v>1.1114999999999999</v>
      </c>
      <c r="Q94">
        <f t="shared" si="31"/>
        <v>0.74099999999999999</v>
      </c>
      <c r="R94">
        <f t="shared" si="31"/>
        <v>0.3705</v>
      </c>
      <c r="S94">
        <f t="shared" si="31"/>
        <v>0.3705</v>
      </c>
      <c r="T94">
        <f t="shared" si="32"/>
        <v>7.4099999999999984</v>
      </c>
    </row>
    <row r="95" spans="4:20" x14ac:dyDescent="0.25">
      <c r="D95" t="s">
        <v>297</v>
      </c>
      <c r="E95">
        <v>6</v>
      </c>
      <c r="F95">
        <f t="shared" si="30"/>
        <v>7.4099999999999999E-2</v>
      </c>
      <c r="I95" s="6" t="s">
        <v>297</v>
      </c>
      <c r="J95">
        <f t="shared" si="31"/>
        <v>0.1482</v>
      </c>
      <c r="K95">
        <f t="shared" si="31"/>
        <v>0.22229999999999997</v>
      </c>
      <c r="L95">
        <f t="shared" si="31"/>
        <v>0.3705</v>
      </c>
      <c r="M95">
        <f t="shared" si="31"/>
        <v>1.1114999999999999</v>
      </c>
      <c r="N95">
        <f t="shared" si="31"/>
        <v>1.482</v>
      </c>
      <c r="O95">
        <f t="shared" si="31"/>
        <v>1.482</v>
      </c>
      <c r="P95">
        <f t="shared" si="31"/>
        <v>1.1114999999999999</v>
      </c>
      <c r="Q95">
        <f t="shared" si="31"/>
        <v>0.74099999999999999</v>
      </c>
      <c r="R95">
        <f t="shared" si="31"/>
        <v>0.3705</v>
      </c>
      <c r="S95">
        <f t="shared" si="31"/>
        <v>0.3705</v>
      </c>
      <c r="T95">
        <f t="shared" si="32"/>
        <v>7.4099999999999984</v>
      </c>
    </row>
    <row r="96" spans="4:20" x14ac:dyDescent="0.25">
      <c r="D96" t="s">
        <v>292</v>
      </c>
      <c r="E96">
        <v>3</v>
      </c>
      <c r="F96">
        <f t="shared" si="30"/>
        <v>3.6999999999999998E-2</v>
      </c>
      <c r="I96" s="6" t="s">
        <v>292</v>
      </c>
      <c r="J96">
        <f t="shared" si="31"/>
        <v>7.3999999999999996E-2</v>
      </c>
      <c r="K96">
        <f t="shared" si="31"/>
        <v>0.11099999999999999</v>
      </c>
      <c r="L96">
        <f t="shared" si="31"/>
        <v>0.185</v>
      </c>
      <c r="M96">
        <f t="shared" si="31"/>
        <v>0.55499999999999994</v>
      </c>
      <c r="N96">
        <f t="shared" si="31"/>
        <v>0.74</v>
      </c>
      <c r="O96">
        <f t="shared" si="31"/>
        <v>0.74</v>
      </c>
      <c r="P96">
        <f t="shared" si="31"/>
        <v>0.55499999999999994</v>
      </c>
      <c r="Q96">
        <f t="shared" si="31"/>
        <v>0.37</v>
      </c>
      <c r="R96">
        <f t="shared" si="31"/>
        <v>0.185</v>
      </c>
      <c r="S96">
        <f t="shared" si="31"/>
        <v>0.185</v>
      </c>
      <c r="T96">
        <f t="shared" si="32"/>
        <v>3.7</v>
      </c>
    </row>
    <row r="97" spans="4:20" x14ac:dyDescent="0.25">
      <c r="D97" t="s">
        <v>289</v>
      </c>
      <c r="E97">
        <v>6</v>
      </c>
      <c r="F97">
        <f t="shared" si="30"/>
        <v>7.4099999999999999E-2</v>
      </c>
      <c r="I97" s="6" t="s">
        <v>289</v>
      </c>
      <c r="J97">
        <f t="shared" si="31"/>
        <v>0.1482</v>
      </c>
      <c r="K97">
        <f t="shared" si="31"/>
        <v>0.22229999999999997</v>
      </c>
      <c r="L97">
        <f t="shared" si="31"/>
        <v>0.3705</v>
      </c>
      <c r="M97">
        <f t="shared" si="31"/>
        <v>1.1114999999999999</v>
      </c>
      <c r="N97">
        <f t="shared" si="31"/>
        <v>1.482</v>
      </c>
      <c r="O97">
        <f t="shared" si="31"/>
        <v>1.482</v>
      </c>
      <c r="P97">
        <f t="shared" si="31"/>
        <v>1.1114999999999999</v>
      </c>
      <c r="Q97">
        <f t="shared" si="31"/>
        <v>0.74099999999999999</v>
      </c>
      <c r="R97">
        <f t="shared" si="31"/>
        <v>0.3705</v>
      </c>
      <c r="S97">
        <f t="shared" si="31"/>
        <v>0.3705</v>
      </c>
      <c r="T97">
        <f t="shared" si="32"/>
        <v>7.4099999999999984</v>
      </c>
    </row>
    <row r="98" spans="4:20" x14ac:dyDescent="0.25">
      <c r="D98" t="s">
        <v>286</v>
      </c>
      <c r="E98">
        <v>6</v>
      </c>
      <c r="F98">
        <f t="shared" si="30"/>
        <v>7.4099999999999999E-2</v>
      </c>
      <c r="I98" s="6" t="s">
        <v>286</v>
      </c>
      <c r="J98">
        <f t="shared" si="31"/>
        <v>0.1482</v>
      </c>
      <c r="K98">
        <f t="shared" si="31"/>
        <v>0.22229999999999997</v>
      </c>
      <c r="L98">
        <f t="shared" si="31"/>
        <v>0.3705</v>
      </c>
      <c r="M98">
        <f t="shared" si="31"/>
        <v>1.1114999999999999</v>
      </c>
      <c r="N98">
        <f t="shared" si="31"/>
        <v>1.482</v>
      </c>
      <c r="O98">
        <f t="shared" si="31"/>
        <v>1.482</v>
      </c>
      <c r="P98">
        <f t="shared" si="31"/>
        <v>1.1114999999999999</v>
      </c>
      <c r="Q98">
        <f t="shared" si="31"/>
        <v>0.74099999999999999</v>
      </c>
      <c r="R98">
        <f t="shared" si="31"/>
        <v>0.3705</v>
      </c>
      <c r="S98">
        <f t="shared" si="31"/>
        <v>0.3705</v>
      </c>
      <c r="T98">
        <f t="shared" si="32"/>
        <v>7.4099999999999984</v>
      </c>
    </row>
    <row r="99" spans="4:20" x14ac:dyDescent="0.25">
      <c r="D99" s="8" t="s">
        <v>285</v>
      </c>
      <c r="E99" s="8">
        <v>3</v>
      </c>
      <c r="F99" s="8">
        <f t="shared" si="30"/>
        <v>3.6999999999999998E-2</v>
      </c>
      <c r="I99" s="7" t="s">
        <v>285</v>
      </c>
      <c r="J99" s="8">
        <f t="shared" si="31"/>
        <v>7.3999999999999996E-2</v>
      </c>
      <c r="K99" s="8">
        <f t="shared" si="31"/>
        <v>0.11099999999999999</v>
      </c>
      <c r="L99" s="8">
        <f t="shared" si="31"/>
        <v>0.185</v>
      </c>
      <c r="M99" s="8">
        <f t="shared" si="31"/>
        <v>0.55499999999999994</v>
      </c>
      <c r="N99" s="8">
        <f t="shared" si="31"/>
        <v>0.74</v>
      </c>
      <c r="O99" s="8">
        <f t="shared" si="31"/>
        <v>0.74</v>
      </c>
      <c r="P99" s="8">
        <f t="shared" si="31"/>
        <v>0.55499999999999994</v>
      </c>
      <c r="Q99" s="8">
        <f t="shared" si="31"/>
        <v>0.37</v>
      </c>
      <c r="R99" s="8">
        <f t="shared" si="31"/>
        <v>0.185</v>
      </c>
      <c r="S99" s="8">
        <f t="shared" si="31"/>
        <v>0.185</v>
      </c>
      <c r="T99">
        <f t="shared" si="32"/>
        <v>3.7</v>
      </c>
    </row>
    <row r="100" spans="4:20" x14ac:dyDescent="0.25">
      <c r="D100" t="s">
        <v>423</v>
      </c>
      <c r="E100">
        <f>SUM(E72:E77)</f>
        <v>6</v>
      </c>
      <c r="F100">
        <f t="shared" si="30"/>
        <v>7.4099999999999999E-2</v>
      </c>
      <c r="I100" s="24" t="s">
        <v>423</v>
      </c>
      <c r="J100" s="22">
        <f>SUM(J72:J77)</f>
        <v>0.14760000000000001</v>
      </c>
      <c r="K100" s="22">
        <f t="shared" ref="K100:S100" si="33">SUM(K72:K77)</f>
        <v>0.22139999999999996</v>
      </c>
      <c r="L100" s="22">
        <f t="shared" si="33"/>
        <v>0.36900000000000005</v>
      </c>
      <c r="M100" s="22">
        <f t="shared" si="33"/>
        <v>1.107</v>
      </c>
      <c r="N100" s="22">
        <f t="shared" si="33"/>
        <v>1.4760000000000002</v>
      </c>
      <c r="O100" s="22">
        <f t="shared" si="33"/>
        <v>1.4760000000000002</v>
      </c>
      <c r="P100" s="22">
        <f t="shared" si="33"/>
        <v>1.107</v>
      </c>
      <c r="Q100" s="22">
        <f t="shared" si="33"/>
        <v>0.7380000000000001</v>
      </c>
      <c r="R100" s="22">
        <f t="shared" si="33"/>
        <v>0.36900000000000005</v>
      </c>
      <c r="S100" s="22">
        <f t="shared" si="33"/>
        <v>0.36900000000000005</v>
      </c>
      <c r="T100">
        <f>SUM(J100:S100)</f>
        <v>7.3800000000000008</v>
      </c>
    </row>
    <row r="101" spans="4:20" x14ac:dyDescent="0.25">
      <c r="D101" t="s">
        <v>424</v>
      </c>
      <c r="E101">
        <f>SUM(E78:E85)</f>
        <v>8</v>
      </c>
      <c r="F101">
        <f t="shared" si="30"/>
        <v>9.8799999999999999E-2</v>
      </c>
      <c r="I101" s="24" t="s">
        <v>424</v>
      </c>
      <c r="J101" s="22">
        <f>SUM(J78:J85)</f>
        <v>0.19680000000000003</v>
      </c>
      <c r="K101" s="22">
        <f t="shared" ref="K101:S101" si="34">SUM(K78:K85)</f>
        <v>0.29519999999999996</v>
      </c>
      <c r="L101" s="22">
        <f t="shared" si="34"/>
        <v>0.49200000000000005</v>
      </c>
      <c r="M101" s="22">
        <f t="shared" si="34"/>
        <v>1.476</v>
      </c>
      <c r="N101" s="22">
        <f t="shared" si="34"/>
        <v>1.9680000000000002</v>
      </c>
      <c r="O101" s="22">
        <f t="shared" si="34"/>
        <v>1.9680000000000002</v>
      </c>
      <c r="P101" s="22">
        <f t="shared" si="34"/>
        <v>1.476</v>
      </c>
      <c r="Q101" s="22">
        <f t="shared" si="34"/>
        <v>0.9840000000000001</v>
      </c>
      <c r="R101" s="22">
        <f t="shared" si="34"/>
        <v>0.49200000000000005</v>
      </c>
      <c r="S101" s="22">
        <f t="shared" si="34"/>
        <v>0.49200000000000005</v>
      </c>
      <c r="T101">
        <f t="shared" si="32"/>
        <v>9.8400000000000016</v>
      </c>
    </row>
    <row r="102" spans="4:20" x14ac:dyDescent="0.25">
      <c r="D102" t="s">
        <v>421</v>
      </c>
      <c r="E102">
        <f>SUM(E86:E89)</f>
        <v>16</v>
      </c>
      <c r="F102">
        <f t="shared" si="30"/>
        <v>0.19750000000000001</v>
      </c>
      <c r="I102" s="24" t="s">
        <v>421</v>
      </c>
      <c r="J102" s="1">
        <f>SUM(J86:J89)</f>
        <v>0.3952</v>
      </c>
      <c r="K102" s="1">
        <f t="shared" ref="K102:S102" si="35">SUM(K86:K89)</f>
        <v>0.59279999999999999</v>
      </c>
      <c r="L102" s="1">
        <f t="shared" si="35"/>
        <v>0.98799999999999999</v>
      </c>
      <c r="M102" s="1">
        <f t="shared" si="35"/>
        <v>2.964</v>
      </c>
      <c r="N102" s="1">
        <f t="shared" si="35"/>
        <v>3.952</v>
      </c>
      <c r="O102" s="1">
        <f t="shared" si="35"/>
        <v>3.952</v>
      </c>
      <c r="P102" s="1">
        <f t="shared" si="35"/>
        <v>2.964</v>
      </c>
      <c r="Q102" s="1">
        <f t="shared" si="35"/>
        <v>1.976</v>
      </c>
      <c r="R102" s="1">
        <f t="shared" si="35"/>
        <v>0.98799999999999999</v>
      </c>
      <c r="S102" s="1">
        <f t="shared" si="35"/>
        <v>0.98799999999999999</v>
      </c>
      <c r="T102">
        <f t="shared" si="32"/>
        <v>19.759999999999998</v>
      </c>
    </row>
    <row r="103" spans="4:20" x14ac:dyDescent="0.25">
      <c r="D103" s="8" t="s">
        <v>422</v>
      </c>
      <c r="E103" s="8">
        <f>SUM(E90:E99)</f>
        <v>51</v>
      </c>
      <c r="F103">
        <f t="shared" si="30"/>
        <v>0.62960000000000005</v>
      </c>
      <c r="I103" s="25" t="s">
        <v>422</v>
      </c>
      <c r="J103" s="1">
        <f>SUM(J90:J99)</f>
        <v>1.2594000000000001</v>
      </c>
      <c r="K103" s="1">
        <f t="shared" ref="K103:S103" si="36">SUM(K90:K99)</f>
        <v>1.8890999999999996</v>
      </c>
      <c r="L103" s="1">
        <f t="shared" si="36"/>
        <v>3.1484999999999999</v>
      </c>
      <c r="M103" s="1">
        <f t="shared" si="36"/>
        <v>9.4454999999999973</v>
      </c>
      <c r="N103" s="1">
        <f t="shared" si="36"/>
        <v>12.593999999999999</v>
      </c>
      <c r="O103" s="1">
        <f t="shared" si="36"/>
        <v>12.593999999999999</v>
      </c>
      <c r="P103" s="1">
        <f t="shared" si="36"/>
        <v>9.4454999999999973</v>
      </c>
      <c r="Q103" s="1">
        <f t="shared" si="36"/>
        <v>6.2969999999999997</v>
      </c>
      <c r="R103" s="1">
        <f t="shared" si="36"/>
        <v>3.1484999999999999</v>
      </c>
      <c r="S103" s="1">
        <f t="shared" si="36"/>
        <v>3.1484999999999999</v>
      </c>
      <c r="T103">
        <f t="shared" si="32"/>
        <v>62.969999999999985</v>
      </c>
    </row>
    <row r="104" spans="4:20" x14ac:dyDescent="0.25">
      <c r="D104" t="s">
        <v>164</v>
      </c>
      <c r="E104">
        <f>SUM(E72:E99)</f>
        <v>81</v>
      </c>
      <c r="F104">
        <f>SUM(F72:F99)</f>
        <v>0.99950000000000017</v>
      </c>
      <c r="T104">
        <f>SUM(T100:T103)</f>
        <v>99.949999999999989</v>
      </c>
    </row>
    <row r="105" spans="4:20" x14ac:dyDescent="0.25">
      <c r="I105" s="6" t="s">
        <v>415</v>
      </c>
      <c r="J105" t="s">
        <v>417</v>
      </c>
    </row>
    <row r="106" spans="4:20" x14ac:dyDescent="0.25">
      <c r="D106" t="s">
        <v>408</v>
      </c>
      <c r="I106" s="6" t="s">
        <v>416</v>
      </c>
      <c r="J106">
        <f>INDEX(J$27:J$30, MATCH($J105, $I$27:$I$30))</f>
        <v>2</v>
      </c>
      <c r="K106">
        <f t="shared" ref="K106" si="37">INDEX(K$27:K$30, MATCH($J105, $I$27:$I$30))</f>
        <v>3</v>
      </c>
      <c r="L106">
        <f t="shared" ref="L106" si="38">INDEX(L$27:L$30, MATCH($J105, $I$27:$I$30))</f>
        <v>15</v>
      </c>
      <c r="M106">
        <f t="shared" ref="M106" si="39">INDEX(M$27:M$30, MATCH($J105, $I$27:$I$30))</f>
        <v>15</v>
      </c>
      <c r="N106">
        <f t="shared" ref="N106" si="40">INDEX(N$27:N$30, MATCH($J105, $I$27:$I$30))</f>
        <v>25</v>
      </c>
      <c r="O106">
        <f t="shared" ref="O106" si="41">INDEX(O$27:O$30, MATCH($J105, $I$27:$I$30))</f>
        <v>20</v>
      </c>
      <c r="P106">
        <f t="shared" ref="P106" si="42">INDEX(P$27:P$30, MATCH($J105, $I$27:$I$30))</f>
        <v>10</v>
      </c>
      <c r="Q106">
        <f t="shared" ref="Q106" si="43">INDEX(Q$27:Q$30, MATCH($J105, $I$27:$I$30))</f>
        <v>5</v>
      </c>
      <c r="R106">
        <f t="shared" ref="R106" si="44">INDEX(R$27:R$30, MATCH($J105, $I$27:$I$30))</f>
        <v>3</v>
      </c>
      <c r="S106">
        <f t="shared" ref="S106" si="45">INDEX(S$27:S$30, MATCH($J105, $I$27:$I$30))</f>
        <v>2</v>
      </c>
      <c r="T106">
        <f>INDEX(T$27:T$30, MATCH($J105, $I$27:$I$30))</f>
        <v>100</v>
      </c>
    </row>
    <row r="107" spans="4:20" x14ac:dyDescent="0.25">
      <c r="D107" t="s">
        <v>407</v>
      </c>
      <c r="E107" t="s">
        <v>420</v>
      </c>
      <c r="F107" t="s">
        <v>27</v>
      </c>
      <c r="I107" s="7" t="s">
        <v>410</v>
      </c>
      <c r="J107" s="8">
        <v>1</v>
      </c>
      <c r="K107" s="8">
        <v>2</v>
      </c>
      <c r="L107" s="8">
        <v>3</v>
      </c>
      <c r="M107" s="8">
        <v>4</v>
      </c>
      <c r="N107" s="8">
        <v>5</v>
      </c>
      <c r="O107" s="8">
        <v>6</v>
      </c>
      <c r="P107" s="8">
        <v>7</v>
      </c>
      <c r="Q107" s="8">
        <v>8</v>
      </c>
      <c r="R107" s="8">
        <v>9</v>
      </c>
      <c r="S107" s="8">
        <v>10</v>
      </c>
    </row>
    <row r="108" spans="4:20" x14ac:dyDescent="0.25">
      <c r="D108" t="s">
        <v>116</v>
      </c>
      <c r="E108">
        <v>1</v>
      </c>
      <c r="F108">
        <f>ROUND(E108/E$124, 4)</f>
        <v>7.1400000000000005E-2</v>
      </c>
      <c r="H108" t="s">
        <v>409</v>
      </c>
      <c r="I108" s="20" t="s">
        <v>116</v>
      </c>
      <c r="J108">
        <f>($F108*(J$106/$T$106))*100</f>
        <v>0.14280000000000001</v>
      </c>
      <c r="K108">
        <f t="shared" ref="K108:S121" si="46">($F108*(K$106/$T$106))*100</f>
        <v>0.21420000000000003</v>
      </c>
      <c r="L108">
        <f t="shared" si="46"/>
        <v>1.0710000000000002</v>
      </c>
      <c r="M108">
        <f t="shared" si="46"/>
        <v>1.0710000000000002</v>
      </c>
      <c r="N108">
        <f t="shared" si="46"/>
        <v>1.7850000000000001</v>
      </c>
      <c r="O108">
        <f t="shared" si="46"/>
        <v>1.4280000000000002</v>
      </c>
      <c r="P108">
        <f t="shared" si="46"/>
        <v>0.71400000000000008</v>
      </c>
      <c r="Q108">
        <f t="shared" si="46"/>
        <v>0.35700000000000004</v>
      </c>
      <c r="R108">
        <f t="shared" si="46"/>
        <v>0.21420000000000003</v>
      </c>
      <c r="S108">
        <f t="shared" si="46"/>
        <v>0.14280000000000001</v>
      </c>
      <c r="T108">
        <f>SUM(J108:S108)</f>
        <v>7.1400000000000015</v>
      </c>
    </row>
    <row r="109" spans="4:20" x14ac:dyDescent="0.25">
      <c r="D109" t="s">
        <v>118</v>
      </c>
      <c r="E109">
        <v>1</v>
      </c>
      <c r="F109">
        <f t="shared" ref="F109:F121" si="47">ROUND(E109/E$124, 4)</f>
        <v>7.1400000000000005E-2</v>
      </c>
      <c r="I109" s="6" t="s">
        <v>118</v>
      </c>
      <c r="J109">
        <f t="shared" ref="J109:J121" si="48">($F109*(J$106/$T$106))*100</f>
        <v>0.14280000000000001</v>
      </c>
      <c r="K109">
        <f t="shared" si="46"/>
        <v>0.21420000000000003</v>
      </c>
      <c r="L109">
        <f t="shared" si="46"/>
        <v>1.0710000000000002</v>
      </c>
      <c r="M109">
        <f t="shared" si="46"/>
        <v>1.0710000000000002</v>
      </c>
      <c r="N109">
        <f t="shared" si="46"/>
        <v>1.7850000000000001</v>
      </c>
      <c r="O109">
        <f t="shared" si="46"/>
        <v>1.4280000000000002</v>
      </c>
      <c r="P109">
        <f t="shared" si="46"/>
        <v>0.71400000000000008</v>
      </c>
      <c r="Q109">
        <f t="shared" si="46"/>
        <v>0.35700000000000004</v>
      </c>
      <c r="R109">
        <f t="shared" si="46"/>
        <v>0.21420000000000003</v>
      </c>
      <c r="S109">
        <f t="shared" si="46"/>
        <v>0.14280000000000001</v>
      </c>
      <c r="T109">
        <f t="shared" ref="T109:T123" si="49">SUM(J109:S109)</f>
        <v>7.1400000000000015</v>
      </c>
    </row>
    <row r="110" spans="4:20" x14ac:dyDescent="0.25">
      <c r="D110" t="s">
        <v>117</v>
      </c>
      <c r="E110">
        <v>1</v>
      </c>
      <c r="F110">
        <f t="shared" si="47"/>
        <v>7.1400000000000005E-2</v>
      </c>
      <c r="I110" s="6" t="s">
        <v>117</v>
      </c>
      <c r="J110">
        <f t="shared" si="48"/>
        <v>0.14280000000000001</v>
      </c>
      <c r="K110">
        <f t="shared" si="46"/>
        <v>0.21420000000000003</v>
      </c>
      <c r="L110">
        <f t="shared" si="46"/>
        <v>1.0710000000000002</v>
      </c>
      <c r="M110">
        <f t="shared" si="46"/>
        <v>1.0710000000000002</v>
      </c>
      <c r="N110">
        <f t="shared" si="46"/>
        <v>1.7850000000000001</v>
      </c>
      <c r="O110">
        <f t="shared" si="46"/>
        <v>1.4280000000000002</v>
      </c>
      <c r="P110">
        <f t="shared" si="46"/>
        <v>0.71400000000000008</v>
      </c>
      <c r="Q110">
        <f t="shared" si="46"/>
        <v>0.35700000000000004</v>
      </c>
      <c r="R110">
        <f t="shared" si="46"/>
        <v>0.21420000000000003</v>
      </c>
      <c r="S110">
        <f t="shared" si="46"/>
        <v>0.14280000000000001</v>
      </c>
      <c r="T110">
        <f t="shared" si="49"/>
        <v>7.1400000000000015</v>
      </c>
    </row>
    <row r="111" spans="4:20" x14ac:dyDescent="0.25">
      <c r="D111" t="s">
        <v>119</v>
      </c>
      <c r="E111">
        <v>1</v>
      </c>
      <c r="F111">
        <f t="shared" si="47"/>
        <v>7.1400000000000005E-2</v>
      </c>
      <c r="I111" s="6" t="s">
        <v>119</v>
      </c>
      <c r="J111">
        <f t="shared" si="48"/>
        <v>0.14280000000000001</v>
      </c>
      <c r="K111">
        <f t="shared" si="46"/>
        <v>0.21420000000000003</v>
      </c>
      <c r="L111">
        <f t="shared" si="46"/>
        <v>1.0710000000000002</v>
      </c>
      <c r="M111">
        <f t="shared" si="46"/>
        <v>1.0710000000000002</v>
      </c>
      <c r="N111">
        <f t="shared" si="46"/>
        <v>1.7850000000000001</v>
      </c>
      <c r="O111">
        <f t="shared" si="46"/>
        <v>1.4280000000000002</v>
      </c>
      <c r="P111">
        <f t="shared" si="46"/>
        <v>0.71400000000000008</v>
      </c>
      <c r="Q111">
        <f t="shared" si="46"/>
        <v>0.35700000000000004</v>
      </c>
      <c r="R111">
        <f t="shared" si="46"/>
        <v>0.21420000000000003</v>
      </c>
      <c r="S111">
        <f t="shared" si="46"/>
        <v>0.14280000000000001</v>
      </c>
      <c r="T111">
        <f t="shared" si="49"/>
        <v>7.1400000000000015</v>
      </c>
    </row>
    <row r="112" spans="4:20" x14ac:dyDescent="0.25">
      <c r="D112" t="s">
        <v>120</v>
      </c>
      <c r="E112">
        <v>1</v>
      </c>
      <c r="F112">
        <f t="shared" si="47"/>
        <v>7.1400000000000005E-2</v>
      </c>
      <c r="I112" s="6" t="s">
        <v>120</v>
      </c>
      <c r="J112">
        <f t="shared" si="48"/>
        <v>0.14280000000000001</v>
      </c>
      <c r="K112">
        <f t="shared" si="46"/>
        <v>0.21420000000000003</v>
      </c>
      <c r="L112">
        <f t="shared" si="46"/>
        <v>1.0710000000000002</v>
      </c>
      <c r="M112">
        <f t="shared" si="46"/>
        <v>1.0710000000000002</v>
      </c>
      <c r="N112">
        <f t="shared" si="46"/>
        <v>1.7850000000000001</v>
      </c>
      <c r="O112">
        <f t="shared" si="46"/>
        <v>1.4280000000000002</v>
      </c>
      <c r="P112">
        <f t="shared" si="46"/>
        <v>0.71400000000000008</v>
      </c>
      <c r="Q112">
        <f t="shared" si="46"/>
        <v>0.35700000000000004</v>
      </c>
      <c r="R112">
        <f t="shared" si="46"/>
        <v>0.21420000000000003</v>
      </c>
      <c r="S112">
        <f t="shared" si="46"/>
        <v>0.14280000000000001</v>
      </c>
      <c r="T112">
        <f t="shared" si="49"/>
        <v>7.1400000000000015</v>
      </c>
    </row>
    <row r="113" spans="4:20" x14ac:dyDescent="0.25">
      <c r="D113" s="8" t="s">
        <v>121</v>
      </c>
      <c r="E113" s="8">
        <v>1</v>
      </c>
      <c r="F113" s="8">
        <f t="shared" si="47"/>
        <v>7.1400000000000005E-2</v>
      </c>
      <c r="I113" s="7" t="s">
        <v>121</v>
      </c>
      <c r="J113" s="8">
        <f t="shared" si="48"/>
        <v>0.14280000000000001</v>
      </c>
      <c r="K113" s="8">
        <f t="shared" si="46"/>
        <v>0.21420000000000003</v>
      </c>
      <c r="L113" s="8">
        <f t="shared" si="46"/>
        <v>1.0710000000000002</v>
      </c>
      <c r="M113" s="8">
        <f t="shared" si="46"/>
        <v>1.0710000000000002</v>
      </c>
      <c r="N113" s="8">
        <f t="shared" si="46"/>
        <v>1.7850000000000001</v>
      </c>
      <c r="O113" s="8">
        <f t="shared" si="46"/>
        <v>1.4280000000000002</v>
      </c>
      <c r="P113" s="8">
        <f t="shared" si="46"/>
        <v>0.71400000000000008</v>
      </c>
      <c r="Q113" s="8">
        <f t="shared" si="46"/>
        <v>0.35700000000000004</v>
      </c>
      <c r="R113" s="8">
        <f t="shared" si="46"/>
        <v>0.21420000000000003</v>
      </c>
      <c r="S113" s="8">
        <f t="shared" si="46"/>
        <v>0.14280000000000001</v>
      </c>
      <c r="T113">
        <f t="shared" si="49"/>
        <v>7.1400000000000015</v>
      </c>
    </row>
    <row r="114" spans="4:20" x14ac:dyDescent="0.25">
      <c r="D114" t="s">
        <v>270</v>
      </c>
      <c r="E114">
        <v>1</v>
      </c>
      <c r="F114">
        <f t="shared" si="47"/>
        <v>7.1400000000000005E-2</v>
      </c>
      <c r="I114" s="6" t="s">
        <v>270</v>
      </c>
      <c r="J114">
        <f t="shared" si="48"/>
        <v>0.14280000000000001</v>
      </c>
      <c r="K114">
        <f t="shared" si="46"/>
        <v>0.21420000000000003</v>
      </c>
      <c r="L114">
        <f t="shared" si="46"/>
        <v>1.0710000000000002</v>
      </c>
      <c r="M114">
        <f t="shared" si="46"/>
        <v>1.0710000000000002</v>
      </c>
      <c r="N114">
        <f t="shared" si="46"/>
        <v>1.7850000000000001</v>
      </c>
      <c r="O114">
        <f t="shared" si="46"/>
        <v>1.4280000000000002</v>
      </c>
      <c r="P114">
        <f t="shared" si="46"/>
        <v>0.71400000000000008</v>
      </c>
      <c r="Q114">
        <f t="shared" si="46"/>
        <v>0.35700000000000004</v>
      </c>
      <c r="R114">
        <f t="shared" si="46"/>
        <v>0.21420000000000003</v>
      </c>
      <c r="S114">
        <f t="shared" si="46"/>
        <v>0.14280000000000001</v>
      </c>
      <c r="T114">
        <f t="shared" si="49"/>
        <v>7.1400000000000015</v>
      </c>
    </row>
    <row r="115" spans="4:20" x14ac:dyDescent="0.25">
      <c r="D115" t="s">
        <v>271</v>
      </c>
      <c r="E115">
        <v>1</v>
      </c>
      <c r="F115">
        <f t="shared" si="47"/>
        <v>7.1400000000000005E-2</v>
      </c>
      <c r="I115" s="6" t="s">
        <v>271</v>
      </c>
      <c r="J115">
        <f t="shared" si="48"/>
        <v>0.14280000000000001</v>
      </c>
      <c r="K115">
        <f t="shared" si="46"/>
        <v>0.21420000000000003</v>
      </c>
      <c r="L115">
        <f t="shared" si="46"/>
        <v>1.0710000000000002</v>
      </c>
      <c r="M115">
        <f t="shared" si="46"/>
        <v>1.0710000000000002</v>
      </c>
      <c r="N115">
        <f t="shared" si="46"/>
        <v>1.7850000000000001</v>
      </c>
      <c r="O115">
        <f t="shared" si="46"/>
        <v>1.4280000000000002</v>
      </c>
      <c r="P115">
        <f t="shared" si="46"/>
        <v>0.71400000000000008</v>
      </c>
      <c r="Q115">
        <f t="shared" si="46"/>
        <v>0.35700000000000004</v>
      </c>
      <c r="R115">
        <f t="shared" si="46"/>
        <v>0.21420000000000003</v>
      </c>
      <c r="S115">
        <f t="shared" si="46"/>
        <v>0.14280000000000001</v>
      </c>
      <c r="T115">
        <f t="shared" si="49"/>
        <v>7.1400000000000015</v>
      </c>
    </row>
    <row r="116" spans="4:20" x14ac:dyDescent="0.25">
      <c r="D116" t="s">
        <v>272</v>
      </c>
      <c r="E116">
        <v>1</v>
      </c>
      <c r="F116">
        <f t="shared" si="47"/>
        <v>7.1400000000000005E-2</v>
      </c>
      <c r="I116" s="6" t="s">
        <v>272</v>
      </c>
      <c r="J116">
        <f t="shared" si="48"/>
        <v>0.14280000000000001</v>
      </c>
      <c r="K116">
        <f t="shared" si="46"/>
        <v>0.21420000000000003</v>
      </c>
      <c r="L116">
        <f t="shared" si="46"/>
        <v>1.0710000000000002</v>
      </c>
      <c r="M116">
        <f t="shared" si="46"/>
        <v>1.0710000000000002</v>
      </c>
      <c r="N116">
        <f t="shared" si="46"/>
        <v>1.7850000000000001</v>
      </c>
      <c r="O116">
        <f t="shared" si="46"/>
        <v>1.4280000000000002</v>
      </c>
      <c r="P116">
        <f t="shared" si="46"/>
        <v>0.71400000000000008</v>
      </c>
      <c r="Q116">
        <f t="shared" si="46"/>
        <v>0.35700000000000004</v>
      </c>
      <c r="R116">
        <f t="shared" si="46"/>
        <v>0.21420000000000003</v>
      </c>
      <c r="S116">
        <f t="shared" si="46"/>
        <v>0.14280000000000001</v>
      </c>
      <c r="T116">
        <f t="shared" si="49"/>
        <v>7.1400000000000015</v>
      </c>
    </row>
    <row r="117" spans="4:20" x14ac:dyDescent="0.25">
      <c r="D117" t="s">
        <v>273</v>
      </c>
      <c r="E117">
        <v>1</v>
      </c>
      <c r="F117">
        <f t="shared" si="47"/>
        <v>7.1400000000000005E-2</v>
      </c>
      <c r="I117" s="6" t="s">
        <v>273</v>
      </c>
      <c r="J117">
        <f t="shared" si="48"/>
        <v>0.14280000000000001</v>
      </c>
      <c r="K117">
        <f t="shared" si="46"/>
        <v>0.21420000000000003</v>
      </c>
      <c r="L117">
        <f t="shared" si="46"/>
        <v>1.0710000000000002</v>
      </c>
      <c r="M117">
        <f t="shared" si="46"/>
        <v>1.0710000000000002</v>
      </c>
      <c r="N117">
        <f t="shared" si="46"/>
        <v>1.7850000000000001</v>
      </c>
      <c r="O117">
        <f t="shared" si="46"/>
        <v>1.4280000000000002</v>
      </c>
      <c r="P117">
        <f t="shared" si="46"/>
        <v>0.71400000000000008</v>
      </c>
      <c r="Q117">
        <f t="shared" si="46"/>
        <v>0.35700000000000004</v>
      </c>
      <c r="R117">
        <f t="shared" si="46"/>
        <v>0.21420000000000003</v>
      </c>
      <c r="S117">
        <f t="shared" si="46"/>
        <v>0.14280000000000001</v>
      </c>
      <c r="T117">
        <f t="shared" si="49"/>
        <v>7.1400000000000015</v>
      </c>
    </row>
    <row r="118" spans="4:20" x14ac:dyDescent="0.25">
      <c r="D118" t="s">
        <v>274</v>
      </c>
      <c r="E118">
        <v>1</v>
      </c>
      <c r="F118">
        <f t="shared" si="47"/>
        <v>7.1400000000000005E-2</v>
      </c>
      <c r="I118" s="6" t="s">
        <v>274</v>
      </c>
      <c r="J118">
        <f t="shared" si="48"/>
        <v>0.14280000000000001</v>
      </c>
      <c r="K118">
        <f t="shared" si="46"/>
        <v>0.21420000000000003</v>
      </c>
      <c r="L118">
        <f t="shared" si="46"/>
        <v>1.0710000000000002</v>
      </c>
      <c r="M118">
        <f t="shared" si="46"/>
        <v>1.0710000000000002</v>
      </c>
      <c r="N118">
        <f t="shared" si="46"/>
        <v>1.7850000000000001</v>
      </c>
      <c r="O118">
        <f t="shared" si="46"/>
        <v>1.4280000000000002</v>
      </c>
      <c r="P118">
        <f t="shared" si="46"/>
        <v>0.71400000000000008</v>
      </c>
      <c r="Q118">
        <f t="shared" si="46"/>
        <v>0.35700000000000004</v>
      </c>
      <c r="R118">
        <f t="shared" si="46"/>
        <v>0.21420000000000003</v>
      </c>
      <c r="S118">
        <f t="shared" si="46"/>
        <v>0.14280000000000001</v>
      </c>
      <c r="T118">
        <f t="shared" si="49"/>
        <v>7.1400000000000015</v>
      </c>
    </row>
    <row r="119" spans="4:20" x14ac:dyDescent="0.25">
      <c r="D119" t="s">
        <v>276</v>
      </c>
      <c r="E119">
        <v>1</v>
      </c>
      <c r="F119">
        <f t="shared" si="47"/>
        <v>7.1400000000000005E-2</v>
      </c>
      <c r="I119" s="6" t="s">
        <v>276</v>
      </c>
      <c r="J119">
        <f t="shared" si="48"/>
        <v>0.14280000000000001</v>
      </c>
      <c r="K119">
        <f t="shared" si="46"/>
        <v>0.21420000000000003</v>
      </c>
      <c r="L119">
        <f t="shared" si="46"/>
        <v>1.0710000000000002</v>
      </c>
      <c r="M119">
        <f t="shared" si="46"/>
        <v>1.0710000000000002</v>
      </c>
      <c r="N119">
        <f t="shared" si="46"/>
        <v>1.7850000000000001</v>
      </c>
      <c r="O119">
        <f t="shared" si="46"/>
        <v>1.4280000000000002</v>
      </c>
      <c r="P119">
        <f t="shared" si="46"/>
        <v>0.71400000000000008</v>
      </c>
      <c r="Q119">
        <f t="shared" si="46"/>
        <v>0.35700000000000004</v>
      </c>
      <c r="R119">
        <f t="shared" si="46"/>
        <v>0.21420000000000003</v>
      </c>
      <c r="S119">
        <f t="shared" si="46"/>
        <v>0.14280000000000001</v>
      </c>
      <c r="T119">
        <f t="shared" si="49"/>
        <v>7.1400000000000015</v>
      </c>
    </row>
    <row r="120" spans="4:20" x14ac:dyDescent="0.25">
      <c r="D120" t="s">
        <v>275</v>
      </c>
      <c r="E120">
        <v>1</v>
      </c>
      <c r="F120">
        <f t="shared" si="47"/>
        <v>7.1400000000000005E-2</v>
      </c>
      <c r="I120" s="6" t="s">
        <v>275</v>
      </c>
      <c r="J120">
        <f t="shared" si="48"/>
        <v>0.14280000000000001</v>
      </c>
      <c r="K120">
        <f t="shared" si="46"/>
        <v>0.21420000000000003</v>
      </c>
      <c r="L120">
        <f t="shared" si="46"/>
        <v>1.0710000000000002</v>
      </c>
      <c r="M120">
        <f t="shared" si="46"/>
        <v>1.0710000000000002</v>
      </c>
      <c r="N120">
        <f t="shared" si="46"/>
        <v>1.7850000000000001</v>
      </c>
      <c r="O120">
        <f t="shared" si="46"/>
        <v>1.4280000000000002</v>
      </c>
      <c r="P120">
        <f t="shared" si="46"/>
        <v>0.71400000000000008</v>
      </c>
      <c r="Q120">
        <f t="shared" si="46"/>
        <v>0.35700000000000004</v>
      </c>
      <c r="R120">
        <f t="shared" si="46"/>
        <v>0.21420000000000003</v>
      </c>
      <c r="S120">
        <f t="shared" si="46"/>
        <v>0.14280000000000001</v>
      </c>
      <c r="T120">
        <f t="shared" si="49"/>
        <v>7.1400000000000015</v>
      </c>
    </row>
    <row r="121" spans="4:20" x14ac:dyDescent="0.25">
      <c r="D121" s="8" t="s">
        <v>277</v>
      </c>
      <c r="E121" s="8">
        <v>1</v>
      </c>
      <c r="F121" s="8">
        <f t="shared" si="47"/>
        <v>7.1400000000000005E-2</v>
      </c>
      <c r="I121" s="7" t="s">
        <v>277</v>
      </c>
      <c r="J121" s="8">
        <f t="shared" si="48"/>
        <v>0.14280000000000001</v>
      </c>
      <c r="K121" s="8">
        <f t="shared" si="46"/>
        <v>0.21420000000000003</v>
      </c>
      <c r="L121" s="8">
        <f t="shared" si="46"/>
        <v>1.0710000000000002</v>
      </c>
      <c r="M121" s="8">
        <f t="shared" si="46"/>
        <v>1.0710000000000002</v>
      </c>
      <c r="N121" s="8">
        <f t="shared" si="46"/>
        <v>1.7850000000000001</v>
      </c>
      <c r="O121" s="8">
        <f t="shared" si="46"/>
        <v>1.4280000000000002</v>
      </c>
      <c r="P121" s="8">
        <f t="shared" si="46"/>
        <v>0.71400000000000008</v>
      </c>
      <c r="Q121" s="8">
        <f t="shared" si="46"/>
        <v>0.35700000000000004</v>
      </c>
      <c r="R121" s="8">
        <f t="shared" si="46"/>
        <v>0.21420000000000003</v>
      </c>
      <c r="S121" s="8">
        <f t="shared" si="46"/>
        <v>0.14280000000000001</v>
      </c>
      <c r="T121">
        <f t="shared" si="49"/>
        <v>7.1400000000000015</v>
      </c>
    </row>
    <row r="122" spans="4:20" x14ac:dyDescent="0.25">
      <c r="D122" t="s">
        <v>423</v>
      </c>
      <c r="E122">
        <f>SUM(E108:E113)</f>
        <v>6</v>
      </c>
      <c r="F122">
        <f>SUM(F108:F113)</f>
        <v>0.42840000000000006</v>
      </c>
      <c r="I122" s="24" t="s">
        <v>423</v>
      </c>
      <c r="J122" s="22">
        <f>SUM(J108:J113)</f>
        <v>0.85680000000000012</v>
      </c>
      <c r="K122" s="22">
        <f t="shared" ref="K122:S122" si="50">SUM(K108:K113)</f>
        <v>1.2852000000000001</v>
      </c>
      <c r="L122" s="22">
        <f t="shared" si="50"/>
        <v>6.4260000000000002</v>
      </c>
      <c r="M122" s="22">
        <f t="shared" si="50"/>
        <v>6.4260000000000002</v>
      </c>
      <c r="N122" s="22">
        <f t="shared" si="50"/>
        <v>10.71</v>
      </c>
      <c r="O122" s="22">
        <f t="shared" si="50"/>
        <v>8.5680000000000014</v>
      </c>
      <c r="P122" s="22">
        <f t="shared" si="50"/>
        <v>4.2840000000000007</v>
      </c>
      <c r="Q122" s="22">
        <f t="shared" si="50"/>
        <v>2.1420000000000003</v>
      </c>
      <c r="R122" s="22">
        <f t="shared" si="50"/>
        <v>1.2852000000000001</v>
      </c>
      <c r="S122" s="22">
        <f t="shared" si="50"/>
        <v>0.85680000000000012</v>
      </c>
      <c r="T122">
        <f t="shared" si="49"/>
        <v>42.840000000000011</v>
      </c>
    </row>
    <row r="123" spans="4:20" x14ac:dyDescent="0.25">
      <c r="D123" t="s">
        <v>424</v>
      </c>
      <c r="E123">
        <f>SUM(E114:E121)</f>
        <v>8</v>
      </c>
      <c r="F123">
        <f>SUM(F114:F121)</f>
        <v>0.57120000000000004</v>
      </c>
      <c r="I123" s="24" t="s">
        <v>424</v>
      </c>
      <c r="J123" s="22">
        <f>SUM(J114:J121)</f>
        <v>1.1424000000000001</v>
      </c>
      <c r="K123" s="22">
        <f t="shared" ref="K123:S123" si="51">SUM(K114:K121)</f>
        <v>1.7136</v>
      </c>
      <c r="L123" s="22">
        <f t="shared" si="51"/>
        <v>8.5679999999999996</v>
      </c>
      <c r="M123" s="22">
        <f t="shared" si="51"/>
        <v>8.5679999999999996</v>
      </c>
      <c r="N123" s="22">
        <f t="shared" si="51"/>
        <v>14.280000000000001</v>
      </c>
      <c r="O123" s="22">
        <f t="shared" si="51"/>
        <v>11.424000000000003</v>
      </c>
      <c r="P123" s="22">
        <f t="shared" si="51"/>
        <v>5.7120000000000015</v>
      </c>
      <c r="Q123" s="22">
        <f t="shared" si="51"/>
        <v>2.8560000000000008</v>
      </c>
      <c r="R123" s="22">
        <f t="shared" si="51"/>
        <v>1.7136</v>
      </c>
      <c r="S123" s="22">
        <f t="shared" si="51"/>
        <v>1.1424000000000001</v>
      </c>
      <c r="T123">
        <f t="shared" si="49"/>
        <v>57.120000000000005</v>
      </c>
    </row>
    <row r="124" spans="4:20" x14ac:dyDescent="0.25">
      <c r="D124" t="s">
        <v>164</v>
      </c>
      <c r="E124">
        <f>SUM(E108:E121)</f>
        <v>14</v>
      </c>
      <c r="F124">
        <f>SUM(F108:F121)</f>
        <v>0.99960000000000016</v>
      </c>
      <c r="T124">
        <f>SUM(T122:T123)</f>
        <v>99.960000000000008</v>
      </c>
    </row>
  </sheetData>
  <conditionalFormatting sqref="J5:S17 J19:T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F63">
    <cfRule type="dataBar" priority="120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{E5D9B72C-1CD2-4435-B450-D39A723152A0}</x14:id>
        </ext>
      </extLst>
    </cfRule>
  </conditionalFormatting>
  <conditionalFormatting sqref="F72:F103">
    <cfRule type="dataBar" priority="12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{03FE8566-25F4-4A04-A3F2-376E71F4B8CD}</x14:id>
        </ext>
      </extLst>
    </cfRule>
  </conditionalFormatting>
  <conditionalFormatting sqref="F134:F142">
    <cfRule type="dataBar" priority="121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{7DC7CD4E-96BB-4907-8899-C55788B33D9C}</x14:id>
        </ext>
      </extLst>
    </cfRule>
  </conditionalFormatting>
  <conditionalFormatting sqref="F108:F121">
    <cfRule type="dataBar" priority="11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{23A9E022-F54D-4574-84F5-F32779DC3FF4}</x14:id>
        </ext>
      </extLst>
    </cfRule>
  </conditionalFormatting>
  <conditionalFormatting sqref="J27:S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4:F67">
    <cfRule type="dataBar" priority="8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{D66FD72F-569D-4642-89A9-94FD4C1176DF}</x14:id>
        </ext>
      </extLst>
    </cfRule>
  </conditionalFormatting>
  <conditionalFormatting sqref="J64:S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:S6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2:S9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S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:S1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:S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32 J69 J105">
      <formula1>$I$27:$I$30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Scroll Bar 1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4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Scroll Bar 2">
              <controlPr defaultSiz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5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Scroll Bar 3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Scroll Bar 4">
              <controlPr defaultSiz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8" name="Scroll Bar 5">
              <controlPr defaultSiz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8" r:id="rId9" name="Scroll Bar 6">
              <controlPr defaultSiz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10" name="Scroll Bar 7">
              <controlPr defaultSiz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0" r:id="rId11" name="Scroll Bar 8">
              <controlPr defaultSiz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1" r:id="rId12" name="Scroll Bar 9">
              <controlPr defaultSiz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13" name="Scroll Bar 10">
              <controlPr defaultSiz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3" r:id="rId14" name="Scroll Bar 11">
              <controlPr defaultSiz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4" r:id="rId15" name="Scroll Bar 12">
              <controlPr defaultSiz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5" r:id="rId16" name="Scroll Bar 13">
              <controlPr defaultSiz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6" r:id="rId17" name="Scroll Bar 14">
              <controlPr defaultSiz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5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7" r:id="rId18" name="Scroll Bar 15">
              <controlPr defaultSiz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8" r:id="rId19" name="Scroll Bar 16">
              <controlPr defaultSiz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5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20" name="Scroll Bar 17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5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0" r:id="rId21" name="Scroll Bar 18">
              <controlPr defaultSiz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5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22" name="Scroll Bar 19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2" r:id="rId23" name="Scroll Bar 20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5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3" r:id="rId24" name="Scroll Bar 21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4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4" r:id="rId25" name="Scroll Bar 22">
              <controlPr defaultSiz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5" r:id="rId26" name="Scroll Bar 23">
              <controlPr defaultSiz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4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6" r:id="rId27" name="Scroll Bar 24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5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7" r:id="rId28" name="Scroll Bar 25">
              <controlPr defaultSiz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5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8" r:id="rId29" name="Scroll Bar 26">
              <controlPr defaultSize="0" autoPict="0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5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D9B72C-1CD2-4435-B450-D39A723152A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F35:F63</xm:sqref>
        </x14:conditionalFormatting>
        <x14:conditionalFormatting xmlns:xm="http://schemas.microsoft.com/office/excel/2006/main">
          <x14:cfRule type="dataBar" id="{03FE8566-25F4-4A04-A3F2-376E71F4B8CD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F72:F103</xm:sqref>
        </x14:conditionalFormatting>
        <x14:conditionalFormatting xmlns:xm="http://schemas.microsoft.com/office/excel/2006/main">
          <x14:cfRule type="dataBar" id="{7DC7CD4E-96BB-4907-8899-C55788B33D9C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F134:F142</xm:sqref>
        </x14:conditionalFormatting>
        <x14:conditionalFormatting xmlns:xm="http://schemas.microsoft.com/office/excel/2006/main">
          <x14:cfRule type="dataBar" id="{23A9E022-F54D-4574-84F5-F32779DC3FF4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F108:F121</xm:sqref>
        </x14:conditionalFormatting>
        <x14:conditionalFormatting xmlns:xm="http://schemas.microsoft.com/office/excel/2006/main">
          <x14:cfRule type="dataBar" id="{D66FD72F-569D-4642-89A9-94FD4C1176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F64:F67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F43"/>
  <sheetViews>
    <sheetView workbookViewId="0">
      <selection activeCell="A14" sqref="A14"/>
    </sheetView>
  </sheetViews>
  <sheetFormatPr defaultColWidth="11.28515625" defaultRowHeight="15" x14ac:dyDescent="0.25"/>
  <cols>
    <col min="1" max="1" width="24.7109375" customWidth="1"/>
  </cols>
  <sheetData>
    <row r="2" spans="1:6" x14ac:dyDescent="0.25">
      <c r="A2" t="s">
        <v>298</v>
      </c>
    </row>
    <row r="3" spans="1:6" x14ac:dyDescent="0.25">
      <c r="D3" t="s">
        <v>464</v>
      </c>
    </row>
    <row r="4" spans="1:6" x14ac:dyDescent="0.25">
      <c r="A4" t="s">
        <v>299</v>
      </c>
      <c r="B4" t="s">
        <v>300</v>
      </c>
      <c r="D4" t="s">
        <v>465</v>
      </c>
      <c r="F4" t="s">
        <v>304</v>
      </c>
    </row>
    <row r="5" spans="1:6" x14ac:dyDescent="0.25">
      <c r="A5" t="s">
        <v>301</v>
      </c>
      <c r="B5" t="s">
        <v>300</v>
      </c>
      <c r="D5" t="s">
        <v>465</v>
      </c>
      <c r="F5" t="s">
        <v>305</v>
      </c>
    </row>
    <row r="7" spans="1:6" x14ac:dyDescent="0.25">
      <c r="A7" t="s">
        <v>303</v>
      </c>
      <c r="B7" t="s">
        <v>300</v>
      </c>
      <c r="D7" t="s">
        <v>466</v>
      </c>
      <c r="F7" t="s">
        <v>306</v>
      </c>
    </row>
    <row r="8" spans="1:6" x14ac:dyDescent="0.25">
      <c r="A8" t="s">
        <v>302</v>
      </c>
      <c r="B8" t="s">
        <v>300</v>
      </c>
      <c r="D8" t="s">
        <v>466</v>
      </c>
      <c r="F8" t="s">
        <v>308</v>
      </c>
    </row>
    <row r="9" spans="1:6" x14ac:dyDescent="0.25">
      <c r="A9" t="s">
        <v>455</v>
      </c>
      <c r="B9" t="s">
        <v>300</v>
      </c>
      <c r="D9" t="s">
        <v>466</v>
      </c>
      <c r="F9" t="s">
        <v>307</v>
      </c>
    </row>
    <row r="11" spans="1:6" x14ac:dyDescent="0.25">
      <c r="A11" t="s">
        <v>463</v>
      </c>
      <c r="B11" t="s">
        <v>300</v>
      </c>
      <c r="D11" t="s">
        <v>465</v>
      </c>
    </row>
    <row r="12" spans="1:6" x14ac:dyDescent="0.25">
      <c r="A12" t="s">
        <v>475</v>
      </c>
      <c r="B12" t="s">
        <v>300</v>
      </c>
      <c r="D12" t="s">
        <v>465</v>
      </c>
    </row>
    <row r="15" spans="1:6" x14ac:dyDescent="0.25">
      <c r="A15" t="s">
        <v>469</v>
      </c>
      <c r="B15" t="s">
        <v>300</v>
      </c>
      <c r="D15" t="s">
        <v>465</v>
      </c>
      <c r="F15" t="s">
        <v>470</v>
      </c>
    </row>
    <row r="16" spans="1:6" x14ac:dyDescent="0.25">
      <c r="A16" t="s">
        <v>471</v>
      </c>
      <c r="B16" t="s">
        <v>472</v>
      </c>
      <c r="D16" t="s">
        <v>473</v>
      </c>
    </row>
    <row r="18" spans="1:2" x14ac:dyDescent="0.25">
      <c r="A18" t="s">
        <v>309</v>
      </c>
      <c r="B18" t="s">
        <v>462</v>
      </c>
    </row>
    <row r="20" spans="1:2" x14ac:dyDescent="0.25">
      <c r="A20" t="s">
        <v>311</v>
      </c>
      <c r="B20" t="s">
        <v>310</v>
      </c>
    </row>
    <row r="21" spans="1:2" x14ac:dyDescent="0.25">
      <c r="A21" t="s">
        <v>312</v>
      </c>
      <c r="B21" t="s">
        <v>321</v>
      </c>
    </row>
    <row r="22" spans="1:2" x14ac:dyDescent="0.25">
      <c r="A22" t="s">
        <v>313</v>
      </c>
      <c r="B22" t="s">
        <v>57</v>
      </c>
    </row>
    <row r="23" spans="1:2" x14ac:dyDescent="0.25">
      <c r="A23" t="s">
        <v>314</v>
      </c>
      <c r="B23" t="s">
        <v>322</v>
      </c>
    </row>
    <row r="24" spans="1:2" x14ac:dyDescent="0.25">
      <c r="A24" t="s">
        <v>315</v>
      </c>
      <c r="B24" t="s">
        <v>323</v>
      </c>
    </row>
    <row r="25" spans="1:2" x14ac:dyDescent="0.25">
      <c r="A25" t="s">
        <v>316</v>
      </c>
      <c r="B25" t="s">
        <v>324</v>
      </c>
    </row>
    <row r="27" spans="1:2" x14ac:dyDescent="0.25">
      <c r="A27" t="s">
        <v>317</v>
      </c>
      <c r="B27" t="s">
        <v>325</v>
      </c>
    </row>
    <row r="28" spans="1:2" x14ac:dyDescent="0.25">
      <c r="A28" t="s">
        <v>456</v>
      </c>
      <c r="B28" t="s">
        <v>327</v>
      </c>
    </row>
    <row r="29" spans="1:2" x14ac:dyDescent="0.25">
      <c r="A29" t="s">
        <v>318</v>
      </c>
      <c r="B29" t="s">
        <v>328</v>
      </c>
    </row>
    <row r="30" spans="1:2" x14ac:dyDescent="0.25">
      <c r="A30" t="s">
        <v>319</v>
      </c>
      <c r="B30" t="s">
        <v>329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320</v>
      </c>
      <c r="B32" t="s">
        <v>330</v>
      </c>
    </row>
    <row r="34" spans="1:2" x14ac:dyDescent="0.25">
      <c r="A34" t="s">
        <v>334</v>
      </c>
      <c r="B34">
        <v>1</v>
      </c>
    </row>
    <row r="35" spans="1:2" x14ac:dyDescent="0.25">
      <c r="A35" t="s">
        <v>335</v>
      </c>
      <c r="B35">
        <v>2</v>
      </c>
    </row>
    <row r="36" spans="1:2" x14ac:dyDescent="0.25">
      <c r="A36" t="s">
        <v>336</v>
      </c>
      <c r="B36">
        <v>3</v>
      </c>
    </row>
    <row r="37" spans="1:2" x14ac:dyDescent="0.25">
      <c r="A37" t="s">
        <v>337</v>
      </c>
      <c r="B37">
        <v>4</v>
      </c>
    </row>
    <row r="39" spans="1:2" x14ac:dyDescent="0.25">
      <c r="A39" t="s">
        <v>457</v>
      </c>
      <c r="B39" t="s">
        <v>326</v>
      </c>
    </row>
    <row r="41" spans="1:2" x14ac:dyDescent="0.25">
      <c r="A41" t="s">
        <v>331</v>
      </c>
      <c r="B41" t="s">
        <v>458</v>
      </c>
    </row>
    <row r="42" spans="1:2" x14ac:dyDescent="0.25">
      <c r="A42" t="s">
        <v>338</v>
      </c>
      <c r="B42" t="s">
        <v>460</v>
      </c>
    </row>
    <row r="43" spans="1:2" x14ac:dyDescent="0.25">
      <c r="A43" t="s">
        <v>459</v>
      </c>
      <c r="B43" t="s">
        <v>461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39:L50"/>
  <sheetViews>
    <sheetView topLeftCell="A22" workbookViewId="0">
      <selection activeCell="N50" sqref="N50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"/>
  <sheetViews>
    <sheetView workbookViewId="0">
      <selection activeCell="Q37" sqref="Q3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defaultRowHeight="15" x14ac:dyDescent="0.25"/>
  <sheetData>
    <row r="2" spans="1:2" x14ac:dyDescent="0.25">
      <c r="A2" t="s">
        <v>430</v>
      </c>
    </row>
    <row r="4" spans="1:2" x14ac:dyDescent="0.25">
      <c r="A4">
        <v>1</v>
      </c>
      <c r="B4" t="s">
        <v>431</v>
      </c>
    </row>
    <row r="5" spans="1:2" x14ac:dyDescent="0.25">
      <c r="A5">
        <v>2</v>
      </c>
      <c r="B5" t="s">
        <v>432</v>
      </c>
    </row>
    <row r="6" spans="1:2" x14ac:dyDescent="0.25">
      <c r="A6">
        <v>3</v>
      </c>
      <c r="B6" t="s">
        <v>433</v>
      </c>
    </row>
    <row r="7" spans="1:2" x14ac:dyDescent="0.25">
      <c r="A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49"/>
  <sheetViews>
    <sheetView topLeftCell="A19" workbookViewId="0">
      <selection activeCell="M36" sqref="M36"/>
    </sheetView>
  </sheetViews>
  <sheetFormatPr defaultColWidth="18.140625" defaultRowHeight="15" x14ac:dyDescent="0.25"/>
  <sheetData>
    <row r="2" spans="1:6" x14ac:dyDescent="0.25">
      <c r="A2" t="s">
        <v>434</v>
      </c>
    </row>
    <row r="3" spans="1:6" x14ac:dyDescent="0.25">
      <c r="A3" t="s">
        <v>435</v>
      </c>
      <c r="B3" t="s">
        <v>152</v>
      </c>
      <c r="C3" t="s">
        <v>81</v>
      </c>
      <c r="D3" t="s">
        <v>436</v>
      </c>
      <c r="E3" t="s">
        <v>442</v>
      </c>
      <c r="F3" t="s">
        <v>437</v>
      </c>
    </row>
    <row r="4" spans="1:6" x14ac:dyDescent="0.25">
      <c r="A4">
        <v>1</v>
      </c>
      <c r="B4" t="s">
        <v>454</v>
      </c>
      <c r="C4">
        <f>C13</f>
        <v>5</v>
      </c>
      <c r="D4">
        <f>D13</f>
        <v>10</v>
      </c>
      <c r="E4">
        <f>E13</f>
        <v>70</v>
      </c>
      <c r="F4">
        <f>F13</f>
        <v>800</v>
      </c>
    </row>
    <row r="5" spans="1:6" x14ac:dyDescent="0.25">
      <c r="A5">
        <v>2</v>
      </c>
      <c r="B5" t="s">
        <v>451</v>
      </c>
      <c r="C5">
        <f>C18</f>
        <v>8</v>
      </c>
      <c r="D5">
        <f>D18</f>
        <v>7</v>
      </c>
      <c r="E5">
        <f>E18</f>
        <v>60</v>
      </c>
      <c r="F5">
        <f>F18</f>
        <v>700</v>
      </c>
    </row>
    <row r="6" spans="1:6" x14ac:dyDescent="0.25">
      <c r="A6">
        <v>3</v>
      </c>
      <c r="B6" t="s">
        <v>452</v>
      </c>
      <c r="C6">
        <f>C23</f>
        <v>3</v>
      </c>
      <c r="D6">
        <f>D23</f>
        <v>6</v>
      </c>
      <c r="E6">
        <f>E23</f>
        <v>60</v>
      </c>
      <c r="F6">
        <f>F23</f>
        <v>400</v>
      </c>
    </row>
    <row r="7" spans="1:6" x14ac:dyDescent="0.25">
      <c r="A7">
        <v>4</v>
      </c>
      <c r="B7" t="s">
        <v>453</v>
      </c>
      <c r="C7">
        <f>C28</f>
        <v>6</v>
      </c>
      <c r="D7">
        <f>D28</f>
        <v>8</v>
      </c>
      <c r="E7">
        <f>E28</f>
        <v>80</v>
      </c>
      <c r="F7">
        <f>F28</f>
        <v>600</v>
      </c>
    </row>
    <row r="11" spans="1:6" x14ac:dyDescent="0.25">
      <c r="A11" t="s">
        <v>443</v>
      </c>
    </row>
    <row r="12" spans="1:6" x14ac:dyDescent="0.25">
      <c r="A12" t="s">
        <v>435</v>
      </c>
      <c r="B12" t="s">
        <v>152</v>
      </c>
      <c r="C12" t="s">
        <v>81</v>
      </c>
      <c r="D12" t="s">
        <v>436</v>
      </c>
      <c r="E12" t="s">
        <v>442</v>
      </c>
      <c r="F12" t="s">
        <v>437</v>
      </c>
    </row>
    <row r="13" spans="1:6" x14ac:dyDescent="0.25">
      <c r="A13">
        <v>1</v>
      </c>
      <c r="B13" t="s">
        <v>438</v>
      </c>
      <c r="C13">
        <v>5</v>
      </c>
      <c r="D13">
        <v>10</v>
      </c>
      <c r="E13">
        <v>70</v>
      </c>
      <c r="F13">
        <v>800</v>
      </c>
    </row>
    <row r="16" spans="1:6" x14ac:dyDescent="0.25">
      <c r="A16" t="s">
        <v>444</v>
      </c>
    </row>
    <row r="17" spans="1:6" x14ac:dyDescent="0.25">
      <c r="A17" t="s">
        <v>435</v>
      </c>
      <c r="B17" t="s">
        <v>152</v>
      </c>
      <c r="C17" t="s">
        <v>81</v>
      </c>
      <c r="D17" t="s">
        <v>436</v>
      </c>
      <c r="E17" t="s">
        <v>442</v>
      </c>
      <c r="F17" t="s">
        <v>437</v>
      </c>
    </row>
    <row r="18" spans="1:6" x14ac:dyDescent="0.25">
      <c r="B18" t="s">
        <v>439</v>
      </c>
      <c r="C18">
        <v>8</v>
      </c>
      <c r="D18">
        <v>7</v>
      </c>
      <c r="E18">
        <v>60</v>
      </c>
      <c r="F18">
        <v>700</v>
      </c>
    </row>
    <row r="21" spans="1:6" x14ac:dyDescent="0.25">
      <c r="A21" t="s">
        <v>445</v>
      </c>
    </row>
    <row r="22" spans="1:6" x14ac:dyDescent="0.25">
      <c r="A22" t="s">
        <v>435</v>
      </c>
      <c r="B22" t="s">
        <v>152</v>
      </c>
      <c r="C22" t="s">
        <v>81</v>
      </c>
      <c r="D22" t="s">
        <v>436</v>
      </c>
      <c r="E22" t="s">
        <v>442</v>
      </c>
      <c r="F22" t="s">
        <v>437</v>
      </c>
    </row>
    <row r="23" spans="1:6" x14ac:dyDescent="0.25">
      <c r="B23" t="s">
        <v>440</v>
      </c>
      <c r="C23">
        <v>3</v>
      </c>
      <c r="D23">
        <v>6</v>
      </c>
      <c r="E23">
        <v>60</v>
      </c>
      <c r="F23">
        <v>400</v>
      </c>
    </row>
    <row r="26" spans="1:6" x14ac:dyDescent="0.25">
      <c r="A26" t="s">
        <v>446</v>
      </c>
    </row>
    <row r="27" spans="1:6" x14ac:dyDescent="0.25">
      <c r="A27" t="s">
        <v>435</v>
      </c>
      <c r="B27" t="s">
        <v>152</v>
      </c>
      <c r="C27" t="s">
        <v>81</v>
      </c>
      <c r="D27" t="s">
        <v>436</v>
      </c>
      <c r="E27" t="s">
        <v>442</v>
      </c>
      <c r="F27" t="s">
        <v>437</v>
      </c>
    </row>
    <row r="28" spans="1:6" x14ac:dyDescent="0.25">
      <c r="B28" t="s">
        <v>450</v>
      </c>
      <c r="C28">
        <v>6</v>
      </c>
      <c r="D28">
        <v>8</v>
      </c>
      <c r="E28">
        <v>80</v>
      </c>
      <c r="F28">
        <v>600</v>
      </c>
    </row>
    <row r="33" spans="2:11" x14ac:dyDescent="0.25">
      <c r="B33" t="s">
        <v>142</v>
      </c>
    </row>
    <row r="34" spans="2:11" x14ac:dyDescent="0.25">
      <c r="B34" t="str">
        <f>B4</f>
        <v>MIEKKA</v>
      </c>
      <c r="C34">
        <f>C4*(E4/100)</f>
        <v>3.5</v>
      </c>
    </row>
    <row r="35" spans="2:11" x14ac:dyDescent="0.25">
      <c r="B35" t="str">
        <f>B5</f>
        <v>KIRVES</v>
      </c>
      <c r="C35">
        <f>C5*(E5/100)</f>
        <v>4.8</v>
      </c>
      <c r="F35" t="s">
        <v>449</v>
      </c>
      <c r="G35" t="s">
        <v>152</v>
      </c>
      <c r="H35" t="s">
        <v>81</v>
      </c>
      <c r="I35" t="s">
        <v>436</v>
      </c>
      <c r="J35" t="s">
        <v>442</v>
      </c>
      <c r="K35" t="s">
        <v>437</v>
      </c>
    </row>
    <row r="36" spans="2:11" x14ac:dyDescent="0.25">
      <c r="B36" t="str">
        <f>B6</f>
        <v>NUIJA</v>
      </c>
      <c r="C36">
        <f>C6*(E6/100)</f>
        <v>1.7999999999999998</v>
      </c>
      <c r="F36">
        <v>1</v>
      </c>
      <c r="G36" t="str">
        <f>INDEX(Example[name],MATCH($F$36,Example[ID]))</f>
        <v>MIEKKA</v>
      </c>
      <c r="H36">
        <f>INDEX(Example[damage],MATCH($F$36,Example[ID]))</f>
        <v>5</v>
      </c>
      <c r="I36">
        <f>INDEX(Example[speed],MATCH($F$36,Example[ID]))</f>
        <v>10</v>
      </c>
      <c r="J36">
        <f>INDEX(Example[hitChance],MATCH($F$36,Example[ID]))</f>
        <v>70</v>
      </c>
      <c r="K36">
        <f>INDEX(Example[cost],MATCH($F$36,Example[ID]))</f>
        <v>800</v>
      </c>
    </row>
    <row r="37" spans="2:11" x14ac:dyDescent="0.25">
      <c r="B37" t="str">
        <f>B7</f>
        <v>KEIHAS</v>
      </c>
      <c r="C37">
        <f>C7*(E7/100)</f>
        <v>4.8000000000000007</v>
      </c>
    </row>
    <row r="39" spans="2:11" x14ac:dyDescent="0.25">
      <c r="B39" t="s">
        <v>447</v>
      </c>
    </row>
    <row r="40" spans="2:11" x14ac:dyDescent="0.25">
      <c r="B40" t="s">
        <v>438</v>
      </c>
      <c r="C40">
        <f>ROUND(C34*(60/D4), 0)</f>
        <v>21</v>
      </c>
    </row>
    <row r="41" spans="2:11" x14ac:dyDescent="0.25">
      <c r="B41" t="s">
        <v>439</v>
      </c>
      <c r="C41">
        <f>ROUND(C35*(60/D5), 0)</f>
        <v>41</v>
      </c>
    </row>
    <row r="42" spans="2:11" x14ac:dyDescent="0.25">
      <c r="B42" t="s">
        <v>440</v>
      </c>
      <c r="C42">
        <f>ROUND(C36*(60/D6), 0)</f>
        <v>18</v>
      </c>
    </row>
    <row r="43" spans="2:11" x14ac:dyDescent="0.25">
      <c r="B43" t="s">
        <v>441</v>
      </c>
      <c r="C43">
        <f>ROUND(C37*(60/D7), 0)</f>
        <v>36</v>
      </c>
    </row>
    <row r="45" spans="2:11" x14ac:dyDescent="0.25">
      <c r="B45" t="s">
        <v>448</v>
      </c>
    </row>
    <row r="46" spans="2:11" x14ac:dyDescent="0.25">
      <c r="B46" t="s">
        <v>438</v>
      </c>
      <c r="C46">
        <f>ROUND(C40/F4,3)</f>
        <v>2.5999999999999999E-2</v>
      </c>
    </row>
    <row r="47" spans="2:11" x14ac:dyDescent="0.25">
      <c r="B47" t="s">
        <v>439</v>
      </c>
      <c r="C47">
        <f>ROUND(C41/F5,3)</f>
        <v>5.8999999999999997E-2</v>
      </c>
    </row>
    <row r="48" spans="2:11" x14ac:dyDescent="0.25">
      <c r="B48" t="s">
        <v>440</v>
      </c>
      <c r="C48">
        <f>ROUND(C42/F6,3)</f>
        <v>4.4999999999999998E-2</v>
      </c>
    </row>
    <row r="49" spans="2:3" x14ac:dyDescent="0.25">
      <c r="B49" t="s">
        <v>441</v>
      </c>
      <c r="C49">
        <f>ROUND(C43/F7,3)</f>
        <v>0.06</v>
      </c>
    </row>
  </sheetData>
  <conditionalFormatting sqref="C40:C4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{F5E76A72-EEFC-466B-92DA-6D4B1C798D05}</x14:id>
        </ext>
      </extLst>
    </cfRule>
  </conditionalFormatting>
  <conditionalFormatting sqref="C34:C3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{7ADAD592-F7AD-4778-A80C-2536CA1A0B01}</x14:id>
        </ext>
      </extLst>
    </cfRule>
  </conditionalFormatting>
  <conditionalFormatting sqref="C46:C4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{1BB495B6-A522-4204-AA76-C4048E032D5C}</x14:id>
        </ext>
      </extLst>
    </cfRule>
  </conditionalFormatting>
  <dataValidations count="1">
    <dataValidation type="list" allowBlank="1" showInputMessage="1" showErrorMessage="1" sqref="F36">
      <formula1>$B$4:$B$7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4" name="Scroll Bar 1">
              <controlPr defaultSiz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5" name="Scroll Bar 2">
              <controlPr defaultSiz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7" r:id="rId6" name="Scroll Bar 3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8" r:id="rId7" name="Scroll Bar 4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6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9" r:id="rId8" name="Scroll Bar 5">
              <controlPr defaultSiz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0" r:id="rId9" name="Scroll Bar 6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1" r:id="rId10" name="Scroll Bar 7">
              <controlPr defaultSiz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2" r:id="rId11" name="Scroll Bar 8">
              <controlPr defaultSize="0" autoPict="0">
                <anchor moveWithCells="1">
                  <from>
                    <xdr:col>5</xdr:col>
                    <xdr:colOff>0</xdr:colOff>
                    <xdr:row>18</xdr:row>
                    <xdr:rowOff>0</xdr:rowOff>
                  </from>
                  <to>
                    <xdr:col>6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3" r:id="rId12" name="Scroll Bar 9">
              <controlPr defaultSiz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4" r:id="rId13" name="Scroll Bar 10">
              <controlPr defaultSiz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5" r:id="rId14" name="Scroll Bar 11">
              <controlPr defaultSiz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6" r:id="rId15" name="Scroll Bar 12">
              <controlPr defaultSize="0" autoPict="0">
                <anchor moveWithCells="1">
                  <from>
                    <xdr:col>5</xdr:col>
                    <xdr:colOff>0</xdr:colOff>
                    <xdr:row>23</xdr:row>
                    <xdr:rowOff>0</xdr:rowOff>
                  </from>
                  <to>
                    <xdr:col>6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7" r:id="rId16" name="Scroll Bar 13">
              <controlPr defaultSiz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8" r:id="rId17" name="Scroll Bar 14">
              <controlPr defaultSiz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9" r:id="rId18" name="Scroll Bar 15">
              <controlPr defaultSiz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0" r:id="rId19" name="Scroll Bar 16">
              <controlPr defaultSize="0" autoPict="0">
                <anchor moveWithCells="1">
                  <from>
                    <xdr:col>5</xdr:col>
                    <xdr:colOff>0</xdr:colOff>
                    <xdr:row>28</xdr:row>
                    <xdr:rowOff>0</xdr:rowOff>
                  </from>
                  <to>
                    <xdr:col>6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E76A72-EEFC-466B-92DA-6D4B1C798D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C40:C43</xm:sqref>
        </x14:conditionalFormatting>
        <x14:conditionalFormatting xmlns:xm="http://schemas.microsoft.com/office/excel/2006/main">
          <x14:cfRule type="dataBar" id="{7ADAD592-F7AD-4778-A80C-2536CA1A0B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C34:C37</xm:sqref>
        </x14:conditionalFormatting>
        <x14:conditionalFormatting xmlns:xm="http://schemas.microsoft.com/office/excel/2006/main">
          <x14:cfRule type="dataBar" id="{1BB495B6-A522-4204-AA76-C4048E032D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C46:C49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DATABASE</vt:lpstr>
      <vt:lpstr>ITEM STATS</vt:lpstr>
      <vt:lpstr>WEAPON BALANCING</vt:lpstr>
      <vt:lpstr>HIT%</vt:lpstr>
      <vt:lpstr>WEAPON CALC</vt:lpstr>
      <vt:lpstr>ENEMY STATS</vt:lpstr>
      <vt:lpstr>MISSION SIMU</vt:lpstr>
      <vt:lpstr>LOOT</vt:lpstr>
      <vt:lpstr>MENU STUFF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proto5</vt:lpstr>
      <vt:lpstr>PRESE1</vt:lpstr>
      <vt:lpstr>PRESE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2014-05-21T16:54:35Z</dcterms:modified>
</cp:coreProperties>
</file>