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trlProps/ctrlProp147.xml" ContentType="application/vnd.ms-excel.control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3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ctrlProps/ctrlProp151.xml" ContentType="application/vnd.ms-excel.controlproperties+xml"/>
  <Override PartName="/xl/drawings/drawing5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ctrlProps/ctrlProp171.xml" ContentType="application/vnd.ms-excel.controlproperties+xml"/>
  <Override PartName="/xl/drawings/drawing7.xml" ContentType="application/vnd.openxmlformats-officedocument.drawing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drawings/drawing8.xml" ContentType="application/vnd.openxmlformats-officedocument.drawing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9.xml" ContentType="application/vnd.openxmlformats-officedocument.drawing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drawings/drawing10.xml" ContentType="application/vnd.openxmlformats-officedocument.drawing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1.xml" ContentType="application/vnd.openxmlformats-officedocument.drawing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65" windowWidth="14805" windowHeight="7650" firstSheet="5" activeTab="6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MISSION BALANCING" sheetId="14" r:id="rId7"/>
    <sheet name="LOOT" sheetId="15" r:id="rId8"/>
    <sheet name="MENU STUFF" sheetId="17" r:id="rId9"/>
    <sheet name="INCOMING DMG %" sheetId="8" r:id="rId10"/>
    <sheet name="weapon proto" sheetId="1" r:id="rId11"/>
    <sheet name="proto1" sheetId="3" r:id="rId12"/>
    <sheet name="proto2" sheetId="4" r:id="rId13"/>
    <sheet name="proto3" sheetId="5" r:id="rId14"/>
    <sheet name="(OLD - IGNORE) ITEM STATS" sheetId="2" state="hidden" r:id="rId15"/>
    <sheet name="proto4" sheetId="9" r:id="rId16"/>
    <sheet name="Sheet2" sheetId="16" r:id="rId17"/>
  </sheets>
  <calcPr calcId="145621"/>
</workbook>
</file>

<file path=xl/calcChain.xml><?xml version="1.0" encoding="utf-8"?>
<calcChain xmlns="http://schemas.openxmlformats.org/spreadsheetml/2006/main">
  <c r="S19" i="14" l="1"/>
  <c r="U22" i="14" s="1"/>
  <c r="R19" i="14"/>
  <c r="L32" i="14"/>
  <c r="L33" i="14"/>
  <c r="L36" i="14"/>
  <c r="L37" i="14"/>
  <c r="L38" i="14"/>
  <c r="L31" i="14"/>
  <c r="K32" i="14"/>
  <c r="K33" i="14"/>
  <c r="K34" i="14"/>
  <c r="K35" i="14"/>
  <c r="K36" i="14"/>
  <c r="K37" i="14"/>
  <c r="K38" i="14"/>
  <c r="K31" i="14"/>
  <c r="C38" i="14"/>
  <c r="C37" i="14"/>
  <c r="C36" i="14"/>
  <c r="C35" i="14"/>
  <c r="C34" i="14"/>
  <c r="C33" i="14"/>
  <c r="C32" i="14"/>
  <c r="C31" i="14"/>
  <c r="H32" i="14"/>
  <c r="H33" i="14"/>
  <c r="H34" i="14"/>
  <c r="H35" i="14"/>
  <c r="H36" i="14"/>
  <c r="H37" i="14"/>
  <c r="H38" i="14"/>
  <c r="H31" i="14"/>
  <c r="D32" i="14"/>
  <c r="D33" i="14"/>
  <c r="D34" i="14"/>
  <c r="D35" i="14"/>
  <c r="D36" i="14"/>
  <c r="D37" i="14"/>
  <c r="D38" i="14"/>
  <c r="F31" i="14"/>
  <c r="D31" i="14"/>
  <c r="E31" i="14" s="1"/>
  <c r="B16" i="14"/>
  <c r="B17" i="14"/>
  <c r="B18" i="14"/>
  <c r="B15" i="14"/>
  <c r="H22" i="14" s="1"/>
  <c r="B21" i="14"/>
  <c r="B22" i="14"/>
  <c r="B20" i="14"/>
  <c r="J23" i="15"/>
  <c r="J22" i="15"/>
  <c r="J21" i="15"/>
  <c r="I170" i="6"/>
  <c r="J63" i="12" s="1"/>
  <c r="I171" i="6"/>
  <c r="I172" i="6"/>
  <c r="I173" i="6"/>
  <c r="I174" i="6"/>
  <c r="I175" i="6"/>
  <c r="I176" i="6"/>
  <c r="I177" i="6"/>
  <c r="I178" i="6"/>
  <c r="J71" i="12" s="1"/>
  <c r="I179" i="6"/>
  <c r="I149" i="6"/>
  <c r="I150" i="6"/>
  <c r="I151" i="6"/>
  <c r="I152" i="6"/>
  <c r="I153" i="6"/>
  <c r="I154" i="6"/>
  <c r="J58" i="12" s="1"/>
  <c r="I155" i="6"/>
  <c r="I156" i="6"/>
  <c r="J60" i="12" s="1"/>
  <c r="I157" i="6"/>
  <c r="I158" i="6"/>
  <c r="I128" i="6"/>
  <c r="J43" i="12" s="1"/>
  <c r="I129" i="6"/>
  <c r="I130" i="6"/>
  <c r="I131" i="6"/>
  <c r="I132" i="6"/>
  <c r="I133" i="6"/>
  <c r="J48" i="12" s="1"/>
  <c r="I134" i="6"/>
  <c r="I135" i="6"/>
  <c r="I136" i="6"/>
  <c r="I137" i="6"/>
  <c r="I107" i="6"/>
  <c r="I108" i="6"/>
  <c r="I109" i="6"/>
  <c r="I110" i="6"/>
  <c r="I111" i="6"/>
  <c r="I112" i="6"/>
  <c r="J38" i="12" s="1"/>
  <c r="I113" i="6"/>
  <c r="I114" i="6"/>
  <c r="I115" i="6"/>
  <c r="I116" i="6"/>
  <c r="I86" i="6"/>
  <c r="J23" i="12" s="1"/>
  <c r="I87" i="6"/>
  <c r="I88" i="6"/>
  <c r="I89" i="6"/>
  <c r="I90" i="6"/>
  <c r="I91" i="6"/>
  <c r="J28" i="12" s="1"/>
  <c r="I92" i="6"/>
  <c r="I93" i="6"/>
  <c r="I94" i="6"/>
  <c r="I95" i="6"/>
  <c r="I65" i="6"/>
  <c r="I66" i="6"/>
  <c r="I67" i="6"/>
  <c r="I68" i="6"/>
  <c r="I69" i="6"/>
  <c r="I70" i="6"/>
  <c r="J18" i="12" s="1"/>
  <c r="I71" i="6"/>
  <c r="J19" i="12" s="1"/>
  <c r="I72" i="6"/>
  <c r="I73" i="6"/>
  <c r="I74" i="6"/>
  <c r="I44" i="6"/>
  <c r="I45" i="6"/>
  <c r="J4" i="12" s="1"/>
  <c r="I46" i="6"/>
  <c r="I47" i="6"/>
  <c r="I48" i="6"/>
  <c r="I49" i="6"/>
  <c r="J8" i="12" s="1"/>
  <c r="I50" i="6"/>
  <c r="I51" i="6"/>
  <c r="J10" i="12" s="1"/>
  <c r="I52" i="6"/>
  <c r="J11" i="12" s="1"/>
  <c r="I53" i="6"/>
  <c r="J9" i="12"/>
  <c r="J12" i="12"/>
  <c r="K19" i="15"/>
  <c r="L19" i="15"/>
  <c r="M19" i="15"/>
  <c r="N19" i="15"/>
  <c r="O19" i="15"/>
  <c r="P19" i="15"/>
  <c r="Q19" i="15"/>
  <c r="R19" i="15"/>
  <c r="S19" i="15"/>
  <c r="J19" i="15"/>
  <c r="K5" i="15"/>
  <c r="L5" i="15"/>
  <c r="M5" i="15"/>
  <c r="N5" i="15"/>
  <c r="O5" i="15"/>
  <c r="P5" i="15"/>
  <c r="Q5" i="15"/>
  <c r="R5" i="15"/>
  <c r="S5" i="15"/>
  <c r="K6" i="15"/>
  <c r="L6" i="15"/>
  <c r="M6" i="15"/>
  <c r="N6" i="15"/>
  <c r="O6" i="15"/>
  <c r="P6" i="15"/>
  <c r="Q6" i="15"/>
  <c r="R6" i="15"/>
  <c r="S6" i="15"/>
  <c r="K7" i="15"/>
  <c r="L7" i="15"/>
  <c r="M7" i="15"/>
  <c r="N7" i="15"/>
  <c r="O7" i="15"/>
  <c r="P7" i="15"/>
  <c r="Q7" i="15"/>
  <c r="R7" i="15"/>
  <c r="S7" i="15"/>
  <c r="K8" i="15"/>
  <c r="L8" i="15"/>
  <c r="M8" i="15"/>
  <c r="N8" i="15"/>
  <c r="O8" i="15"/>
  <c r="P8" i="15"/>
  <c r="Q8" i="15"/>
  <c r="R8" i="15"/>
  <c r="S8" i="15"/>
  <c r="K9" i="15"/>
  <c r="L9" i="15"/>
  <c r="M9" i="15"/>
  <c r="N9" i="15"/>
  <c r="O9" i="15"/>
  <c r="P9" i="15"/>
  <c r="Q9" i="15"/>
  <c r="R9" i="15"/>
  <c r="S9" i="15"/>
  <c r="K10" i="15"/>
  <c r="L10" i="15"/>
  <c r="M10" i="15"/>
  <c r="N10" i="15"/>
  <c r="O10" i="15"/>
  <c r="P10" i="15"/>
  <c r="Q10" i="15"/>
  <c r="R10" i="15"/>
  <c r="S10" i="15"/>
  <c r="K11" i="15"/>
  <c r="L11" i="15"/>
  <c r="M11" i="15"/>
  <c r="N11" i="15"/>
  <c r="O11" i="15"/>
  <c r="P11" i="15"/>
  <c r="Q11" i="15"/>
  <c r="R11" i="15"/>
  <c r="S11" i="15"/>
  <c r="K12" i="15"/>
  <c r="L12" i="15"/>
  <c r="M12" i="15"/>
  <c r="N12" i="15"/>
  <c r="O12" i="15"/>
  <c r="P12" i="15"/>
  <c r="Q12" i="15"/>
  <c r="R12" i="15"/>
  <c r="S12" i="15"/>
  <c r="K13" i="15"/>
  <c r="L13" i="15"/>
  <c r="M13" i="15"/>
  <c r="N13" i="15"/>
  <c r="O13" i="15"/>
  <c r="P13" i="15"/>
  <c r="Q13" i="15"/>
  <c r="R13" i="15"/>
  <c r="S13" i="15"/>
  <c r="K14" i="15"/>
  <c r="L14" i="15"/>
  <c r="M14" i="15"/>
  <c r="N14" i="15"/>
  <c r="O14" i="15"/>
  <c r="P14" i="15"/>
  <c r="Q14" i="15"/>
  <c r="R14" i="15"/>
  <c r="S14" i="15"/>
  <c r="K15" i="15"/>
  <c r="L15" i="15"/>
  <c r="M15" i="15"/>
  <c r="N15" i="15"/>
  <c r="O15" i="15"/>
  <c r="P15" i="15"/>
  <c r="Q15" i="15"/>
  <c r="R15" i="15"/>
  <c r="S15" i="15"/>
  <c r="K16" i="15"/>
  <c r="L16" i="15"/>
  <c r="M16" i="15"/>
  <c r="N16" i="15"/>
  <c r="O16" i="15"/>
  <c r="P16" i="15"/>
  <c r="Q16" i="15"/>
  <c r="R16" i="15"/>
  <c r="S16" i="15"/>
  <c r="K17" i="15"/>
  <c r="L17" i="15"/>
  <c r="M17" i="15"/>
  <c r="N17" i="15"/>
  <c r="O17" i="15"/>
  <c r="P17" i="15"/>
  <c r="Q17" i="15"/>
  <c r="R17" i="15"/>
  <c r="S17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I41" i="6"/>
  <c r="H5" i="15"/>
  <c r="D15" i="15"/>
  <c r="D16" i="15"/>
  <c r="D17" i="15"/>
  <c r="C15" i="15"/>
  <c r="C16" i="15"/>
  <c r="C17" i="15"/>
  <c r="D6" i="15"/>
  <c r="D7" i="15"/>
  <c r="D8" i="15"/>
  <c r="D9" i="15"/>
  <c r="D10" i="15"/>
  <c r="D11" i="15"/>
  <c r="D12" i="15"/>
  <c r="D13" i="15"/>
  <c r="D14" i="15"/>
  <c r="D5" i="15"/>
  <c r="C6" i="15"/>
  <c r="C7" i="15"/>
  <c r="C8" i="15"/>
  <c r="C9" i="15"/>
  <c r="C10" i="15"/>
  <c r="C11" i="15"/>
  <c r="C12" i="15"/>
  <c r="C13" i="15"/>
  <c r="C14" i="15"/>
  <c r="C5" i="15"/>
  <c r="G32" i="14"/>
  <c r="G33" i="14"/>
  <c r="G34" i="14"/>
  <c r="G35" i="14"/>
  <c r="G36" i="14"/>
  <c r="G37" i="14"/>
  <c r="G38" i="14"/>
  <c r="G31" i="14"/>
  <c r="F38" i="14"/>
  <c r="F32" i="14"/>
  <c r="F33" i="14"/>
  <c r="F34" i="14"/>
  <c r="F35" i="14"/>
  <c r="F36" i="14"/>
  <c r="F37" i="14"/>
  <c r="J64" i="12"/>
  <c r="J65" i="12"/>
  <c r="J66" i="12"/>
  <c r="J67" i="12"/>
  <c r="J68" i="12"/>
  <c r="J69" i="12"/>
  <c r="J70" i="12"/>
  <c r="J72" i="12"/>
  <c r="J54" i="12"/>
  <c r="J55" i="12"/>
  <c r="J56" i="12"/>
  <c r="J57" i="12"/>
  <c r="J59" i="12"/>
  <c r="J61" i="12"/>
  <c r="J62" i="12"/>
  <c r="J53" i="12"/>
  <c r="J44" i="12"/>
  <c r="J45" i="12"/>
  <c r="J46" i="12"/>
  <c r="J47" i="12"/>
  <c r="J49" i="12"/>
  <c r="J50" i="12"/>
  <c r="J51" i="12"/>
  <c r="J52" i="12"/>
  <c r="J34" i="12"/>
  <c r="J35" i="12"/>
  <c r="J36" i="12"/>
  <c r="J37" i="12"/>
  <c r="J39" i="12"/>
  <c r="J40" i="12"/>
  <c r="J41" i="12"/>
  <c r="J42" i="12"/>
  <c r="J33" i="12"/>
  <c r="J24" i="12"/>
  <c r="J25" i="12"/>
  <c r="J26" i="12"/>
  <c r="J27" i="12"/>
  <c r="J29" i="12"/>
  <c r="J30" i="12"/>
  <c r="J31" i="12"/>
  <c r="J32" i="12"/>
  <c r="J14" i="12"/>
  <c r="J15" i="12"/>
  <c r="J16" i="12"/>
  <c r="J17" i="12"/>
  <c r="J20" i="12"/>
  <c r="J21" i="12"/>
  <c r="J22" i="12"/>
  <c r="J13" i="12"/>
  <c r="J5" i="12"/>
  <c r="J6" i="12"/>
  <c r="J7" i="12"/>
  <c r="J3" i="12"/>
  <c r="I58" i="6"/>
  <c r="I60" i="6"/>
  <c r="I79" i="6"/>
  <c r="I81" i="6"/>
  <c r="I100" i="6"/>
  <c r="I102" i="6"/>
  <c r="I121" i="6"/>
  <c r="I123" i="6"/>
  <c r="I142" i="6"/>
  <c r="I144" i="6"/>
  <c r="I165" i="6"/>
  <c r="I163" i="6"/>
  <c r="Q19" i="14" l="1"/>
  <c r="U41" i="14"/>
  <c r="U37" i="14"/>
  <c r="U33" i="14"/>
  <c r="U29" i="14"/>
  <c r="U25" i="14"/>
  <c r="U21" i="14"/>
  <c r="U44" i="14"/>
  <c r="U40" i="14"/>
  <c r="U36" i="14"/>
  <c r="U32" i="14"/>
  <c r="U28" i="14"/>
  <c r="U24" i="14"/>
  <c r="U43" i="14"/>
  <c r="U39" i="14"/>
  <c r="U35" i="14"/>
  <c r="U31" i="14"/>
  <c r="U27" i="14"/>
  <c r="U23" i="14"/>
  <c r="U42" i="14"/>
  <c r="U38" i="14"/>
  <c r="U34" i="14"/>
  <c r="U30" i="14"/>
  <c r="U26" i="14"/>
  <c r="M37" i="14"/>
  <c r="M35" i="14"/>
  <c r="A46" i="14" s="1"/>
  <c r="M33" i="14"/>
  <c r="A44" i="14" s="1"/>
  <c r="M31" i="14"/>
  <c r="E34" i="14"/>
  <c r="B34" i="14" s="1"/>
  <c r="I34" i="14" s="1"/>
  <c r="E33" i="14"/>
  <c r="B33" i="14" s="1"/>
  <c r="I33" i="14" s="1"/>
  <c r="B31" i="14"/>
  <c r="I31" i="14" s="1"/>
  <c r="E37" i="14"/>
  <c r="B37" i="14" s="1"/>
  <c r="I37" i="14" s="1"/>
  <c r="E32" i="14"/>
  <c r="B32" i="14" s="1"/>
  <c r="E38" i="14"/>
  <c r="B38" i="14" s="1"/>
  <c r="I38" i="14" s="1"/>
  <c r="E36" i="14"/>
  <c r="B36" i="14" s="1"/>
  <c r="I36" i="14" s="1"/>
  <c r="E35" i="14"/>
  <c r="B35" i="14" s="1"/>
  <c r="I35" i="14" s="1"/>
  <c r="Q64" i="14"/>
  <c r="R64" i="14" s="1"/>
  <c r="R63" i="14"/>
  <c r="O65" i="14"/>
  <c r="O66" i="14" s="1"/>
  <c r="Q66" i="14" s="1"/>
  <c r="J64" i="14"/>
  <c r="L64" i="14" s="1"/>
  <c r="M64" i="14" s="1"/>
  <c r="L63" i="14"/>
  <c r="M63" i="14" s="1"/>
  <c r="B60" i="14"/>
  <c r="E63" i="14" s="1"/>
  <c r="G63" i="14" s="1"/>
  <c r="V5" i="14"/>
  <c r="V6" i="14"/>
  <c r="V7" i="14"/>
  <c r="V8" i="14"/>
  <c r="V9" i="14"/>
  <c r="V10" i="14"/>
  <c r="V11" i="14"/>
  <c r="V4" i="14"/>
  <c r="U46" i="14" l="1"/>
  <c r="U48" i="14" s="1"/>
  <c r="U47" i="14"/>
  <c r="U49" i="14" s="1"/>
  <c r="T23" i="14"/>
  <c r="T22" i="14"/>
  <c r="T28" i="14"/>
  <c r="T34" i="14"/>
  <c r="T43" i="14"/>
  <c r="T21" i="14"/>
  <c r="T30" i="14"/>
  <c r="T37" i="14"/>
  <c r="T42" i="14"/>
  <c r="T33" i="14"/>
  <c r="T39" i="14"/>
  <c r="T29" i="14"/>
  <c r="T44" i="14"/>
  <c r="T38" i="14"/>
  <c r="T25" i="14"/>
  <c r="T40" i="14"/>
  <c r="T35" i="14"/>
  <c r="T36" i="14"/>
  <c r="T26" i="14"/>
  <c r="T32" i="14"/>
  <c r="T31" i="14"/>
  <c r="T41" i="14"/>
  <c r="T24" i="14"/>
  <c r="T27" i="14"/>
  <c r="G48" i="14"/>
  <c r="H48" i="14"/>
  <c r="E48" i="14"/>
  <c r="F48" i="14"/>
  <c r="C48" i="14"/>
  <c r="D48" i="14"/>
  <c r="A48" i="14"/>
  <c r="B48" i="14"/>
  <c r="B44" i="14"/>
  <c r="H46" i="14"/>
  <c r="E46" i="14"/>
  <c r="D46" i="14"/>
  <c r="G46" i="14"/>
  <c r="F46" i="14"/>
  <c r="C46" i="14"/>
  <c r="B46" i="14"/>
  <c r="I46" i="14"/>
  <c r="H44" i="14"/>
  <c r="G44" i="14"/>
  <c r="F44" i="14"/>
  <c r="E44" i="14"/>
  <c r="D44" i="14"/>
  <c r="C44" i="14"/>
  <c r="I44" i="14"/>
  <c r="H42" i="14"/>
  <c r="F42" i="14"/>
  <c r="G42" i="14"/>
  <c r="D42" i="14"/>
  <c r="E42" i="14"/>
  <c r="B42" i="14"/>
  <c r="C42" i="14"/>
  <c r="A42" i="14"/>
  <c r="I32" i="14"/>
  <c r="I42" i="14" s="1"/>
  <c r="I12" i="14"/>
  <c r="B27" i="14" s="1"/>
  <c r="Q65" i="14"/>
  <c r="R65" i="14" s="1"/>
  <c r="R66" i="14"/>
  <c r="O67" i="14"/>
  <c r="J65" i="14"/>
  <c r="H63" i="14"/>
  <c r="B63" i="14" s="1"/>
  <c r="E64" i="14"/>
  <c r="G64" i="14" s="1"/>
  <c r="D51" i="15"/>
  <c r="E41" i="15" s="1"/>
  <c r="B51" i="14" l="1"/>
  <c r="B52" i="14"/>
  <c r="T47" i="14"/>
  <c r="T49" i="14" s="1"/>
  <c r="T46" i="14"/>
  <c r="T48" i="14" s="1"/>
  <c r="B50" i="14"/>
  <c r="H50" i="14"/>
  <c r="G50" i="14"/>
  <c r="I48" i="14"/>
  <c r="I50" i="14" s="1"/>
  <c r="Q67" i="14"/>
  <c r="R67" i="14" s="1"/>
  <c r="O68" i="14"/>
  <c r="Q68" i="14" s="1"/>
  <c r="R68" i="14" s="1"/>
  <c r="L65" i="14"/>
  <c r="M65" i="14" s="1"/>
  <c r="J66" i="14"/>
  <c r="E65" i="14"/>
  <c r="E43" i="15"/>
  <c r="E47" i="15"/>
  <c r="E48" i="15"/>
  <c r="E46" i="15"/>
  <c r="E45" i="15"/>
  <c r="E44" i="15"/>
  <c r="E42" i="15"/>
  <c r="F42" i="15" s="1"/>
  <c r="E49" i="15"/>
  <c r="D39" i="15"/>
  <c r="E31" i="15" s="1"/>
  <c r="E32" i="15" l="1"/>
  <c r="E26" i="15"/>
  <c r="E30" i="15"/>
  <c r="E37" i="15"/>
  <c r="E29" i="15"/>
  <c r="E36" i="15"/>
  <c r="E28" i="15"/>
  <c r="E35" i="15"/>
  <c r="E27" i="15"/>
  <c r="E34" i="15"/>
  <c r="F43" i="15"/>
  <c r="E33" i="15"/>
  <c r="J67" i="14"/>
  <c r="L67" i="14" s="1"/>
  <c r="M67" i="14" s="1"/>
  <c r="L66" i="14"/>
  <c r="M66" i="14" s="1"/>
  <c r="E66" i="14"/>
  <c r="G65" i="14"/>
  <c r="H64" i="14"/>
  <c r="B64" i="14" s="1"/>
  <c r="E51" i="15"/>
  <c r="I167" i="6"/>
  <c r="I146" i="6"/>
  <c r="I125" i="6"/>
  <c r="I104" i="6"/>
  <c r="I83" i="6"/>
  <c r="I62" i="6"/>
  <c r="H41" i="6"/>
  <c r="H44" i="6"/>
  <c r="I31" i="6"/>
  <c r="U46" i="12"/>
  <c r="U47" i="12"/>
  <c r="U48" i="12"/>
  <c r="U49" i="12"/>
  <c r="U50" i="12"/>
  <c r="B240" i="6"/>
  <c r="B241" i="6"/>
  <c r="B242" i="6"/>
  <c r="B243" i="6"/>
  <c r="B239" i="6"/>
  <c r="B236" i="6"/>
  <c r="K24" i="14"/>
  <c r="K23" i="14"/>
  <c r="K22" i="14"/>
  <c r="J24" i="14"/>
  <c r="J23" i="14"/>
  <c r="J22" i="14"/>
  <c r="I24" i="14"/>
  <c r="I23" i="14"/>
  <c r="I22" i="14"/>
  <c r="H24" i="14"/>
  <c r="H23" i="14"/>
  <c r="L4" i="14" s="1"/>
  <c r="K4" i="14" s="1"/>
  <c r="L9" i="14" l="1"/>
  <c r="K9" i="14" s="1"/>
  <c r="L8" i="14"/>
  <c r="L5" i="14"/>
  <c r="K5" i="14" s="1"/>
  <c r="L11" i="14"/>
  <c r="K11" i="14" s="1"/>
  <c r="L10" i="14"/>
  <c r="K10" i="14" s="1"/>
  <c r="L7" i="14"/>
  <c r="K7" i="14" s="1"/>
  <c r="L6" i="14"/>
  <c r="K6" i="14" s="1"/>
  <c r="E39" i="15"/>
  <c r="E67" i="14"/>
  <c r="G67" i="14" s="1"/>
  <c r="H67" i="14" s="1"/>
  <c r="B67" i="14" s="1"/>
  <c r="G66" i="14"/>
  <c r="H66" i="14" s="1"/>
  <c r="B66" i="14" s="1"/>
  <c r="H65" i="14"/>
  <c r="B65" i="14" s="1"/>
  <c r="C31" i="10"/>
  <c r="C4" i="10"/>
  <c r="L14" i="14" l="1"/>
  <c r="K8" i="14"/>
  <c r="L16" i="14"/>
  <c r="L17" i="14"/>
  <c r="L15" i="14"/>
  <c r="L12" i="14"/>
  <c r="B209" i="6"/>
  <c r="B213" i="6"/>
  <c r="B194" i="6"/>
  <c r="B198" i="6"/>
  <c r="B197" i="6"/>
  <c r="B196" i="6"/>
  <c r="B195" i="6"/>
  <c r="E171" i="6"/>
  <c r="F171" i="6"/>
  <c r="E172" i="6"/>
  <c r="F172" i="6"/>
  <c r="E173" i="6"/>
  <c r="F173" i="6"/>
  <c r="E174" i="6"/>
  <c r="F174" i="6"/>
  <c r="E175" i="6"/>
  <c r="F175" i="6"/>
  <c r="E176" i="6"/>
  <c r="F176" i="6"/>
  <c r="E177" i="6"/>
  <c r="F177" i="6"/>
  <c r="E178" i="6"/>
  <c r="F178" i="6"/>
  <c r="E179" i="6"/>
  <c r="F179" i="6"/>
  <c r="E170" i="6"/>
  <c r="F170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49" i="6"/>
  <c r="E149" i="6"/>
  <c r="E128" i="6"/>
  <c r="E129" i="6"/>
  <c r="E130" i="6"/>
  <c r="E131" i="6"/>
  <c r="E132" i="6"/>
  <c r="E133" i="6"/>
  <c r="E134" i="6"/>
  <c r="E135" i="6"/>
  <c r="E136" i="6"/>
  <c r="E137" i="6"/>
  <c r="E107" i="6"/>
  <c r="E108" i="6"/>
  <c r="E109" i="6"/>
  <c r="E110" i="6"/>
  <c r="E111" i="6"/>
  <c r="E112" i="6"/>
  <c r="E113" i="6"/>
  <c r="E114" i="6"/>
  <c r="E115" i="6"/>
  <c r="E116" i="6"/>
  <c r="E67" i="6"/>
  <c r="E65" i="6"/>
  <c r="E66" i="6"/>
  <c r="E68" i="6"/>
  <c r="E69" i="6"/>
  <c r="E70" i="6"/>
  <c r="E71" i="6"/>
  <c r="E72" i="6"/>
  <c r="E73" i="6"/>
  <c r="E74" i="6"/>
  <c r="E45" i="6"/>
  <c r="E46" i="6"/>
  <c r="E47" i="6"/>
  <c r="E48" i="6"/>
  <c r="E49" i="6"/>
  <c r="E50" i="6"/>
  <c r="E51" i="6"/>
  <c r="E52" i="6"/>
  <c r="E53" i="6"/>
  <c r="E44" i="6"/>
  <c r="M19" i="6"/>
  <c r="M20" i="6"/>
  <c r="M21" i="6"/>
  <c r="M22" i="6"/>
  <c r="M23" i="6"/>
  <c r="M24" i="6"/>
  <c r="M25" i="6"/>
  <c r="M26" i="6"/>
  <c r="M27" i="6"/>
  <c r="M18" i="6"/>
  <c r="H19" i="6"/>
  <c r="H20" i="6"/>
  <c r="H21" i="6"/>
  <c r="H22" i="6"/>
  <c r="H23" i="6"/>
  <c r="H24" i="6"/>
  <c r="H25" i="6"/>
  <c r="H26" i="6"/>
  <c r="H27" i="6"/>
  <c r="H18" i="6"/>
  <c r="C19" i="6"/>
  <c r="C20" i="6"/>
  <c r="C21" i="6"/>
  <c r="C22" i="6"/>
  <c r="C23" i="6"/>
  <c r="C24" i="6"/>
  <c r="C25" i="6"/>
  <c r="C26" i="6"/>
  <c r="C27" i="6"/>
  <c r="C18" i="6"/>
  <c r="B28" i="14" l="1"/>
  <c r="L221" i="6"/>
  <c r="Q3" i="12"/>
  <c r="Q4" i="12"/>
  <c r="P4" i="12"/>
  <c r="P3" i="12"/>
  <c r="O4" i="12"/>
  <c r="O3" i="12"/>
  <c r="M3" i="12"/>
  <c r="B16" i="11"/>
  <c r="B221" i="6"/>
  <c r="L206" i="6"/>
  <c r="B206" i="6"/>
  <c r="L191" i="6"/>
  <c r="B191" i="6"/>
  <c r="D183" i="6"/>
  <c r="B167" i="6"/>
  <c r="B170" i="6" s="1"/>
  <c r="C167" i="6"/>
  <c r="L198" i="6" l="1"/>
  <c r="L194" i="6"/>
  <c r="O20" i="12" s="1"/>
  <c r="B224" i="6"/>
  <c r="R35" i="12" s="1"/>
  <c r="B227" i="6"/>
  <c r="R38" i="12" s="1"/>
  <c r="B225" i="6"/>
  <c r="R36" i="12" s="1"/>
  <c r="B226" i="6"/>
  <c r="R37" i="12" s="1"/>
  <c r="B228" i="6"/>
  <c r="R39" i="12" s="1"/>
  <c r="L228" i="6"/>
  <c r="S44" i="12" s="1"/>
  <c r="L224" i="6"/>
  <c r="S40" i="12" s="1"/>
  <c r="L225" i="6"/>
  <c r="S41" i="12" s="1"/>
  <c r="L226" i="6"/>
  <c r="S42" i="12" s="1"/>
  <c r="L227" i="6"/>
  <c r="S43" i="12" s="1"/>
  <c r="L210" i="6"/>
  <c r="Q31" i="12" s="1"/>
  <c r="L213" i="6"/>
  <c r="Q34" i="12" s="1"/>
  <c r="L212" i="6"/>
  <c r="Q33" i="12" s="1"/>
  <c r="L209" i="6"/>
  <c r="Q30" i="12" s="1"/>
  <c r="L211" i="6"/>
  <c r="Q32" i="12" s="1"/>
  <c r="L195" i="6"/>
  <c r="O21" i="12" s="1"/>
  <c r="O24" i="12"/>
  <c r="L196" i="6"/>
  <c r="O22" i="12" s="1"/>
  <c r="L197" i="6"/>
  <c r="O23" i="12" s="1"/>
  <c r="B210" i="6"/>
  <c r="P25" i="12"/>
  <c r="B212" i="6"/>
  <c r="P28" i="12" s="1"/>
  <c r="B211" i="6"/>
  <c r="P27" i="12" s="1"/>
  <c r="P29" i="12"/>
  <c r="N16" i="12"/>
  <c r="N15" i="12"/>
  <c r="C171" i="6"/>
  <c r="C175" i="6"/>
  <c r="C174" i="6"/>
  <c r="C178" i="6"/>
  <c r="C173" i="6"/>
  <c r="C177" i="6"/>
  <c r="C172" i="6"/>
  <c r="C176" i="6"/>
  <c r="C170" i="6"/>
  <c r="C179" i="6"/>
  <c r="B171" i="6"/>
  <c r="B179" i="6"/>
  <c r="B177" i="6"/>
  <c r="B176" i="6"/>
  <c r="B175" i="6"/>
  <c r="B174" i="6"/>
  <c r="B173" i="6"/>
  <c r="B172" i="6"/>
  <c r="B178" i="6"/>
  <c r="P26" i="12"/>
  <c r="N19" i="12"/>
  <c r="N18" i="12"/>
  <c r="N17" i="12"/>
  <c r="J110" i="2" l="1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D19" i="13" a="1"/>
  <c r="D19" i="13" s="1"/>
  <c r="B40" i="7"/>
  <c r="C40" i="7" s="1"/>
  <c r="B39" i="7"/>
  <c r="B38" i="7"/>
  <c r="B37" i="7"/>
  <c r="C37" i="7" s="1"/>
  <c r="B36" i="7"/>
  <c r="B35" i="7"/>
  <c r="B34" i="7"/>
  <c r="C34" i="7" s="1"/>
  <c r="B33" i="7"/>
  <c r="B32" i="7"/>
  <c r="B31" i="7"/>
  <c r="C31" i="7" s="1"/>
  <c r="B30" i="7"/>
  <c r="B29" i="7"/>
  <c r="B28" i="7"/>
  <c r="C28" i="7" s="1"/>
  <c r="B27" i="7"/>
  <c r="B26" i="7"/>
  <c r="B25" i="7"/>
  <c r="C25" i="7" s="1"/>
  <c r="B24" i="7"/>
  <c r="B23" i="7"/>
  <c r="B22" i="7"/>
  <c r="C22" i="7" s="1"/>
  <c r="B21" i="7"/>
  <c r="B20" i="7"/>
  <c r="B19" i="7"/>
  <c r="C19" i="7" s="1"/>
  <c r="B18" i="7"/>
  <c r="B17" i="7"/>
  <c r="B16" i="7"/>
  <c r="C16" i="7" s="1"/>
  <c r="B15" i="7"/>
  <c r="B14" i="7"/>
  <c r="B13" i="7"/>
  <c r="C13" i="7" s="1"/>
  <c r="B12" i="7"/>
  <c r="B11" i="7"/>
  <c r="B10" i="7"/>
  <c r="C10" i="7" s="1"/>
  <c r="B9" i="7"/>
  <c r="B8" i="7"/>
  <c r="B5" i="7"/>
  <c r="E106" i="10"/>
  <c r="E93" i="10"/>
  <c r="E80" i="10"/>
  <c r="D72" i="12"/>
  <c r="H25" i="10"/>
  <c r="G70" i="12"/>
  <c r="D69" i="12"/>
  <c r="D68" i="12"/>
  <c r="E15" i="13" s="1" a="1"/>
  <c r="E15" i="13" s="1"/>
  <c r="G67" i="12"/>
  <c r="H21" i="10"/>
  <c r="D65" i="12"/>
  <c r="G63" i="12"/>
  <c r="G167" i="6"/>
  <c r="F167" i="6"/>
  <c r="E167" i="6"/>
  <c r="D167" i="6"/>
  <c r="E62" i="12"/>
  <c r="F60" i="12"/>
  <c r="F59" i="12"/>
  <c r="E59" i="12"/>
  <c r="F58" i="12"/>
  <c r="E58" i="12"/>
  <c r="E57" i="12"/>
  <c r="F55" i="12"/>
  <c r="E54" i="12"/>
  <c r="G146" i="6"/>
  <c r="F146" i="6"/>
  <c r="E146" i="6"/>
  <c r="D146" i="6"/>
  <c r="C146" i="6"/>
  <c r="B146" i="6"/>
  <c r="B149" i="6" s="1"/>
  <c r="F52" i="12"/>
  <c r="F49" i="12"/>
  <c r="F48" i="12"/>
  <c r="F44" i="12"/>
  <c r="G125" i="6"/>
  <c r="F125" i="6"/>
  <c r="E125" i="6"/>
  <c r="D125" i="6"/>
  <c r="C125" i="6"/>
  <c r="B125" i="6"/>
  <c r="F40" i="12"/>
  <c r="F35" i="12"/>
  <c r="G3" i="13" s="1" a="1"/>
  <c r="G3" i="13" s="1"/>
  <c r="H104" i="6"/>
  <c r="G104" i="6"/>
  <c r="F104" i="6"/>
  <c r="E104" i="6"/>
  <c r="D104" i="6"/>
  <c r="C104" i="6"/>
  <c r="B104" i="6"/>
  <c r="B107" i="6" s="1"/>
  <c r="G83" i="6"/>
  <c r="F83" i="6"/>
  <c r="E83" i="6"/>
  <c r="D83" i="6"/>
  <c r="C83" i="6"/>
  <c r="B83" i="6"/>
  <c r="G62" i="6"/>
  <c r="F62" i="6"/>
  <c r="E62" i="6"/>
  <c r="D62" i="6"/>
  <c r="C62" i="6"/>
  <c r="B62" i="6"/>
  <c r="F12" i="12"/>
  <c r="F11" i="12"/>
  <c r="F7" i="12"/>
  <c r="F4" i="12"/>
  <c r="G41" i="6"/>
  <c r="F41" i="6"/>
  <c r="E41" i="6"/>
  <c r="D41" i="6"/>
  <c r="C41" i="6"/>
  <c r="B41" i="6"/>
  <c r="H31" i="6"/>
  <c r="H167" i="6" s="1"/>
  <c r="G31" i="6"/>
  <c r="F31" i="6"/>
  <c r="E31" i="6"/>
  <c r="D31" i="6"/>
  <c r="C31" i="6"/>
  <c r="B31" i="6"/>
  <c r="G27" i="6"/>
  <c r="B27" i="6"/>
  <c r="G26" i="6"/>
  <c r="B26" i="6"/>
  <c r="G25" i="6"/>
  <c r="B25" i="6"/>
  <c r="G24" i="6"/>
  <c r="B24" i="6"/>
  <c r="G23" i="6"/>
  <c r="B23" i="6"/>
  <c r="G22" i="6"/>
  <c r="B22" i="6"/>
  <c r="G21" i="6"/>
  <c r="B21" i="6"/>
  <c r="G20" i="6"/>
  <c r="B20" i="6"/>
  <c r="G19" i="6"/>
  <c r="B19" i="6"/>
  <c r="G18" i="6"/>
  <c r="B18" i="6"/>
  <c r="M14" i="6"/>
  <c r="N14" i="6" s="1"/>
  <c r="I14" i="6"/>
  <c r="H14" i="6"/>
  <c r="D14" i="6"/>
  <c r="C14" i="6"/>
  <c r="G72" i="12"/>
  <c r="G71" i="12"/>
  <c r="D71" i="12"/>
  <c r="D70" i="12"/>
  <c r="G69" i="12"/>
  <c r="G68" i="12"/>
  <c r="H15" i="13" s="1" a="1"/>
  <c r="H15" i="13" s="1"/>
  <c r="D67" i="12"/>
  <c r="G66" i="12"/>
  <c r="D66" i="12"/>
  <c r="G65" i="12"/>
  <c r="G64" i="12"/>
  <c r="D64" i="12"/>
  <c r="D63" i="12"/>
  <c r="F62" i="12"/>
  <c r="F61" i="12"/>
  <c r="E61" i="12"/>
  <c r="E60" i="12"/>
  <c r="F57" i="12"/>
  <c r="F56" i="12"/>
  <c r="E56" i="12"/>
  <c r="E55" i="12"/>
  <c r="F54" i="12"/>
  <c r="F53" i="12"/>
  <c r="E53" i="12"/>
  <c r="F51" i="12"/>
  <c r="F50" i="12"/>
  <c r="F47" i="12"/>
  <c r="G7" i="13" s="1" a="1"/>
  <c r="G7" i="13" s="1"/>
  <c r="F46" i="12"/>
  <c r="F45" i="12"/>
  <c r="F43" i="12"/>
  <c r="F42" i="12"/>
  <c r="F41" i="12"/>
  <c r="F39" i="12"/>
  <c r="F38" i="12"/>
  <c r="F37" i="12"/>
  <c r="F36" i="12"/>
  <c r="F34" i="12"/>
  <c r="F33" i="12"/>
  <c r="F10" i="12"/>
  <c r="F9" i="12"/>
  <c r="F8" i="12"/>
  <c r="F6" i="12"/>
  <c r="F5" i="12"/>
  <c r="N4" i="12"/>
  <c r="M4" i="12"/>
  <c r="N3" i="12"/>
  <c r="E19" i="13" s="1" a="1"/>
  <c r="E19" i="13" s="1"/>
  <c r="F3" i="12"/>
  <c r="H176" i="6" l="1"/>
  <c r="I69" i="12" s="1"/>
  <c r="H171" i="6"/>
  <c r="I64" i="12" s="1"/>
  <c r="H179" i="6"/>
  <c r="I72" i="12" s="1"/>
  <c r="H174" i="6"/>
  <c r="I67" i="12" s="1"/>
  <c r="H177" i="6"/>
  <c r="I70" i="12" s="1"/>
  <c r="H172" i="6"/>
  <c r="I65" i="12" s="1"/>
  <c r="H170" i="6"/>
  <c r="I63" i="12" s="1"/>
  <c r="H175" i="6"/>
  <c r="I68" i="12" s="1"/>
  <c r="J15" i="13" s="1" a="1"/>
  <c r="J15" i="13" s="1"/>
  <c r="H178" i="6"/>
  <c r="I71" i="12" s="1"/>
  <c r="H173" i="6"/>
  <c r="I66" i="12" s="1"/>
  <c r="H146" i="6"/>
  <c r="H83" i="6"/>
  <c r="H125" i="6"/>
  <c r="H111" i="6"/>
  <c r="I37" i="12" s="1"/>
  <c r="H108" i="6"/>
  <c r="I34" i="12" s="1"/>
  <c r="H112" i="6"/>
  <c r="I38" i="12" s="1"/>
  <c r="H116" i="6"/>
  <c r="I42" i="12" s="1"/>
  <c r="H115" i="6"/>
  <c r="I41" i="12" s="1"/>
  <c r="H107" i="6"/>
  <c r="I33" i="12" s="1"/>
  <c r="H109" i="6"/>
  <c r="I35" i="12" s="1"/>
  <c r="J3" i="13" s="1" a="1"/>
  <c r="J3" i="13" s="1"/>
  <c r="H113" i="6"/>
  <c r="I39" i="12" s="1"/>
  <c r="H110" i="6"/>
  <c r="I36" i="12" s="1"/>
  <c r="H114" i="6"/>
  <c r="I40" i="12" s="1"/>
  <c r="H48" i="6"/>
  <c r="I7" i="12" s="1"/>
  <c r="H52" i="6"/>
  <c r="I11" i="12" s="1"/>
  <c r="H45" i="6"/>
  <c r="I4" i="12" s="1"/>
  <c r="H49" i="6"/>
  <c r="I8" i="12" s="1"/>
  <c r="H53" i="6"/>
  <c r="I12" i="12" s="1"/>
  <c r="H51" i="6"/>
  <c r="I10" i="12" s="1"/>
  <c r="H46" i="6"/>
  <c r="I5" i="12" s="1"/>
  <c r="H50" i="6"/>
  <c r="I9" i="12" s="1"/>
  <c r="I3" i="12"/>
  <c r="H47" i="6"/>
  <c r="I6" i="12" s="1"/>
  <c r="H62" i="6"/>
  <c r="G151" i="6"/>
  <c r="H55" i="12" s="1"/>
  <c r="G152" i="6"/>
  <c r="H56" i="12" s="1"/>
  <c r="G149" i="6"/>
  <c r="H53" i="12" s="1"/>
  <c r="G157" i="6"/>
  <c r="H61" i="12" s="1"/>
  <c r="G158" i="6"/>
  <c r="H62" i="12" s="1"/>
  <c r="G150" i="6"/>
  <c r="H54" i="12" s="1"/>
  <c r="G154" i="6"/>
  <c r="H58" i="12" s="1"/>
  <c r="G156" i="6"/>
  <c r="H60" i="12" s="1"/>
  <c r="G153" i="6"/>
  <c r="H57" i="12" s="1"/>
  <c r="G155" i="6"/>
  <c r="H59" i="12" s="1"/>
  <c r="G173" i="6"/>
  <c r="H66" i="12" s="1"/>
  <c r="G175" i="6"/>
  <c r="H68" i="12" s="1"/>
  <c r="I15" i="13" s="1" a="1"/>
  <c r="I15" i="13" s="1"/>
  <c r="G177" i="6"/>
  <c r="H70" i="12" s="1"/>
  <c r="G172" i="6"/>
  <c r="H65" i="12" s="1"/>
  <c r="G174" i="6"/>
  <c r="H67" i="12" s="1"/>
  <c r="G176" i="6"/>
  <c r="H69" i="12" s="1"/>
  <c r="G178" i="6"/>
  <c r="H71" i="12" s="1"/>
  <c r="G170" i="6"/>
  <c r="H63" i="12" s="1"/>
  <c r="G171" i="6"/>
  <c r="H64" i="12" s="1"/>
  <c r="G179" i="6"/>
  <c r="H72" i="12" s="1"/>
  <c r="D171" i="6"/>
  <c r="E64" i="12" s="1"/>
  <c r="D179" i="6"/>
  <c r="E72" i="12" s="1"/>
  <c r="D176" i="6"/>
  <c r="E69" i="12" s="1"/>
  <c r="D175" i="6"/>
  <c r="E68" i="12" s="1"/>
  <c r="F15" i="13" s="1" a="1"/>
  <c r="F15" i="13" s="1"/>
  <c r="M15" i="13" s="1"/>
  <c r="D172" i="6"/>
  <c r="E65" i="12" s="1"/>
  <c r="D170" i="6"/>
  <c r="E63" i="12" s="1"/>
  <c r="D178" i="6"/>
  <c r="E71" i="12" s="1"/>
  <c r="D177" i="6"/>
  <c r="E70" i="12" s="1"/>
  <c r="D174" i="6"/>
  <c r="E67" i="12" s="1"/>
  <c r="D173" i="6"/>
  <c r="E66" i="12" s="1"/>
  <c r="F156" i="6"/>
  <c r="G60" i="12" s="1"/>
  <c r="F153" i="6"/>
  <c r="G57" i="12" s="1"/>
  <c r="F150" i="6"/>
  <c r="F155" i="6"/>
  <c r="G36" i="10" s="1"/>
  <c r="G49" i="10" s="1"/>
  <c r="F157" i="6"/>
  <c r="F152" i="6"/>
  <c r="F149" i="6"/>
  <c r="G17" i="10" s="1"/>
  <c r="F154" i="6"/>
  <c r="F151" i="6"/>
  <c r="G55" i="12" s="1"/>
  <c r="F158" i="6"/>
  <c r="G62" i="12" s="1"/>
  <c r="C150" i="6"/>
  <c r="D54" i="12" s="1"/>
  <c r="C154" i="6"/>
  <c r="D58" i="12" s="1"/>
  <c r="C153" i="6"/>
  <c r="D57" i="12" s="1"/>
  <c r="C152" i="6"/>
  <c r="D56" i="12" s="1"/>
  <c r="C156" i="6"/>
  <c r="D60" i="12" s="1"/>
  <c r="C151" i="6"/>
  <c r="D55" i="12" s="1"/>
  <c r="C155" i="6"/>
  <c r="D59" i="12" s="1"/>
  <c r="C149" i="6"/>
  <c r="D53" i="12" s="1"/>
  <c r="C158" i="6"/>
  <c r="D62" i="12" s="1"/>
  <c r="C157" i="6"/>
  <c r="D61" i="12" s="1"/>
  <c r="B150" i="6"/>
  <c r="B158" i="6"/>
  <c r="B156" i="6"/>
  <c r="B155" i="6"/>
  <c r="G10" i="10" s="1"/>
  <c r="G75" i="10" s="1"/>
  <c r="G101" i="10" s="1"/>
  <c r="G114" i="10" s="1"/>
  <c r="G30" i="10"/>
  <c r="G43" i="10" s="1"/>
  <c r="B154" i="6"/>
  <c r="G61" i="10" s="1"/>
  <c r="B153" i="6"/>
  <c r="B152" i="6"/>
  <c r="B151" i="6"/>
  <c r="G6" i="10" s="1"/>
  <c r="B157" i="6"/>
  <c r="G128" i="6"/>
  <c r="H43" i="12" s="1"/>
  <c r="G129" i="6"/>
  <c r="H44" i="12" s="1"/>
  <c r="G132" i="6"/>
  <c r="H47" i="12" s="1"/>
  <c r="I7" i="13" s="1" a="1"/>
  <c r="I7" i="13" s="1"/>
  <c r="G135" i="6"/>
  <c r="H50" i="12" s="1"/>
  <c r="G130" i="6"/>
  <c r="H45" i="12" s="1"/>
  <c r="G133" i="6"/>
  <c r="H48" i="12" s="1"/>
  <c r="G131" i="6"/>
  <c r="H46" i="12" s="1"/>
  <c r="G136" i="6"/>
  <c r="H51" i="12" s="1"/>
  <c r="G134" i="6"/>
  <c r="H49" i="12" s="1"/>
  <c r="G137" i="6"/>
  <c r="H52" i="12" s="1"/>
  <c r="F130" i="6"/>
  <c r="G45" i="12" s="1"/>
  <c r="F132" i="6"/>
  <c r="F133" i="6"/>
  <c r="F135" i="6"/>
  <c r="F137" i="6"/>
  <c r="F129" i="6"/>
  <c r="F131" i="6"/>
  <c r="F134" i="6"/>
  <c r="F136" i="6"/>
  <c r="F128" i="6"/>
  <c r="D135" i="6"/>
  <c r="E50" i="12" s="1"/>
  <c r="D132" i="6"/>
  <c r="E47" i="12" s="1"/>
  <c r="F7" i="13" s="1" a="1"/>
  <c r="F7" i="13" s="1"/>
  <c r="D137" i="6"/>
  <c r="E52" i="12" s="1"/>
  <c r="D134" i="6"/>
  <c r="E49" i="12" s="1"/>
  <c r="D136" i="6"/>
  <c r="E51" i="12" s="1"/>
  <c r="D129" i="6"/>
  <c r="E44" i="12" s="1"/>
  <c r="D131" i="6"/>
  <c r="E46" i="12" s="1"/>
  <c r="D133" i="6"/>
  <c r="E48" i="12" s="1"/>
  <c r="D130" i="6"/>
  <c r="E45" i="12" s="1"/>
  <c r="D128" i="6"/>
  <c r="E43" i="12" s="1"/>
  <c r="C135" i="6"/>
  <c r="D50" i="12" s="1"/>
  <c r="C134" i="6"/>
  <c r="D49" i="12" s="1"/>
  <c r="C130" i="6"/>
  <c r="D45" i="12" s="1"/>
  <c r="C137" i="6"/>
  <c r="D52" i="12" s="1"/>
  <c r="C129" i="6"/>
  <c r="D44" i="12" s="1"/>
  <c r="C128" i="6"/>
  <c r="D43" i="12" s="1"/>
  <c r="C133" i="6"/>
  <c r="D48" i="12" s="1"/>
  <c r="C136" i="6"/>
  <c r="D51" i="12" s="1"/>
  <c r="C132" i="6"/>
  <c r="D47" i="12" s="1"/>
  <c r="E7" i="13" s="1" a="1"/>
  <c r="E7" i="13" s="1"/>
  <c r="C131" i="6"/>
  <c r="D46" i="12" s="1"/>
  <c r="B133" i="6"/>
  <c r="B131" i="6"/>
  <c r="B128" i="6"/>
  <c r="C43" i="12" s="1"/>
  <c r="B129" i="6"/>
  <c r="B130" i="6"/>
  <c r="F58" i="10" s="1"/>
  <c r="B137" i="6"/>
  <c r="C52" i="12" s="1"/>
  <c r="B136" i="6"/>
  <c r="B135" i="6"/>
  <c r="F37" i="10" s="1"/>
  <c r="F50" i="10" s="1"/>
  <c r="B134" i="6"/>
  <c r="C49" i="12" s="1"/>
  <c r="B132" i="6"/>
  <c r="F8" i="10" s="1"/>
  <c r="G113" i="6"/>
  <c r="H39" i="12" s="1"/>
  <c r="G111" i="6"/>
  <c r="H37" i="12" s="1"/>
  <c r="G114" i="6"/>
  <c r="H40" i="12" s="1"/>
  <c r="G109" i="6"/>
  <c r="H35" i="12" s="1"/>
  <c r="I3" i="13" s="1" a="1"/>
  <c r="I3" i="13" s="1"/>
  <c r="G107" i="6"/>
  <c r="H33" i="12" s="1"/>
  <c r="G112" i="6"/>
  <c r="H38" i="12" s="1"/>
  <c r="G115" i="6"/>
  <c r="H41" i="12" s="1"/>
  <c r="G110" i="6"/>
  <c r="H36" i="12" s="1"/>
  <c r="G108" i="6"/>
  <c r="H34" i="12" s="1"/>
  <c r="G116" i="6"/>
  <c r="H42" i="12" s="1"/>
  <c r="F108" i="6"/>
  <c r="F112" i="6"/>
  <c r="F116" i="6"/>
  <c r="G42" i="12" s="1"/>
  <c r="F115" i="6"/>
  <c r="F110" i="6"/>
  <c r="F114" i="6"/>
  <c r="F109" i="6"/>
  <c r="F111" i="6"/>
  <c r="F113" i="6"/>
  <c r="F107" i="6"/>
  <c r="D108" i="6"/>
  <c r="E34" i="12" s="1"/>
  <c r="D116" i="6"/>
  <c r="E42" i="12" s="1"/>
  <c r="D113" i="6"/>
  <c r="E39" i="12" s="1"/>
  <c r="D110" i="6"/>
  <c r="D115" i="6"/>
  <c r="E41" i="12" s="1"/>
  <c r="D112" i="6"/>
  <c r="D109" i="6"/>
  <c r="E35" i="12" s="1"/>
  <c r="F3" i="13" s="1" a="1"/>
  <c r="F3" i="13" s="1"/>
  <c r="D107" i="6"/>
  <c r="E33" i="12" s="1"/>
  <c r="D114" i="6"/>
  <c r="E40" i="12" s="1"/>
  <c r="D111" i="6"/>
  <c r="E37" i="12" s="1"/>
  <c r="C108" i="6"/>
  <c r="D34" i="12" s="1"/>
  <c r="C112" i="6"/>
  <c r="D38" i="12" s="1"/>
  <c r="C116" i="6"/>
  <c r="D42" i="12" s="1"/>
  <c r="C111" i="6"/>
  <c r="D37" i="12" s="1"/>
  <c r="C113" i="6"/>
  <c r="D39" i="12" s="1"/>
  <c r="C115" i="6"/>
  <c r="D41" i="12" s="1"/>
  <c r="C110" i="6"/>
  <c r="D36" i="12" s="1"/>
  <c r="C114" i="6"/>
  <c r="D40" i="12" s="1"/>
  <c r="C109" i="6"/>
  <c r="D35" i="12" s="1"/>
  <c r="E3" i="13" s="1" a="1"/>
  <c r="E3" i="13" s="1"/>
  <c r="C107" i="6"/>
  <c r="B108" i="6"/>
  <c r="B114" i="6"/>
  <c r="E11" i="10" s="1"/>
  <c r="B113" i="6"/>
  <c r="B115" i="6"/>
  <c r="B112" i="6"/>
  <c r="B111" i="6"/>
  <c r="E8" i="10" s="1"/>
  <c r="B110" i="6"/>
  <c r="B109" i="6"/>
  <c r="B116" i="6"/>
  <c r="F87" i="6"/>
  <c r="G24" i="12" s="1"/>
  <c r="F95" i="6"/>
  <c r="G32" i="12" s="1"/>
  <c r="F93" i="6"/>
  <c r="G30" i="12" s="1"/>
  <c r="F86" i="6"/>
  <c r="G23" i="12" s="1"/>
  <c r="F89" i="6"/>
  <c r="G26" i="12" s="1"/>
  <c r="H11" i="13" s="1" a="1"/>
  <c r="H11" i="13" s="1"/>
  <c r="F92" i="6"/>
  <c r="G29" i="12" s="1"/>
  <c r="F90" i="6"/>
  <c r="G27" i="12" s="1"/>
  <c r="F94" i="6"/>
  <c r="G31" i="12" s="1"/>
  <c r="F91" i="6"/>
  <c r="G28" i="12" s="1"/>
  <c r="F88" i="6"/>
  <c r="D19" i="10" s="1"/>
  <c r="G92" i="6"/>
  <c r="H29" i="12" s="1"/>
  <c r="G90" i="6"/>
  <c r="H27" i="12" s="1"/>
  <c r="G93" i="6"/>
  <c r="H30" i="12" s="1"/>
  <c r="G86" i="6"/>
  <c r="H23" i="12" s="1"/>
  <c r="G91" i="6"/>
  <c r="H28" i="12" s="1"/>
  <c r="G88" i="6"/>
  <c r="H25" i="12" s="1"/>
  <c r="G94" i="6"/>
  <c r="H31" i="12" s="1"/>
  <c r="G89" i="6"/>
  <c r="H26" i="12" s="1"/>
  <c r="I11" i="13" s="1" a="1"/>
  <c r="I11" i="13" s="1"/>
  <c r="G87" i="6"/>
  <c r="H24" i="12" s="1"/>
  <c r="G95" i="6"/>
  <c r="H32" i="12" s="1"/>
  <c r="D87" i="6"/>
  <c r="E24" i="12" s="1"/>
  <c r="D89" i="6"/>
  <c r="E26" i="12" s="1"/>
  <c r="F11" i="13" s="1" a="1"/>
  <c r="F11" i="13" s="1"/>
  <c r="D91" i="6"/>
  <c r="E28" i="12" s="1"/>
  <c r="D90" i="6"/>
  <c r="E27" i="12" s="1"/>
  <c r="D94" i="6"/>
  <c r="E31" i="12" s="1"/>
  <c r="D86" i="6"/>
  <c r="E23" i="12" s="1"/>
  <c r="D93" i="6"/>
  <c r="E30" i="12" s="1"/>
  <c r="D88" i="6"/>
  <c r="E25" i="12" s="1"/>
  <c r="D92" i="6"/>
  <c r="E29" i="12" s="1"/>
  <c r="D95" i="6"/>
  <c r="E32" i="12" s="1"/>
  <c r="E90" i="6"/>
  <c r="E95" i="6"/>
  <c r="E89" i="6"/>
  <c r="F26" i="12" s="1"/>
  <c r="G11" i="13" s="1" a="1"/>
  <c r="G11" i="13" s="1"/>
  <c r="E88" i="6"/>
  <c r="F25" i="12" s="1"/>
  <c r="E94" i="6"/>
  <c r="E91" i="6"/>
  <c r="F28" i="12" s="1"/>
  <c r="E86" i="6"/>
  <c r="F23" i="12" s="1"/>
  <c r="E93" i="6"/>
  <c r="F30" i="12" s="1"/>
  <c r="E87" i="6"/>
  <c r="F24" i="12" s="1"/>
  <c r="E92" i="6"/>
  <c r="C87" i="6"/>
  <c r="C91" i="6"/>
  <c r="C94" i="6"/>
  <c r="C89" i="6"/>
  <c r="C93" i="6"/>
  <c r="D30" i="12" s="1"/>
  <c r="C90" i="6"/>
  <c r="D27" i="12" s="1"/>
  <c r="C88" i="6"/>
  <c r="C92" i="6"/>
  <c r="C86" i="6"/>
  <c r="D23" i="12" s="1"/>
  <c r="C95" i="6"/>
  <c r="B87" i="6"/>
  <c r="B94" i="6"/>
  <c r="B93" i="6"/>
  <c r="B92" i="6"/>
  <c r="D36" i="10" s="1"/>
  <c r="B91" i="6"/>
  <c r="B90" i="6"/>
  <c r="D60" i="10" s="1"/>
  <c r="B86" i="6"/>
  <c r="B89" i="6"/>
  <c r="D33" i="10" s="1"/>
  <c r="B88" i="6"/>
  <c r="D32" i="10" s="1"/>
  <c r="D45" i="10" s="1"/>
  <c r="B95" i="6"/>
  <c r="D13" i="10" s="1"/>
  <c r="G71" i="6"/>
  <c r="H19" i="12" s="1"/>
  <c r="G69" i="6"/>
  <c r="H17" i="12" s="1"/>
  <c r="G72" i="6"/>
  <c r="H20" i="12" s="1"/>
  <c r="G67" i="6"/>
  <c r="H15" i="12" s="1"/>
  <c r="G70" i="6"/>
  <c r="H18" i="12" s="1"/>
  <c r="G74" i="6"/>
  <c r="H22" i="12" s="1"/>
  <c r="G65" i="6"/>
  <c r="H13" i="12" s="1"/>
  <c r="G73" i="6"/>
  <c r="H21" i="12" s="1"/>
  <c r="G68" i="6"/>
  <c r="H16" i="12" s="1"/>
  <c r="G66" i="6"/>
  <c r="H14" i="12" s="1"/>
  <c r="F70" i="6"/>
  <c r="G18" i="12" s="1"/>
  <c r="F69" i="6"/>
  <c r="G17" i="12" s="1"/>
  <c r="F71" i="6"/>
  <c r="G19" i="12" s="1"/>
  <c r="F67" i="6"/>
  <c r="G15" i="12" s="1"/>
  <c r="F65" i="6"/>
  <c r="G13" i="12" s="1"/>
  <c r="F66" i="6"/>
  <c r="G14" i="12" s="1"/>
  <c r="F68" i="6"/>
  <c r="G16" i="12" s="1"/>
  <c r="F72" i="6"/>
  <c r="C63" i="10" s="1"/>
  <c r="F74" i="6"/>
  <c r="G22" i="12" s="1"/>
  <c r="F73" i="6"/>
  <c r="G21" i="12" s="1"/>
  <c r="D70" i="6"/>
  <c r="E18" i="12" s="1"/>
  <c r="D67" i="6"/>
  <c r="E15" i="12" s="1"/>
  <c r="D65" i="6"/>
  <c r="E13" i="12" s="1"/>
  <c r="D71" i="6"/>
  <c r="E19" i="12" s="1"/>
  <c r="D73" i="6"/>
  <c r="E21" i="12" s="1"/>
  <c r="D72" i="6"/>
  <c r="E20" i="12" s="1"/>
  <c r="D69" i="6"/>
  <c r="E17" i="12" s="1"/>
  <c r="D66" i="6"/>
  <c r="E14" i="12" s="1"/>
  <c r="D74" i="6"/>
  <c r="E22" i="12" s="1"/>
  <c r="D68" i="6"/>
  <c r="E16" i="12" s="1"/>
  <c r="C66" i="6"/>
  <c r="D14" i="12" s="1"/>
  <c r="C68" i="6"/>
  <c r="D16" i="12" s="1"/>
  <c r="C72" i="6"/>
  <c r="D20" i="12" s="1"/>
  <c r="C69" i="6"/>
  <c r="D17" i="12" s="1"/>
  <c r="C74" i="6"/>
  <c r="D22" i="12" s="1"/>
  <c r="C67" i="6"/>
  <c r="D15" i="12" s="1"/>
  <c r="C71" i="6"/>
  <c r="D19" i="12" s="1"/>
  <c r="C65" i="6"/>
  <c r="D13" i="12" s="1"/>
  <c r="C70" i="6"/>
  <c r="D18" i="12" s="1"/>
  <c r="C73" i="6"/>
  <c r="D21" i="12" s="1"/>
  <c r="B66" i="6"/>
  <c r="B74" i="6"/>
  <c r="B73" i="6"/>
  <c r="B72" i="6"/>
  <c r="B71" i="6"/>
  <c r="B65" i="6"/>
  <c r="B70" i="6"/>
  <c r="B69" i="6"/>
  <c r="B68" i="6"/>
  <c r="B67" i="6"/>
  <c r="G50" i="6"/>
  <c r="H9" i="12" s="1"/>
  <c r="G45" i="6"/>
  <c r="H4" i="12" s="1"/>
  <c r="G53" i="6"/>
  <c r="H12" i="12" s="1"/>
  <c r="G48" i="6"/>
  <c r="H7" i="12" s="1"/>
  <c r="G51" i="6"/>
  <c r="H10" i="12" s="1"/>
  <c r="G49" i="6"/>
  <c r="H8" i="12" s="1"/>
  <c r="G47" i="6"/>
  <c r="H6" i="12" s="1"/>
  <c r="G46" i="6"/>
  <c r="H5" i="12" s="1"/>
  <c r="G44" i="6"/>
  <c r="H3" i="12" s="1"/>
  <c r="G52" i="6"/>
  <c r="H11" i="12" s="1"/>
  <c r="F47" i="6"/>
  <c r="B59" i="10" s="1"/>
  <c r="F51" i="6"/>
  <c r="F46" i="6"/>
  <c r="B19" i="10" s="1"/>
  <c r="F48" i="6"/>
  <c r="G7" i="12" s="1"/>
  <c r="F50" i="6"/>
  <c r="F52" i="6"/>
  <c r="G11" i="12" s="1"/>
  <c r="F44" i="6"/>
  <c r="F45" i="6"/>
  <c r="B18" i="10" s="1"/>
  <c r="F49" i="6"/>
  <c r="B35" i="10" s="1"/>
  <c r="B48" i="10" s="1"/>
  <c r="F53" i="6"/>
  <c r="B26" i="10" s="1"/>
  <c r="D45" i="6"/>
  <c r="E4" i="12" s="1"/>
  <c r="D53" i="6"/>
  <c r="E12" i="12" s="1"/>
  <c r="D51" i="6"/>
  <c r="E10" i="12" s="1"/>
  <c r="D50" i="6"/>
  <c r="E9" i="12" s="1"/>
  <c r="D44" i="6"/>
  <c r="E3" i="12" s="1"/>
  <c r="D47" i="6"/>
  <c r="E6" i="12" s="1"/>
  <c r="D46" i="6"/>
  <c r="E5" i="12" s="1"/>
  <c r="D52" i="6"/>
  <c r="E11" i="12" s="1"/>
  <c r="D49" i="6"/>
  <c r="E8" i="12" s="1"/>
  <c r="D48" i="6"/>
  <c r="E7" i="12" s="1"/>
  <c r="C45" i="6"/>
  <c r="D4" i="12" s="1"/>
  <c r="C48" i="6"/>
  <c r="D7" i="12" s="1"/>
  <c r="C47" i="6"/>
  <c r="D6" i="12" s="1"/>
  <c r="C51" i="6"/>
  <c r="D10" i="12" s="1"/>
  <c r="C53" i="6"/>
  <c r="D12" i="12" s="1"/>
  <c r="C52" i="6"/>
  <c r="D11" i="12" s="1"/>
  <c r="C46" i="6"/>
  <c r="D5" i="12" s="1"/>
  <c r="C50" i="6"/>
  <c r="D9" i="12" s="1"/>
  <c r="C44" i="6"/>
  <c r="D3" i="12" s="1"/>
  <c r="C49" i="6"/>
  <c r="D8" i="12" s="1"/>
  <c r="B45" i="6"/>
  <c r="B50" i="6"/>
  <c r="B44" i="6"/>
  <c r="B52" i="6"/>
  <c r="B12" i="10" s="1"/>
  <c r="B49" i="6"/>
  <c r="B48" i="6"/>
  <c r="B8" i="10" s="1"/>
  <c r="B47" i="6"/>
  <c r="B53" i="6"/>
  <c r="B51" i="6"/>
  <c r="B46" i="6"/>
  <c r="H17" i="10"/>
  <c r="G8" i="10"/>
  <c r="G5" i="10"/>
  <c r="G24" i="10"/>
  <c r="G23" i="10"/>
  <c r="G59" i="12"/>
  <c r="D18" i="10"/>
  <c r="C20" i="12"/>
  <c r="C4" i="12"/>
  <c r="C12" i="12"/>
  <c r="C8" i="12"/>
  <c r="L22" i="6"/>
  <c r="L24" i="6"/>
  <c r="L21" i="6"/>
  <c r="L26" i="6"/>
  <c r="L18" i="6"/>
  <c r="L25" i="6"/>
  <c r="L27" i="6"/>
  <c r="L23" i="6"/>
  <c r="L19" i="6"/>
  <c r="L20" i="6"/>
  <c r="H20" i="10"/>
  <c r="F66" i="12"/>
  <c r="F63" i="12"/>
  <c r="F67" i="12"/>
  <c r="F71" i="12"/>
  <c r="C22" i="10"/>
  <c r="F18" i="12"/>
  <c r="C9" i="10"/>
  <c r="E17" i="10"/>
  <c r="G37" i="12"/>
  <c r="E21" i="10"/>
  <c r="H5" i="10"/>
  <c r="H70" i="10" s="1"/>
  <c r="H30" i="10"/>
  <c r="H43" i="10" s="1"/>
  <c r="H12" i="10"/>
  <c r="H34" i="10"/>
  <c r="H47" i="10" s="1"/>
  <c r="H60" i="10"/>
  <c r="H8" i="10"/>
  <c r="H73" i="10" s="1"/>
  <c r="C67" i="12"/>
  <c r="H65" i="10"/>
  <c r="F24" i="10"/>
  <c r="G50" i="12"/>
  <c r="F19" i="10"/>
  <c r="E38" i="12"/>
  <c r="E36" i="12"/>
  <c r="D33" i="12"/>
  <c r="H90" i="6" l="1"/>
  <c r="I27" i="12" s="1"/>
  <c r="H91" i="6"/>
  <c r="I28" i="12" s="1"/>
  <c r="H95" i="6"/>
  <c r="I32" i="12" s="1"/>
  <c r="H86" i="6"/>
  <c r="I23" i="12" s="1"/>
  <c r="H92" i="6"/>
  <c r="I29" i="12" s="1"/>
  <c r="H88" i="6"/>
  <c r="I25" i="12" s="1"/>
  <c r="H89" i="6"/>
  <c r="I26" i="12" s="1"/>
  <c r="J11" i="13" s="1" a="1"/>
  <c r="J11" i="13" s="1"/>
  <c r="H93" i="6"/>
  <c r="I30" i="12" s="1"/>
  <c r="H94" i="6"/>
  <c r="I31" i="12" s="1"/>
  <c r="H87" i="6"/>
  <c r="I24" i="12" s="1"/>
  <c r="H134" i="6"/>
  <c r="I49" i="12" s="1"/>
  <c r="H130" i="6"/>
  <c r="I45" i="12" s="1"/>
  <c r="H133" i="6"/>
  <c r="I48" i="12" s="1"/>
  <c r="H135" i="6"/>
  <c r="I50" i="12" s="1"/>
  <c r="H132" i="6"/>
  <c r="I47" i="12" s="1"/>
  <c r="J7" i="13" s="1" a="1"/>
  <c r="J7" i="13" s="1"/>
  <c r="H131" i="6"/>
  <c r="I46" i="12" s="1"/>
  <c r="H128" i="6"/>
  <c r="I43" i="12" s="1"/>
  <c r="H136" i="6"/>
  <c r="I51" i="12" s="1"/>
  <c r="H137" i="6"/>
  <c r="I52" i="12" s="1"/>
  <c r="H129" i="6"/>
  <c r="I44" i="12" s="1"/>
  <c r="H153" i="6"/>
  <c r="I57" i="12" s="1"/>
  <c r="H156" i="6"/>
  <c r="I60" i="12" s="1"/>
  <c r="H150" i="6"/>
  <c r="I54" i="12" s="1"/>
  <c r="H151" i="6"/>
  <c r="I55" i="12" s="1"/>
  <c r="H149" i="6"/>
  <c r="I53" i="12" s="1"/>
  <c r="H155" i="6"/>
  <c r="I59" i="12" s="1"/>
  <c r="H158" i="6"/>
  <c r="I62" i="12" s="1"/>
  <c r="H154" i="6"/>
  <c r="I58" i="12" s="1"/>
  <c r="H157" i="6"/>
  <c r="I61" i="12" s="1"/>
  <c r="H152" i="6"/>
  <c r="I56" i="12" s="1"/>
  <c r="H66" i="6"/>
  <c r="I14" i="12" s="1"/>
  <c r="H65" i="6"/>
  <c r="I13" i="12" s="1"/>
  <c r="H67" i="6"/>
  <c r="I15" i="12" s="1"/>
  <c r="H71" i="6"/>
  <c r="I19" i="12" s="1"/>
  <c r="H74" i="6"/>
  <c r="I22" i="12" s="1"/>
  <c r="H69" i="6"/>
  <c r="I17" i="12" s="1"/>
  <c r="H68" i="6"/>
  <c r="I16" i="12" s="1"/>
  <c r="H72" i="6"/>
  <c r="I20" i="12" s="1"/>
  <c r="H73" i="6"/>
  <c r="I21" i="12" s="1"/>
  <c r="H70" i="6"/>
  <c r="I18" i="12" s="1"/>
  <c r="F63" i="10"/>
  <c r="G53" i="12"/>
  <c r="G19" i="10"/>
  <c r="G71" i="10"/>
  <c r="G97" i="10" s="1"/>
  <c r="G110" i="10" s="1"/>
  <c r="F10" i="10"/>
  <c r="F75" i="10" s="1"/>
  <c r="F101" i="10" s="1"/>
  <c r="J21" i="11" s="1"/>
  <c r="C40" i="12"/>
  <c r="E63" i="10"/>
  <c r="H77" i="10"/>
  <c r="H103" i="10" s="1"/>
  <c r="L23" i="11" s="1"/>
  <c r="G18" i="10"/>
  <c r="G54" i="12"/>
  <c r="G58" i="12"/>
  <c r="G22" i="10"/>
  <c r="G34" i="10"/>
  <c r="G47" i="10" s="1"/>
  <c r="G37" i="10"/>
  <c r="G50" i="10" s="1"/>
  <c r="G57" i="10"/>
  <c r="G32" i="10"/>
  <c r="G45" i="10" s="1"/>
  <c r="G56" i="12"/>
  <c r="G20" i="10"/>
  <c r="G26" i="10"/>
  <c r="G61" i="12"/>
  <c r="G25" i="10"/>
  <c r="G21" i="10"/>
  <c r="G33" i="10"/>
  <c r="G46" i="10" s="1"/>
  <c r="G73" i="10"/>
  <c r="G99" i="10" s="1"/>
  <c r="G112" i="10" s="1"/>
  <c r="G70" i="10"/>
  <c r="G96" i="10" s="1"/>
  <c r="K16" i="11" s="1"/>
  <c r="C55" i="12"/>
  <c r="G58" i="10"/>
  <c r="G88" i="10"/>
  <c r="G59" i="10"/>
  <c r="C56" i="12"/>
  <c r="G7" i="10"/>
  <c r="G72" i="10" s="1"/>
  <c r="C57" i="12"/>
  <c r="G60" i="10"/>
  <c r="C61" i="12"/>
  <c r="G38" i="10"/>
  <c r="G51" i="10" s="1"/>
  <c r="G4" i="10"/>
  <c r="G69" i="10" s="1"/>
  <c r="C53" i="12"/>
  <c r="G56" i="10"/>
  <c r="G12" i="10"/>
  <c r="G77" i="10" s="1"/>
  <c r="G103" i="10" s="1"/>
  <c r="G116" i="10" s="1"/>
  <c r="C58" i="12"/>
  <c r="G35" i="10"/>
  <c r="G48" i="10" s="1"/>
  <c r="G9" i="10"/>
  <c r="G74" i="10" s="1"/>
  <c r="G100" i="10" s="1"/>
  <c r="G113" i="10" s="1"/>
  <c r="G62" i="10"/>
  <c r="C59" i="12"/>
  <c r="G63" i="10"/>
  <c r="G11" i="10"/>
  <c r="G76" i="10" s="1"/>
  <c r="G102" i="10" s="1"/>
  <c r="G115" i="10" s="1"/>
  <c r="C60" i="12"/>
  <c r="G65" i="10"/>
  <c r="G13" i="10"/>
  <c r="G78" i="10" s="1"/>
  <c r="G104" i="10" s="1"/>
  <c r="K24" i="11" s="1"/>
  <c r="C62" i="12"/>
  <c r="G39" i="10"/>
  <c r="G52" i="10" s="1"/>
  <c r="G64" i="10"/>
  <c r="G31" i="10"/>
  <c r="G44" i="10" s="1"/>
  <c r="C54" i="12"/>
  <c r="M7" i="13"/>
  <c r="F73" i="10"/>
  <c r="F99" i="10" s="1"/>
  <c r="J19" i="11" s="1"/>
  <c r="F32" i="10"/>
  <c r="F45" i="10" s="1"/>
  <c r="F7" i="10"/>
  <c r="F72" i="10" s="1"/>
  <c r="F98" i="10" s="1"/>
  <c r="J18" i="11" s="1"/>
  <c r="C46" i="12"/>
  <c r="F11" i="10"/>
  <c r="F76" i="10" s="1"/>
  <c r="F102" i="10" s="1"/>
  <c r="C50" i="12"/>
  <c r="F12" i="10"/>
  <c r="F77" i="10" s="1"/>
  <c r="F103" i="10" s="1"/>
  <c r="J23" i="11" s="1"/>
  <c r="C51" i="12"/>
  <c r="C47" i="12"/>
  <c r="D7" i="13" s="1" a="1"/>
  <c r="D7" i="13" s="1"/>
  <c r="C45" i="12"/>
  <c r="F6" i="10"/>
  <c r="F71" i="10" s="1"/>
  <c r="F97" i="10" s="1"/>
  <c r="F4" i="10"/>
  <c r="F69" i="10" s="1"/>
  <c r="F95" i="10" s="1"/>
  <c r="J15" i="11" s="1"/>
  <c r="F5" i="10"/>
  <c r="F70" i="10" s="1"/>
  <c r="F96" i="10" s="1"/>
  <c r="J16" i="11" s="1"/>
  <c r="C44" i="12"/>
  <c r="F13" i="10"/>
  <c r="F78" i="10" s="1"/>
  <c r="F104" i="10" s="1"/>
  <c r="J24" i="11" s="1"/>
  <c r="C48" i="12"/>
  <c r="F9" i="10"/>
  <c r="F74" i="10" s="1"/>
  <c r="F100" i="10" s="1"/>
  <c r="J20" i="11" s="1"/>
  <c r="K21" i="11"/>
  <c r="E26" i="10"/>
  <c r="M3" i="13"/>
  <c r="G25" i="12"/>
  <c r="D24" i="10"/>
  <c r="D64" i="10"/>
  <c r="D22" i="10"/>
  <c r="D23" i="10"/>
  <c r="F29" i="12"/>
  <c r="D49" i="10"/>
  <c r="D20" i="10"/>
  <c r="F31" i="12"/>
  <c r="D25" i="10"/>
  <c r="D17" i="10"/>
  <c r="D46" i="10"/>
  <c r="D4" i="10"/>
  <c r="D69" i="10" s="1"/>
  <c r="D95" i="10" s="1"/>
  <c r="D26" i="10"/>
  <c r="F32" i="12"/>
  <c r="D9" i="10"/>
  <c r="D74" i="10" s="1"/>
  <c r="D100" i="10" s="1"/>
  <c r="D113" i="10" s="1"/>
  <c r="D21" i="10"/>
  <c r="F27" i="12"/>
  <c r="D58" i="10"/>
  <c r="D7" i="10"/>
  <c r="D72" i="10" s="1"/>
  <c r="D8" i="10"/>
  <c r="D73" i="10" s="1"/>
  <c r="D6" i="10"/>
  <c r="D71" i="10" s="1"/>
  <c r="C25" i="12"/>
  <c r="C26" i="12"/>
  <c r="D11" i="13" s="1" a="1"/>
  <c r="D11" i="13" s="1"/>
  <c r="L11" i="13" s="1"/>
  <c r="D59" i="10"/>
  <c r="D63" i="10"/>
  <c r="C30" i="12"/>
  <c r="D38" i="10"/>
  <c r="D51" i="10" s="1"/>
  <c r="C31" i="12"/>
  <c r="D12" i="10"/>
  <c r="D77" i="10" s="1"/>
  <c r="D62" i="10"/>
  <c r="D30" i="10"/>
  <c r="D43" i="10" s="1"/>
  <c r="C23" i="12"/>
  <c r="D56" i="10"/>
  <c r="D10" i="10"/>
  <c r="D75" i="10" s="1"/>
  <c r="C29" i="12"/>
  <c r="D34" i="10"/>
  <c r="D47" i="10" s="1"/>
  <c r="C27" i="12"/>
  <c r="D37" i="10"/>
  <c r="D50" i="10" s="1"/>
  <c r="D61" i="10"/>
  <c r="C28" i="12"/>
  <c r="D35" i="10"/>
  <c r="D48" i="10" s="1"/>
  <c r="D11" i="10"/>
  <c r="D76" i="10" s="1"/>
  <c r="D65" i="10"/>
  <c r="D39" i="10"/>
  <c r="D52" i="10" s="1"/>
  <c r="C32" i="12"/>
  <c r="D5" i="10"/>
  <c r="D70" i="10" s="1"/>
  <c r="D57" i="10"/>
  <c r="C24" i="12"/>
  <c r="D31" i="10"/>
  <c r="D44" i="10" s="1"/>
  <c r="C61" i="10"/>
  <c r="G20" i="12"/>
  <c r="C33" i="10"/>
  <c r="C46" i="10" s="1"/>
  <c r="C34" i="10"/>
  <c r="C47" i="10" s="1"/>
  <c r="C37" i="10"/>
  <c r="C50" i="10" s="1"/>
  <c r="C38" i="10"/>
  <c r="C51" i="10" s="1"/>
  <c r="C65" i="10"/>
  <c r="C74" i="10"/>
  <c r="C100" i="10" s="1"/>
  <c r="C59" i="10"/>
  <c r="C58" i="10"/>
  <c r="C15" i="12"/>
  <c r="C17" i="12"/>
  <c r="C60" i="10"/>
  <c r="C35" i="10"/>
  <c r="C48" i="10" s="1"/>
  <c r="C18" i="12"/>
  <c r="C62" i="10"/>
  <c r="C19" i="12"/>
  <c r="C36" i="10"/>
  <c r="C49" i="10" s="1"/>
  <c r="C22" i="12"/>
  <c r="C39" i="10"/>
  <c r="C52" i="10" s="1"/>
  <c r="C56" i="10"/>
  <c r="C30" i="10"/>
  <c r="C43" i="10" s="1"/>
  <c r="C13" i="12"/>
  <c r="C16" i="12"/>
  <c r="C32" i="10"/>
  <c r="C45" i="10" s="1"/>
  <c r="C21" i="12"/>
  <c r="C64" i="10"/>
  <c r="C14" i="12"/>
  <c r="C57" i="10"/>
  <c r="C44" i="10"/>
  <c r="G8" i="12"/>
  <c r="G4" i="12"/>
  <c r="B22" i="10"/>
  <c r="B36" i="10"/>
  <c r="B49" i="10" s="1"/>
  <c r="B25" i="10"/>
  <c r="G12" i="12"/>
  <c r="B31" i="10"/>
  <c r="B44" i="10" s="1"/>
  <c r="B32" i="10"/>
  <c r="B45" i="10" s="1"/>
  <c r="B37" i="10"/>
  <c r="B50" i="10" s="1"/>
  <c r="G3" i="12"/>
  <c r="B17" i="10"/>
  <c r="B39" i="10"/>
  <c r="B52" i="10" s="1"/>
  <c r="G5" i="12"/>
  <c r="B23" i="10"/>
  <c r="G9" i="12"/>
  <c r="B24" i="10"/>
  <c r="G10" i="12"/>
  <c r="B21" i="10"/>
  <c r="G6" i="12"/>
  <c r="B20" i="10"/>
  <c r="B73" i="10"/>
  <c r="B99" i="10" s="1"/>
  <c r="B112" i="10" s="1"/>
  <c r="B77" i="10"/>
  <c r="B13" i="10"/>
  <c r="B78" i="10" s="1"/>
  <c r="B91" i="10" s="1"/>
  <c r="B65" i="10"/>
  <c r="B30" i="10"/>
  <c r="B43" i="10" s="1"/>
  <c r="C3" i="12"/>
  <c r="B56" i="10"/>
  <c r="B6" i="10"/>
  <c r="B71" i="10" s="1"/>
  <c r="B97" i="10" s="1"/>
  <c r="B62" i="10"/>
  <c r="C9" i="12"/>
  <c r="B7" i="10"/>
  <c r="B72" i="10" s="1"/>
  <c r="C6" i="12"/>
  <c r="B33" i="10"/>
  <c r="B46" i="10" s="1"/>
  <c r="B10" i="10"/>
  <c r="B75" i="10" s="1"/>
  <c r="B101" i="10" s="1"/>
  <c r="B114" i="10" s="1"/>
  <c r="B58" i="10"/>
  <c r="C5" i="12"/>
  <c r="B4" i="10"/>
  <c r="B69" i="10" s="1"/>
  <c r="B95" i="10" s="1"/>
  <c r="B11" i="10"/>
  <c r="B76" i="10" s="1"/>
  <c r="C10" i="12"/>
  <c r="B63" i="10"/>
  <c r="B64" i="10"/>
  <c r="C7" i="12"/>
  <c r="B60" i="10"/>
  <c r="B34" i="10"/>
  <c r="B47" i="10" s="1"/>
  <c r="B9" i="10"/>
  <c r="B74" i="10" s="1"/>
  <c r="B61" i="10"/>
  <c r="B38" i="10"/>
  <c r="B51" i="10" s="1"/>
  <c r="C11" i="12"/>
  <c r="B5" i="10"/>
  <c r="B70" i="10" s="1"/>
  <c r="B57" i="10"/>
  <c r="H31" i="10"/>
  <c r="H44" i="10" s="1"/>
  <c r="H13" i="10"/>
  <c r="H78" i="10" s="1"/>
  <c r="H104" i="10" s="1"/>
  <c r="H117" i="10" s="1"/>
  <c r="H57" i="10"/>
  <c r="G33" i="12"/>
  <c r="H4" i="10"/>
  <c r="H69" i="10" s="1"/>
  <c r="H95" i="10" s="1"/>
  <c r="C63" i="12"/>
  <c r="H64" i="10"/>
  <c r="C72" i="12"/>
  <c r="C64" i="12"/>
  <c r="H18" i="10"/>
  <c r="H83" i="10" s="1"/>
  <c r="F64" i="12"/>
  <c r="H24" i="10"/>
  <c r="F70" i="12"/>
  <c r="H96" i="10"/>
  <c r="L16" i="11" s="1"/>
  <c r="F69" i="12"/>
  <c r="H23" i="10"/>
  <c r="H19" i="10"/>
  <c r="F65" i="12"/>
  <c r="H26" i="10"/>
  <c r="F72" i="12"/>
  <c r="H22" i="10"/>
  <c r="F68" i="12"/>
  <c r="G15" i="13" s="1" a="1"/>
  <c r="G15" i="13" s="1"/>
  <c r="C17" i="10"/>
  <c r="F13" i="12"/>
  <c r="C69" i="10"/>
  <c r="C24" i="10"/>
  <c r="F20" i="12"/>
  <c r="C11" i="10"/>
  <c r="C76" i="10" s="1"/>
  <c r="F17" i="12"/>
  <c r="C8" i="10"/>
  <c r="C73" i="10" s="1"/>
  <c r="C21" i="10"/>
  <c r="C13" i="10"/>
  <c r="C78" i="10" s="1"/>
  <c r="F22" i="12"/>
  <c r="C26" i="10"/>
  <c r="C10" i="10"/>
  <c r="C75" i="10" s="1"/>
  <c r="F19" i="12"/>
  <c r="C23" i="10"/>
  <c r="C6" i="10"/>
  <c r="C71" i="10" s="1"/>
  <c r="F15" i="12"/>
  <c r="C19" i="10"/>
  <c r="C7" i="10"/>
  <c r="C72" i="10" s="1"/>
  <c r="C20" i="10"/>
  <c r="F16" i="12"/>
  <c r="C5" i="10"/>
  <c r="C70" i="10" s="1"/>
  <c r="F14" i="12"/>
  <c r="C18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C71" i="12"/>
  <c r="H39" i="10"/>
  <c r="H52" i="10" s="1"/>
  <c r="H56" i="10"/>
  <c r="H86" i="10"/>
  <c r="H99" i="10"/>
  <c r="H63" i="10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61" i="10"/>
  <c r="I61" i="10" s="1"/>
  <c r="F35" i="10"/>
  <c r="F48" i="10" s="1"/>
  <c r="F22" i="10"/>
  <c r="G48" i="12"/>
  <c r="F33" i="10"/>
  <c r="F46" i="10" s="1"/>
  <c r="F59" i="10"/>
  <c r="F20" i="10"/>
  <c r="G46" i="12"/>
  <c r="F34" i="10"/>
  <c r="F47" i="10" s="1"/>
  <c r="F60" i="10"/>
  <c r="F21" i="10"/>
  <c r="G47" i="12"/>
  <c r="H7" i="13" s="1" a="1"/>
  <c r="H7" i="13" s="1"/>
  <c r="F62" i="10"/>
  <c r="F36" i="10"/>
  <c r="F49" i="10" s="1"/>
  <c r="F23" i="10"/>
  <c r="G49" i="12"/>
  <c r="F64" i="10"/>
  <c r="F38" i="10"/>
  <c r="F51" i="10" s="1"/>
  <c r="G51" i="12"/>
  <c r="F25" i="10"/>
  <c r="G43" i="12"/>
  <c r="F56" i="10"/>
  <c r="F30" i="10"/>
  <c r="F43" i="10" s="1"/>
  <c r="F17" i="10"/>
  <c r="F39" i="10"/>
  <c r="F52" i="10" s="1"/>
  <c r="F65" i="10"/>
  <c r="F26" i="10"/>
  <c r="G52" i="12"/>
  <c r="F18" i="10"/>
  <c r="G44" i="12"/>
  <c r="F31" i="10"/>
  <c r="F44" i="10" s="1"/>
  <c r="F57" i="10"/>
  <c r="D28" i="12"/>
  <c r="D31" i="12"/>
  <c r="D29" i="12"/>
  <c r="D25" i="12"/>
  <c r="D26" i="12"/>
  <c r="E11" i="13" s="1" a="1"/>
  <c r="E11" i="13" s="1"/>
  <c r="M11" i="13" s="1"/>
  <c r="D78" i="10"/>
  <c r="D32" i="12"/>
  <c r="D24" i="12"/>
  <c r="E73" i="10"/>
  <c r="E86" i="10" s="1"/>
  <c r="E76" i="10"/>
  <c r="E102" i="10" s="1"/>
  <c r="E115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I58" i="10" s="1"/>
  <c r="E32" i="10"/>
  <c r="E45" i="10" s="1"/>
  <c r="C35" i="12"/>
  <c r="D3" i="13" s="1" a="1"/>
  <c r="D3" i="13" s="1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I63" i="10" l="1"/>
  <c r="I65" i="10"/>
  <c r="I60" i="10"/>
  <c r="I64" i="10"/>
  <c r="I57" i="10"/>
  <c r="I56" i="10"/>
  <c r="I59" i="10"/>
  <c r="I62" i="10"/>
  <c r="C87" i="10"/>
  <c r="I69" i="10"/>
  <c r="K17" i="11"/>
  <c r="G84" i="10"/>
  <c r="F83" i="10"/>
  <c r="H90" i="10"/>
  <c r="H116" i="10"/>
  <c r="L24" i="11"/>
  <c r="H91" i="10"/>
  <c r="G85" i="10"/>
  <c r="N7" i="13"/>
  <c r="Q7" i="13" s="1"/>
  <c r="K19" i="11"/>
  <c r="G109" i="10"/>
  <c r="G90" i="10"/>
  <c r="G83" i="10"/>
  <c r="G86" i="10"/>
  <c r="K22" i="11"/>
  <c r="G91" i="10"/>
  <c r="K20" i="11"/>
  <c r="G87" i="10"/>
  <c r="G89" i="10"/>
  <c r="G117" i="10"/>
  <c r="K23" i="11"/>
  <c r="G98" i="10"/>
  <c r="G111" i="10" s="1"/>
  <c r="G82" i="10"/>
  <c r="G95" i="10"/>
  <c r="F88" i="10"/>
  <c r="F114" i="10"/>
  <c r="F117" i="10"/>
  <c r="F109" i="10"/>
  <c r="F90" i="10"/>
  <c r="F86" i="10"/>
  <c r="F112" i="10"/>
  <c r="F85" i="10"/>
  <c r="L7" i="13"/>
  <c r="P7" i="13" s="1"/>
  <c r="F82" i="10"/>
  <c r="F116" i="10"/>
  <c r="F111" i="10"/>
  <c r="F108" i="10"/>
  <c r="F91" i="10"/>
  <c r="F110" i="10"/>
  <c r="J17" i="11"/>
  <c r="F87" i="10"/>
  <c r="F84" i="10"/>
  <c r="F89" i="10"/>
  <c r="F113" i="10"/>
  <c r="F115" i="10"/>
  <c r="J22" i="11"/>
  <c r="D89" i="10"/>
  <c r="D90" i="10"/>
  <c r="D82" i="10"/>
  <c r="D102" i="10"/>
  <c r="D115" i="10" s="1"/>
  <c r="D86" i="10"/>
  <c r="D99" i="10"/>
  <c r="D112" i="10" s="1"/>
  <c r="D87" i="10"/>
  <c r="N11" i="13"/>
  <c r="O11" i="13" s="1"/>
  <c r="R11" i="13" s="1"/>
  <c r="D103" i="10"/>
  <c r="D116" i="10" s="1"/>
  <c r="B90" i="10"/>
  <c r="B103" i="10"/>
  <c r="F23" i="11" s="1"/>
  <c r="B86" i="10"/>
  <c r="B82" i="10"/>
  <c r="B104" i="10"/>
  <c r="B117" i="10" s="1"/>
  <c r="B84" i="10"/>
  <c r="B85" i="10"/>
  <c r="B98" i="10"/>
  <c r="F21" i="11"/>
  <c r="B102" i="10"/>
  <c r="B89" i="10"/>
  <c r="B88" i="10"/>
  <c r="B100" i="10"/>
  <c r="B87" i="10"/>
  <c r="B108" i="10"/>
  <c r="F15" i="11"/>
  <c r="F17" i="11"/>
  <c r="B110" i="10"/>
  <c r="B96" i="10"/>
  <c r="B83" i="10"/>
  <c r="F19" i="11"/>
  <c r="H82" i="10"/>
  <c r="H20" i="11"/>
  <c r="H109" i="10"/>
  <c r="C96" i="10"/>
  <c r="C83" i="10"/>
  <c r="C84" i="10"/>
  <c r="C97" i="10"/>
  <c r="C91" i="10"/>
  <c r="C104" i="10"/>
  <c r="C89" i="10"/>
  <c r="C102" i="10"/>
  <c r="C86" i="10"/>
  <c r="C99" i="10"/>
  <c r="C88" i="10"/>
  <c r="C101" i="10"/>
  <c r="C82" i="10"/>
  <c r="C95" i="10"/>
  <c r="C85" i="10"/>
  <c r="C98" i="10"/>
  <c r="C90" i="10"/>
  <c r="C103" i="10"/>
  <c r="G20" i="11"/>
  <c r="C113" i="10"/>
  <c r="H89" i="10"/>
  <c r="H102" i="10"/>
  <c r="H87" i="10"/>
  <c r="H100" i="10"/>
  <c r="N15" i="13"/>
  <c r="H108" i="10"/>
  <c r="L15" i="11"/>
  <c r="H84" i="10"/>
  <c r="H97" i="10"/>
  <c r="H112" i="10"/>
  <c r="L19" i="11"/>
  <c r="H88" i="10"/>
  <c r="H101" i="10"/>
  <c r="H85" i="10"/>
  <c r="H98" i="10"/>
  <c r="D84" i="10"/>
  <c r="D97" i="10"/>
  <c r="D110" i="10" s="1"/>
  <c r="D88" i="10"/>
  <c r="D101" i="10"/>
  <c r="D114" i="10" s="1"/>
  <c r="D85" i="10"/>
  <c r="D98" i="10"/>
  <c r="D111" i="10" s="1"/>
  <c r="P11" i="13"/>
  <c r="D108" i="10"/>
  <c r="H15" i="11"/>
  <c r="D83" i="10"/>
  <c r="D96" i="10"/>
  <c r="D91" i="10"/>
  <c r="D104" i="10"/>
  <c r="D117" i="10" s="1"/>
  <c r="E89" i="10"/>
  <c r="E99" i="10"/>
  <c r="E112" i="10" s="1"/>
  <c r="I76" i="10"/>
  <c r="I73" i="10"/>
  <c r="E84" i="10"/>
  <c r="E97" i="10"/>
  <c r="E110" i="10" s="1"/>
  <c r="I71" i="10"/>
  <c r="I70" i="10"/>
  <c r="E96" i="10"/>
  <c r="E83" i="10"/>
  <c r="N3" i="13"/>
  <c r="L3" i="13"/>
  <c r="P3" i="13" s="1"/>
  <c r="I22" i="11"/>
  <c r="E85" i="10"/>
  <c r="E98" i="10"/>
  <c r="E111" i="10" s="1"/>
  <c r="I72" i="10"/>
  <c r="E88" i="10"/>
  <c r="E101" i="10"/>
  <c r="E114" i="10" s="1"/>
  <c r="I75" i="10"/>
  <c r="E90" i="10"/>
  <c r="I77" i="10"/>
  <c r="E103" i="10"/>
  <c r="E116" i="10" s="1"/>
  <c r="E95" i="10"/>
  <c r="E82" i="10"/>
  <c r="E87" i="10"/>
  <c r="I74" i="10"/>
  <c r="E100" i="10"/>
  <c r="E113" i="10" s="1"/>
  <c r="E91" i="10"/>
  <c r="I78" i="10"/>
  <c r="E104" i="10"/>
  <c r="E117" i="10" s="1"/>
  <c r="I82" i="10" l="1"/>
  <c r="O7" i="13"/>
  <c r="R7" i="13" s="1"/>
  <c r="K18" i="11"/>
  <c r="K15" i="11"/>
  <c r="G108" i="10"/>
  <c r="H22" i="11"/>
  <c r="I86" i="10"/>
  <c r="H19" i="11"/>
  <c r="Q11" i="13"/>
  <c r="H23" i="11"/>
  <c r="F24" i="11"/>
  <c r="B116" i="10"/>
  <c r="B111" i="10"/>
  <c r="F18" i="11"/>
  <c r="B113" i="10"/>
  <c r="F20" i="11"/>
  <c r="F16" i="11"/>
  <c r="B109" i="10"/>
  <c r="B115" i="10"/>
  <c r="F22" i="11"/>
  <c r="I90" i="10"/>
  <c r="C111" i="10"/>
  <c r="G18" i="11"/>
  <c r="C115" i="10"/>
  <c r="G22" i="11"/>
  <c r="G21" i="11"/>
  <c r="C114" i="10"/>
  <c r="C110" i="10"/>
  <c r="G17" i="11"/>
  <c r="G15" i="11"/>
  <c r="C108" i="10"/>
  <c r="C117" i="10"/>
  <c r="G24" i="11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M15" i="11" l="1"/>
  <c r="M23" i="11"/>
  <c r="M22" i="11"/>
  <c r="M19" i="11"/>
  <c r="M16" i="11"/>
  <c r="M20" i="11"/>
  <c r="M18" i="11"/>
  <c r="M17" i="11"/>
  <c r="M21" i="11"/>
  <c r="M24" i="11"/>
  <c r="R3" i="13"/>
  <c r="O17" i="13"/>
</calcChain>
</file>

<file path=xl/sharedStrings.xml><?xml version="1.0" encoding="utf-8"?>
<sst xmlns="http://schemas.openxmlformats.org/spreadsheetml/2006/main" count="1128" uniqueCount="407">
  <si>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</si>
  <si>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</si>
  <si>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</si>
  <si>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</si>
  <si>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</si>
  <si>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</si>
  <si>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</si>
  <si>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</si>
  <si>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</si>
  <si>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</si>
  <si>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</si>
  <si>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</si>
  <si>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</si>
  <si>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</si>
  <si>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</si>
  <si>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</si>
  <si>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</si>
  <si>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</si>
  <si>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</si>
  <si>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</si>
  <si>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</si>
  <si>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</si>
  <si>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</si>
  <si>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</si>
  <si>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</si>
  <si>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</si>
  <si>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</si>
  <si>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</si>
  <si>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</si>
  <si>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</si>
  <si>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</si>
  <si>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</si>
  <si>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</si>
  <si>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</si>
  <si>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</si>
  <si>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</si>
  <si>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</si>
  <si>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</si>
  <si>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</si>
  <si>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</si>
  <si>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</si>
  <si>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</si>
  <si>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</si>
  <si>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</si>
  <si>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</si>
  <si>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</si>
  <si>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</si>
  <si>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</si>
  <si>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</si>
  <si>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</si>
  <si>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</si>
  <si>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</si>
  <si>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</si>
  <si>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</si>
  <si>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</si>
  <si>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</si>
  <si>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</si>
  <si>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</si>
  <si>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</si>
  <si>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</si>
  <si>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</si>
  <si>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</si>
  <si>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</si>
  <si>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</si>
  <si>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</si>
  <si>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</si>
  <si>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</si>
  <si>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</si>
  <si>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</si>
  <si>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</si>
  <si>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</si>
  <si>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</si>
  <si>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</si>
  <si>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</si>
  <si>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</si>
  <si>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</si>
  <si>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</si>
  <si>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</si>
  <si>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</si>
  <si>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</si>
  <si>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</si>
  <si>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</si>
  <si>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</si>
  <si>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</si>
  <si>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</si>
  <si>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</si>
  <si>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</si>
  <si>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</si>
  <si>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</si>
  <si>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</si>
  <si>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</si>
  <si>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</si>
  <si>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</si>
  <si>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</si>
  <si>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</si>
  <si>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</si>
  <si>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</si>
  <si>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</si>
  <si>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</si>
  <si>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</si>
  <si>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</si>
  <si>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</si>
  <si>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</si>
  <si>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</si>
  <si>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</si>
  <si>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</si>
  <si>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</si>
  <si>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</si>
  <si>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</si>
  <si>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</si>
  <si>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</si>
  <si>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</si>
  <si>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</si>
  <si>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</si>
  <si>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</si>
  <si>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</si>
  <si>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</si>
  <si>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</si>
  <si>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</si>
  <si>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</si>
  <si>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</si>
  <si>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</si>
  <si>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</si>
  <si>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</si>
  <si>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</si>
  <si>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</si>
  <si>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</si>
  <si>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</si>
  <si>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</si>
  <si>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</si>
  <si>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</si>
  <si>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</si>
  <si>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</si>
  <si>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</si>
  <si>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</si>
  <si>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</si>
  <si>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</si>
  <si>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</si>
  <si>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</si>
  <si>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</si>
  <si>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</si>
  <si>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</si>
  <si>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</si>
  <si>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</si>
  <si>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</si>
  <si>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</si>
  <si>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</si>
  <si>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</si>
  <si>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</si>
  <si>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</si>
  <si>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</si>
  <si>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</si>
  <si>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</si>
  <si>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</si>
  <si>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</si>
  <si>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</si>
  <si>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</si>
  <si>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</si>
  <si>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</si>
  <si>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</si>
  <si>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</si>
  <si>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</si>
  <si>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</si>
  <si>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</si>
  <si>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</si>
  <si>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</si>
  <si>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</si>
  <si>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</si>
  <si>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</si>
  <si>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</si>
  <si>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</si>
  <si>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</si>
  <si>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</si>
  <si>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</si>
  <si>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</si>
  <si>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</si>
  <si>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</si>
  <si>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</si>
  <si>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</si>
  <si>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</si>
  <si>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</si>
  <si>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</si>
  <si>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</si>
  <si>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</si>
  <si>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</si>
  <si>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</si>
  <si>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</si>
  <si>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</si>
  <si>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</si>
  <si>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</si>
  <si>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</si>
  <si>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RADIATOR</t>
  </si>
  <si>
    <t>central overheat limi</t>
  </si>
  <si>
    <t>value</t>
  </si>
  <si>
    <t>hull armor</t>
  </si>
  <si>
    <t>(itemLvl-1)/(maxLvl-1)</t>
  </si>
  <si>
    <t>hull overheat limit</t>
  </si>
  <si>
    <t>cooling rate inc%</t>
  </si>
  <si>
    <t>hull armor dmg reduction %</t>
  </si>
  <si>
    <t>ARMOR PLATING</t>
  </si>
  <si>
    <t>Mission reward (low)</t>
  </si>
  <si>
    <t>Mission reward (med)</t>
  </si>
  <si>
    <t>Mission reward (high)</t>
  </si>
  <si>
    <t>Average low loot</t>
  </si>
  <si>
    <t>Average med loot</t>
  </si>
  <si>
    <t>Average high loot</t>
  </si>
  <si>
    <t>Average repair cost</t>
  </si>
  <si>
    <t>Average ammo resupply</t>
  </si>
  <si>
    <t>Reward</t>
  </si>
  <si>
    <t>Loot</t>
  </si>
  <si>
    <t>Low</t>
  </si>
  <si>
    <t>Med</t>
  </si>
  <si>
    <t>High</t>
  </si>
  <si>
    <t>MISSION</t>
  </si>
  <si>
    <t>REWARD</t>
  </si>
  <si>
    <t>LOOT</t>
  </si>
  <si>
    <t>Retrieve Cargo</t>
  </si>
  <si>
    <t>Retrieve Data</t>
  </si>
  <si>
    <t>Retrieve Prototype</t>
  </si>
  <si>
    <t>Derelict Vessel</t>
  </si>
  <si>
    <t>Cleaning Mission</t>
  </si>
  <si>
    <t>Fate of the Vessel</t>
  </si>
  <si>
    <t>Rogue AI</t>
  </si>
  <si>
    <t>RND LOOT</t>
  </si>
  <si>
    <t>MILITARY LOOT</t>
  </si>
  <si>
    <t>EXQ LOOT</t>
  </si>
  <si>
    <t>Mission reward (very high)</t>
  </si>
  <si>
    <t>Very high</t>
  </si>
  <si>
    <t>TIER</t>
  </si>
  <si>
    <t>TRAVEL TIME</t>
  </si>
  <si>
    <t>ALIENS</t>
  </si>
  <si>
    <t>DEFENCES</t>
  </si>
  <si>
    <t>POWER</t>
  </si>
  <si>
    <t>ALLOW BOTH</t>
  </si>
  <si>
    <t>1-4</t>
  </si>
  <si>
    <t>1-3</t>
  </si>
  <si>
    <t>0-3</t>
  </si>
  <si>
    <t>0-2</t>
  </si>
  <si>
    <t>2-3</t>
  </si>
  <si>
    <t>0</t>
  </si>
  <si>
    <t>1-2</t>
  </si>
  <si>
    <t>3</t>
  </si>
  <si>
    <t>0-1</t>
  </si>
  <si>
    <t>1</t>
  </si>
  <si>
    <t>2</t>
  </si>
  <si>
    <t>EXPIRES</t>
  </si>
  <si>
    <t>4-8</t>
  </si>
  <si>
    <t>2-7</t>
  </si>
  <si>
    <t>3-8</t>
  </si>
  <si>
    <t>6-8</t>
  </si>
  <si>
    <t>8-12</t>
  </si>
  <si>
    <t>4-10</t>
  </si>
  <si>
    <t>8-14</t>
  </si>
  <si>
    <t>6-12</t>
  </si>
  <si>
    <t>Quest items</t>
  </si>
  <si>
    <t>Weapons lvl 10</t>
  </si>
  <si>
    <t>Utilities lvl 10</t>
  </si>
  <si>
    <t>Weapons</t>
  </si>
  <si>
    <t>Utilities</t>
  </si>
  <si>
    <t>Ammo</t>
  </si>
  <si>
    <t>Merchandise</t>
  </si>
  <si>
    <t>Advanced Tech</t>
  </si>
  <si>
    <t>Shady Goods</t>
  </si>
  <si>
    <t>Trade Goods</t>
  </si>
  <si>
    <t>Hi-tech Components</t>
  </si>
  <si>
    <t>EW Components</t>
  </si>
  <si>
    <t>Military Alloys</t>
  </si>
  <si>
    <t>Alien Artifact (lvl 10 vendor loot)</t>
  </si>
  <si>
    <t>Exquisite Goods (lvl 10 vendor loot)</t>
  </si>
  <si>
    <t>value min</t>
  </si>
  <si>
    <t>value max</t>
  </si>
  <si>
    <t>type</t>
  </si>
  <si>
    <t>loot</t>
  </si>
  <si>
    <t>utility</t>
  </si>
  <si>
    <t>ammo</t>
  </si>
  <si>
    <t>Radar</t>
  </si>
  <si>
    <t>Heat Sink</t>
  </si>
  <si>
    <t>Armor Plating</t>
  </si>
  <si>
    <t>Aim Computer</t>
  </si>
  <si>
    <t>Radiator</t>
  </si>
  <si>
    <t>Navigator</t>
  </si>
  <si>
    <t>Hydraulic Booster</t>
  </si>
  <si>
    <t>Hacking Unit</t>
  </si>
  <si>
    <t>HACKING UNIT</t>
  </si>
  <si>
    <t>hacking</t>
  </si>
  <si>
    <t>Basic Slug</t>
  </si>
  <si>
    <t>Light Slug</t>
  </si>
  <si>
    <t>Heavy Slug</t>
  </si>
  <si>
    <t>Scatter shot</t>
  </si>
  <si>
    <t>Light missile</t>
  </si>
  <si>
    <t>Scrap</t>
  </si>
  <si>
    <t>Spare Parts</t>
  </si>
  <si>
    <t>Industrial Wares</t>
  </si>
  <si>
    <t>Military Wares</t>
  </si>
  <si>
    <t>Supplies</t>
  </si>
  <si>
    <t>weps</t>
  </si>
  <si>
    <t>utis</t>
  </si>
  <si>
    <t>scrap</t>
  </si>
  <si>
    <t>spare parts</t>
  </si>
  <si>
    <t>supplies</t>
  </si>
  <si>
    <t>trade goods</t>
  </si>
  <si>
    <t>industrial wares</t>
  </si>
  <si>
    <t>hi-tech</t>
  </si>
  <si>
    <t>military alloys</t>
  </si>
  <si>
    <t>advanced tech</t>
  </si>
  <si>
    <t>shady goods</t>
  </si>
  <si>
    <t>merchandise</t>
  </si>
  <si>
    <t>ew components</t>
  </si>
  <si>
    <t>military tech</t>
  </si>
  <si>
    <t>military wares</t>
  </si>
  <si>
    <t>OPTIONS</t>
  </si>
  <si>
    <t>Music</t>
  </si>
  <si>
    <t>on / off</t>
  </si>
  <si>
    <t>Sound effects</t>
  </si>
  <si>
    <t>Rotating view</t>
  </si>
  <si>
    <t>Skip shooting animations</t>
  </si>
  <si>
    <t xml:space="preserve">Skip walking animations </t>
  </si>
  <si>
    <t>Turn the background music on / off</t>
  </si>
  <si>
    <t>Turn other sound effects (shooting, enemy sounds etc) on / off</t>
  </si>
  <si>
    <t>Turn walking animations and head bobbing on / off</t>
  </si>
  <si>
    <t>The camera does not automatically rotate inside the cockpit (press hotkey to enable rotating)</t>
  </si>
  <si>
    <t>Turn shooting animations and enemy taking damage animations on / off</t>
  </si>
  <si>
    <t>CONTROLS</t>
  </si>
  <si>
    <t>W</t>
  </si>
  <si>
    <t>Forward</t>
  </si>
  <si>
    <t>Backward</t>
  </si>
  <si>
    <t>Strafe left</t>
  </si>
  <si>
    <t>Strafe right</t>
  </si>
  <si>
    <t>Rotate left</t>
  </si>
  <si>
    <t>Rotate right</t>
  </si>
  <si>
    <t>Interact</t>
  </si>
  <si>
    <t>Targetting mode</t>
  </si>
  <si>
    <t>Inventory</t>
  </si>
  <si>
    <t>Log</t>
  </si>
  <si>
    <t>Flashlight</t>
  </si>
  <si>
    <t>S</t>
  </si>
  <si>
    <t>D</t>
  </si>
  <si>
    <t>Q</t>
  </si>
  <si>
    <t>E</t>
  </si>
  <si>
    <t>Space</t>
  </si>
  <si>
    <t>TAB</t>
  </si>
  <si>
    <t>T</t>
  </si>
  <si>
    <t>I</t>
  </si>
  <si>
    <t>L</t>
  </si>
  <si>
    <t>F</t>
  </si>
  <si>
    <t>Rotating cockpit view</t>
  </si>
  <si>
    <t>Shift</t>
  </si>
  <si>
    <t>Disperse Heat</t>
  </si>
  <si>
    <t>R</t>
  </si>
  <si>
    <t>Select Weapon 1</t>
  </si>
  <si>
    <t>Select Weapon 2</t>
  </si>
  <si>
    <t>Select Weapon 3</t>
  </si>
  <si>
    <t>Select Weapon 4</t>
  </si>
  <si>
    <t>Primary</t>
  </si>
  <si>
    <t>Secondary</t>
  </si>
  <si>
    <t>Save Game</t>
  </si>
  <si>
    <t>F5</t>
  </si>
  <si>
    <t>Toggle No Animations Mode</t>
  </si>
  <si>
    <t>TOTAL REWARD</t>
  </si>
  <si>
    <t>DEBT</t>
  </si>
  <si>
    <t>IGNORE</t>
  </si>
  <si>
    <t>Average missions / month</t>
  </si>
  <si>
    <t>CUT</t>
  </si>
  <si>
    <t>INTEREST</t>
  </si>
  <si>
    <t>Month 1</t>
  </si>
  <si>
    <t>Month 2</t>
  </si>
  <si>
    <t>Month 3</t>
  </si>
  <si>
    <t>Month 4</t>
  </si>
  <si>
    <t>Initial debt</t>
  </si>
  <si>
    <t>MAJOR TOTAL</t>
  </si>
  <si>
    <t>Average income / month</t>
  </si>
  <si>
    <t>Month 5</t>
  </si>
  <si>
    <t>DEBT MINUS</t>
  </si>
  <si>
    <t>Mission 1</t>
  </si>
  <si>
    <t>Mission 2</t>
  </si>
  <si>
    <t>Mission 3</t>
  </si>
  <si>
    <t>Mission 4</t>
  </si>
  <si>
    <t>min</t>
  </si>
  <si>
    <t>max</t>
  </si>
  <si>
    <t>TOTAL INCOME</t>
  </si>
  <si>
    <t>TRAVELTIME</t>
  </si>
  <si>
    <t>CONTROLLER</t>
  </si>
  <si>
    <t>Military Tech</t>
  </si>
  <si>
    <t>AVG LOOT 1</t>
  </si>
  <si>
    <t>AVG LOOT 2</t>
  </si>
  <si>
    <t>AVG LOOT 3</t>
  </si>
  <si>
    <t>AVG TIER 1</t>
  </si>
  <si>
    <t>AVG TIER 2</t>
  </si>
  <si>
    <t>AVG TIER 3</t>
  </si>
  <si>
    <t>AVG TIER 4</t>
  </si>
  <si>
    <t>REWARD/TIME</t>
  </si>
  <si>
    <t>6-10</t>
  </si>
  <si>
    <t>LOOT CLASS</t>
  </si>
  <si>
    <t>REWARD / TIME</t>
  </si>
  <si>
    <t>TOP</t>
  </si>
  <si>
    <t>RND1</t>
  </si>
  <si>
    <t>RND2</t>
  </si>
  <si>
    <t>AVG REWARD</t>
  </si>
  <si>
    <t>AVG AVG REWARD</t>
  </si>
  <si>
    <t>DIFFERENCE TO AVG AVG</t>
  </si>
  <si>
    <t>AVG TIME</t>
  </si>
  <si>
    <t>AVG REWARD/TIME</t>
  </si>
  <si>
    <t>AVG AVG REWARD/TIME</t>
  </si>
  <si>
    <t>MAX</t>
  </si>
  <si>
    <t>MIN</t>
  </si>
  <si>
    <t>% DIF TO AVG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</si>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</sst>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/>
    <xf numFmtId="3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16" fontId="0" fillId="0" borderId="0" xfId="0" applyNumberFormat="1"/>
    <xf numFmtId="49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0" fillId="0" borderId="0" xfId="0" applyFill="1" applyBorder="1"/>
    <xf numFmtId="49" fontId="2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</cellXfs>
  <cellStyles count="1">
    <cellStyle name="Normal" xfId="0" builtinId="0"/>
  </cellStyles>
  <dxfs count="108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20</c:v>
                </c:pt>
                <c:pt idx="5">
                  <c:v>31</c:v>
                </c:pt>
                <c:pt idx="6">
                  <c:v>45</c:v>
                </c:pt>
                <c:pt idx="7">
                  <c:v>61</c:v>
                </c:pt>
                <c:pt idx="8">
                  <c:v>80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56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55904"/>
        <c:axId val="119757440"/>
      </c:lineChart>
      <c:catAx>
        <c:axId val="11975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9757440"/>
        <c:crosses val="autoZero"/>
        <c:auto val="1"/>
        <c:lblAlgn val="ctr"/>
        <c:lblOffset val="100"/>
        <c:noMultiLvlLbl val="0"/>
      </c:catAx>
      <c:valAx>
        <c:axId val="11975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75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74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84832"/>
        <c:axId val="120186368"/>
      </c:lineChart>
      <c:catAx>
        <c:axId val="12018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0186368"/>
        <c:crosses val="autoZero"/>
        <c:auto val="1"/>
        <c:lblAlgn val="ctr"/>
        <c:lblOffset val="100"/>
        <c:noMultiLvlLbl val="0"/>
      </c:catAx>
      <c:valAx>
        <c:axId val="12018636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184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74</c:v>
                </c:pt>
                <c:pt idx="4">
                  <c:v>77</c:v>
                </c:pt>
                <c:pt idx="5">
                  <c:v>80</c:v>
                </c:pt>
                <c:pt idx="6">
                  <c:v>83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72</c:v>
                </c:pt>
                <c:pt idx="3">
                  <c:v>77</c:v>
                </c:pt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53792"/>
        <c:axId val="121155584"/>
      </c:lineChart>
      <c:catAx>
        <c:axId val="12115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155584"/>
        <c:crosses val="autoZero"/>
        <c:auto val="1"/>
        <c:lblAlgn val="ctr"/>
        <c:lblOffset val="100"/>
        <c:noMultiLvlLbl val="0"/>
      </c:catAx>
      <c:valAx>
        <c:axId val="12115558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15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65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80</c:v>
                </c:pt>
                <c:pt idx="1">
                  <c:v>84</c:v>
                </c:pt>
                <c:pt idx="2">
                  <c:v>88</c:v>
                </c:pt>
                <c:pt idx="3">
                  <c:v>91</c:v>
                </c:pt>
                <c:pt idx="4">
                  <c:v>94</c:v>
                </c:pt>
                <c:pt idx="5">
                  <c:v>96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03904"/>
        <c:axId val="121805440"/>
      </c:lineChart>
      <c:catAx>
        <c:axId val="121803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05440"/>
        <c:crosses val="autoZero"/>
        <c:auto val="1"/>
        <c:lblAlgn val="ctr"/>
        <c:lblOffset val="100"/>
        <c:noMultiLvlLbl val="0"/>
      </c:catAx>
      <c:valAx>
        <c:axId val="12180544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0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31</c:v>
                </c:pt>
                <c:pt idx="5">
                  <c:v>34</c:v>
                </c:pt>
                <c:pt idx="6">
                  <c:v>36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54</c:v>
                </c:pt>
                <c:pt idx="4">
                  <c:v>57</c:v>
                </c:pt>
                <c:pt idx="5">
                  <c:v>60</c:v>
                </c:pt>
                <c:pt idx="6">
                  <c:v>63</c:v>
                </c:pt>
                <c:pt idx="7">
                  <c:v>65</c:v>
                </c:pt>
                <c:pt idx="8">
                  <c:v>68</c:v>
                </c:pt>
                <c:pt idx="9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89920"/>
        <c:axId val="121891456"/>
      </c:lineChart>
      <c:catAx>
        <c:axId val="12188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91456"/>
        <c:crosses val="autoZero"/>
        <c:auto val="1"/>
        <c:lblAlgn val="ctr"/>
        <c:lblOffset val="100"/>
        <c:noMultiLvlLbl val="0"/>
      </c:catAx>
      <c:valAx>
        <c:axId val="12189145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89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46112"/>
        <c:axId val="121947648"/>
      </c:lineChart>
      <c:catAx>
        <c:axId val="121946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947648"/>
        <c:crosses val="autoZero"/>
        <c:auto val="1"/>
        <c:lblAlgn val="ctr"/>
        <c:lblOffset val="100"/>
        <c:noMultiLvlLbl val="0"/>
      </c:catAx>
      <c:valAx>
        <c:axId val="12194764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94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75</c:v>
                </c:pt>
                <c:pt idx="1">
                  <c:v>77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55200"/>
        <c:axId val="121556992"/>
      </c:lineChart>
      <c:catAx>
        <c:axId val="12155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556992"/>
        <c:crosses val="autoZero"/>
        <c:auto val="1"/>
        <c:lblAlgn val="ctr"/>
        <c:lblOffset val="100"/>
        <c:noMultiLvlLbl val="0"/>
      </c:catAx>
      <c:valAx>
        <c:axId val="12155699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5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75</c:v>
                </c:pt>
                <c:pt idx="1">
                  <c:v>78</c:v>
                </c:pt>
                <c:pt idx="2">
                  <c:v>81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610624"/>
        <c:axId val="121612160"/>
      </c:lineChart>
      <c:catAx>
        <c:axId val="12161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612160"/>
        <c:crosses val="autoZero"/>
        <c:auto val="1"/>
        <c:lblAlgn val="ctr"/>
        <c:lblOffset val="100"/>
        <c:noMultiLvlLbl val="0"/>
      </c:catAx>
      <c:valAx>
        <c:axId val="12161216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10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21888"/>
        <c:axId val="121652352"/>
      </c:barChart>
      <c:catAx>
        <c:axId val="121621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21652352"/>
        <c:crosses val="autoZero"/>
        <c:auto val="1"/>
        <c:lblAlgn val="ctr"/>
        <c:lblOffset val="100"/>
        <c:noMultiLvlLbl val="0"/>
      </c:catAx>
      <c:valAx>
        <c:axId val="1216523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16218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81024"/>
        <c:axId val="121682560"/>
      </c:barChart>
      <c:catAx>
        <c:axId val="12168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682560"/>
        <c:crosses val="autoZero"/>
        <c:auto val="1"/>
        <c:lblAlgn val="ctr"/>
        <c:lblOffset val="100"/>
        <c:noMultiLvlLbl val="0"/>
      </c:catAx>
      <c:valAx>
        <c:axId val="12168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810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hull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38912"/>
        <c:axId val="122044800"/>
      </c:barChart>
      <c:catAx>
        <c:axId val="122038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44800"/>
        <c:crosses val="autoZero"/>
        <c:auto val="1"/>
        <c:lblAlgn val="ctr"/>
        <c:lblOffset val="100"/>
        <c:noMultiLvlLbl val="0"/>
      </c:catAx>
      <c:valAx>
        <c:axId val="12204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389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armor dmg reduction %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69376"/>
        <c:axId val="122070912"/>
      </c:barChart>
      <c:catAx>
        <c:axId val="12206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70912"/>
        <c:crosses val="autoZero"/>
        <c:auto val="1"/>
        <c:lblAlgn val="ctr"/>
        <c:lblOffset val="100"/>
        <c:noMultiLvlLbl val="0"/>
      </c:catAx>
      <c:valAx>
        <c:axId val="12207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693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03680"/>
        <c:axId val="122105216"/>
      </c:barChart>
      <c:catAx>
        <c:axId val="12210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05216"/>
        <c:crosses val="autoZero"/>
        <c:auto val="1"/>
        <c:lblAlgn val="ctr"/>
        <c:lblOffset val="100"/>
        <c:noMultiLvlLbl val="0"/>
      </c:catAx>
      <c:valAx>
        <c:axId val="122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036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 inc%</c:v>
                </c:pt>
              </c:strCache>
            </c:strRef>
          </c:tx>
          <c:invertIfNegative val="0"/>
          <c:val>
            <c:numRef>
              <c:f>'ITEM STATS'!$L$224:$L$228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29792"/>
        <c:axId val="122135680"/>
      </c:barChart>
      <c:catAx>
        <c:axId val="12212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35680"/>
        <c:crosses val="autoZero"/>
        <c:auto val="1"/>
        <c:lblAlgn val="ctr"/>
        <c:lblOffset val="100"/>
        <c:noMultiLvlLbl val="0"/>
      </c:catAx>
      <c:valAx>
        <c:axId val="12213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2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HACKING UNIT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STATS'!$B$238</c:f>
              <c:strCache>
                <c:ptCount val="1"/>
                <c:pt idx="0">
                  <c:v>hacking</c:v>
                </c:pt>
              </c:strCache>
            </c:strRef>
          </c:tx>
          <c:invertIfNegative val="0"/>
          <c:val>
            <c:numRef>
              <c:f>'ITEM STATS'!$B$239:$B$243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54176"/>
        <c:axId val="122755712"/>
      </c:barChart>
      <c:catAx>
        <c:axId val="12275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755712"/>
        <c:crosses val="autoZero"/>
        <c:auto val="1"/>
        <c:lblAlgn val="ctr"/>
        <c:lblOffset val="100"/>
        <c:noMultiLvlLbl val="0"/>
      </c:catAx>
      <c:valAx>
        <c:axId val="12275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754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48</c:v>
                </c:pt>
                <c:pt idx="3">
                  <c:v>84</c:v>
                </c:pt>
                <c:pt idx="4">
                  <c:v>93</c:v>
                </c:pt>
                <c:pt idx="5">
                  <c:v>102</c:v>
                </c:pt>
                <c:pt idx="6">
                  <c:v>108</c:v>
                </c:pt>
                <c:pt idx="7">
                  <c:v>152</c:v>
                </c:pt>
                <c:pt idx="8">
                  <c:v>156</c:v>
                </c:pt>
                <c:pt idx="9">
                  <c:v>160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76</c:v>
                </c:pt>
                <c:pt idx="4">
                  <c:v>80</c:v>
                </c:pt>
                <c:pt idx="5">
                  <c:v>82</c:v>
                </c:pt>
                <c:pt idx="6">
                  <c:v>86</c:v>
                </c:pt>
                <c:pt idx="7">
                  <c:v>132</c:v>
                </c:pt>
                <c:pt idx="8">
                  <c:v>135</c:v>
                </c:pt>
                <c:pt idx="9">
                  <c:v>135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75488"/>
        <c:axId val="122762752"/>
      </c:lineChart>
      <c:catAx>
        <c:axId val="12257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762752"/>
        <c:crosses val="autoZero"/>
        <c:auto val="1"/>
        <c:lblAlgn val="ctr"/>
        <c:lblOffset val="100"/>
        <c:noMultiLvlLbl val="0"/>
      </c:catAx>
      <c:valAx>
        <c:axId val="12276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57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57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48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89216"/>
        <c:axId val="120091008"/>
      </c:lineChart>
      <c:catAx>
        <c:axId val="120089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0091008"/>
        <c:crosses val="autoZero"/>
        <c:auto val="1"/>
        <c:lblAlgn val="ctr"/>
        <c:lblOffset val="100"/>
        <c:noMultiLvlLbl val="0"/>
      </c:catAx>
      <c:valAx>
        <c:axId val="12009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8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0.94</c:v>
                </c:pt>
                <c:pt idx="1">
                  <c:v>1.18</c:v>
                </c:pt>
                <c:pt idx="2">
                  <c:v>1.41</c:v>
                </c:pt>
                <c:pt idx="3">
                  <c:v>1.56</c:v>
                </c:pt>
                <c:pt idx="4">
                  <c:v>1.72</c:v>
                </c:pt>
                <c:pt idx="5">
                  <c:v>1.89</c:v>
                </c:pt>
                <c:pt idx="6">
                  <c:v>1.89</c:v>
                </c:pt>
                <c:pt idx="7">
                  <c:v>2</c:v>
                </c:pt>
                <c:pt idx="8">
                  <c:v>2.0499999999999998</c:v>
                </c:pt>
                <c:pt idx="9">
                  <c:v>2.11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1.65</c:v>
                </c:pt>
                <c:pt idx="4">
                  <c:v>1.74</c:v>
                </c:pt>
                <c:pt idx="5">
                  <c:v>1.78</c:v>
                </c:pt>
                <c:pt idx="6">
                  <c:v>1.79</c:v>
                </c:pt>
                <c:pt idx="7">
                  <c:v>1.83</c:v>
                </c:pt>
                <c:pt idx="8">
                  <c:v>1.88</c:v>
                </c:pt>
                <c:pt idx="9">
                  <c:v>1.88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2.97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47008"/>
        <c:axId val="123148544"/>
      </c:lineChart>
      <c:catAx>
        <c:axId val="12314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148544"/>
        <c:crosses val="autoZero"/>
        <c:auto val="1"/>
        <c:lblAlgn val="ctr"/>
        <c:lblOffset val="100"/>
        <c:noMultiLvlLbl val="0"/>
      </c:catAx>
      <c:valAx>
        <c:axId val="12314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147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1.88</c:v>
                </c:pt>
                <c:pt idx="1">
                  <c:v>2.36</c:v>
                </c:pt>
                <c:pt idx="2">
                  <c:v>2.82</c:v>
                </c:pt>
                <c:pt idx="3">
                  <c:v>4.68</c:v>
                </c:pt>
                <c:pt idx="4">
                  <c:v>5.16</c:v>
                </c:pt>
                <c:pt idx="5">
                  <c:v>5.67</c:v>
                </c:pt>
                <c:pt idx="6">
                  <c:v>5.67</c:v>
                </c:pt>
                <c:pt idx="7">
                  <c:v>8</c:v>
                </c:pt>
                <c:pt idx="8">
                  <c:v>8.1999999999999993</c:v>
                </c:pt>
                <c:pt idx="9">
                  <c:v>8.44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3.3</c:v>
                </c:pt>
                <c:pt idx="4">
                  <c:v>3.48</c:v>
                </c:pt>
                <c:pt idx="5">
                  <c:v>3.56</c:v>
                </c:pt>
                <c:pt idx="6">
                  <c:v>3.58</c:v>
                </c:pt>
                <c:pt idx="7">
                  <c:v>5.49</c:v>
                </c:pt>
                <c:pt idx="8">
                  <c:v>5.64</c:v>
                </c:pt>
                <c:pt idx="9">
                  <c:v>5.64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8.91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9888"/>
        <c:axId val="123199872"/>
      </c:lineChart>
      <c:catAx>
        <c:axId val="123189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199872"/>
        <c:crosses val="autoZero"/>
        <c:auto val="1"/>
        <c:lblAlgn val="ctr"/>
        <c:lblOffset val="100"/>
        <c:noMultiLvlLbl val="0"/>
      </c:catAx>
      <c:valAx>
        <c:axId val="12319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189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144</c:v>
                </c:pt>
                <c:pt idx="3">
                  <c:v>168</c:v>
                </c:pt>
                <c:pt idx="4">
                  <c:v>186</c:v>
                </c:pt>
                <c:pt idx="5">
                  <c:v>204</c:v>
                </c:pt>
                <c:pt idx="6">
                  <c:v>216</c:v>
                </c:pt>
                <c:pt idx="7">
                  <c:v>228</c:v>
                </c:pt>
                <c:pt idx="8">
                  <c:v>234</c:v>
                </c:pt>
                <c:pt idx="9">
                  <c:v>240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150</c:v>
                </c:pt>
                <c:pt idx="1">
                  <c:v>165</c:v>
                </c:pt>
                <c:pt idx="2">
                  <c:v>175</c:v>
                </c:pt>
                <c:pt idx="3">
                  <c:v>190</c:v>
                </c:pt>
                <c:pt idx="4">
                  <c:v>200</c:v>
                </c:pt>
                <c:pt idx="5">
                  <c:v>205</c:v>
                </c:pt>
                <c:pt idx="6">
                  <c:v>215</c:v>
                </c:pt>
                <c:pt idx="7">
                  <c:v>220</c:v>
                </c:pt>
                <c:pt idx="8">
                  <c:v>225</c:v>
                </c:pt>
                <c:pt idx="9">
                  <c:v>225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200</c:v>
                </c:pt>
                <c:pt idx="1">
                  <c:v>260</c:v>
                </c:pt>
                <c:pt idx="2">
                  <c:v>310</c:v>
                </c:pt>
                <c:pt idx="3">
                  <c:v>315</c:v>
                </c:pt>
                <c:pt idx="4">
                  <c:v>312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180</c:v>
                </c:pt>
                <c:pt idx="1">
                  <c:v>216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356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515648"/>
        <c:axId val="123517184"/>
      </c:lineChart>
      <c:catAx>
        <c:axId val="12351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517184"/>
        <c:crosses val="autoZero"/>
        <c:auto val="1"/>
        <c:lblAlgn val="ctr"/>
        <c:lblOffset val="100"/>
        <c:noMultiLvlLbl val="0"/>
      </c:catAx>
      <c:valAx>
        <c:axId val="12351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1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70</c:v>
                </c:pt>
                <c:pt idx="6">
                  <c:v>76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45</c:v>
                </c:pt>
                <c:pt idx="4">
                  <c:v>53</c:v>
                </c:pt>
                <c:pt idx="5">
                  <c:v>61</c:v>
                </c:pt>
                <c:pt idx="6">
                  <c:v>68</c:v>
                </c:pt>
                <c:pt idx="7">
                  <c:v>99</c:v>
                </c:pt>
                <c:pt idx="8">
                  <c:v>106</c:v>
                </c:pt>
                <c:pt idx="9">
                  <c:v>112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70</c:v>
                </c:pt>
                <c:pt idx="7">
                  <c:v>108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72</c:v>
                </c:pt>
                <c:pt idx="6">
                  <c:v>77</c:v>
                </c:pt>
                <c:pt idx="7">
                  <c:v>82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232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12480"/>
        <c:axId val="123814272"/>
      </c:lineChart>
      <c:catAx>
        <c:axId val="12381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814272"/>
        <c:crosses val="autoZero"/>
        <c:auto val="1"/>
        <c:lblAlgn val="ctr"/>
        <c:lblOffset val="100"/>
        <c:noMultiLvlLbl val="0"/>
      </c:catAx>
      <c:valAx>
        <c:axId val="12381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1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1.23</c:v>
                </c:pt>
                <c:pt idx="5">
                  <c:v>1.3</c:v>
                </c:pt>
                <c:pt idx="6">
                  <c:v>1.36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0.56999999999999995</c:v>
                </c:pt>
                <c:pt idx="1">
                  <c:v>0.68</c:v>
                </c:pt>
                <c:pt idx="2">
                  <c:v>0.75</c:v>
                </c:pt>
                <c:pt idx="3">
                  <c:v>0.84</c:v>
                </c:pt>
                <c:pt idx="4">
                  <c:v>0.89</c:v>
                </c:pt>
                <c:pt idx="5">
                  <c:v>0.95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0.44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0.83</c:v>
                </c:pt>
                <c:pt idx="4">
                  <c:v>0.98</c:v>
                </c:pt>
                <c:pt idx="5">
                  <c:v>1.1299999999999999</c:v>
                </c:pt>
                <c:pt idx="6">
                  <c:v>1.19</c:v>
                </c:pt>
                <c:pt idx="7">
                  <c:v>1.3</c:v>
                </c:pt>
                <c:pt idx="8">
                  <c:v>1.39</c:v>
                </c:pt>
                <c:pt idx="9">
                  <c:v>1.47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1</c:v>
                </c:pt>
                <c:pt idx="1">
                  <c:v>1.0900000000000001</c:v>
                </c:pt>
                <c:pt idx="2">
                  <c:v>1.18</c:v>
                </c:pt>
                <c:pt idx="3">
                  <c:v>1.26</c:v>
                </c:pt>
                <c:pt idx="4">
                  <c:v>1.35</c:v>
                </c:pt>
                <c:pt idx="5">
                  <c:v>1.41</c:v>
                </c:pt>
                <c:pt idx="6">
                  <c:v>1.46</c:v>
                </c:pt>
                <c:pt idx="7">
                  <c:v>1.5</c:v>
                </c:pt>
                <c:pt idx="8">
                  <c:v>1.57</c:v>
                </c:pt>
                <c:pt idx="9">
                  <c:v>1.6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1.5</c:v>
                </c:pt>
                <c:pt idx="1">
                  <c:v>1.82</c:v>
                </c:pt>
                <c:pt idx="2">
                  <c:v>2.1800000000000002</c:v>
                </c:pt>
                <c:pt idx="3">
                  <c:v>2.33</c:v>
                </c:pt>
                <c:pt idx="4">
                  <c:v>2.46</c:v>
                </c:pt>
                <c:pt idx="5">
                  <c:v>2.77</c:v>
                </c:pt>
                <c:pt idx="6">
                  <c:v>2.96</c:v>
                </c:pt>
                <c:pt idx="7">
                  <c:v>2.93</c:v>
                </c:pt>
                <c:pt idx="8">
                  <c:v>3.11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0.83</c:v>
                </c:pt>
                <c:pt idx="1">
                  <c:v>1.07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2.58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59712"/>
        <c:axId val="123861248"/>
      </c:lineChart>
      <c:catAx>
        <c:axId val="12385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861248"/>
        <c:crosses val="autoZero"/>
        <c:auto val="1"/>
        <c:lblAlgn val="ctr"/>
        <c:lblOffset val="100"/>
        <c:noMultiLvlLbl val="0"/>
      </c:catAx>
      <c:valAx>
        <c:axId val="12386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5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7</c:v>
                </c:pt>
                <c:pt idx="1">
                  <c:v>9.5</c:v>
                </c:pt>
                <c:pt idx="2">
                  <c:v>12</c:v>
                </c:pt>
                <c:pt idx="3">
                  <c:v>15</c:v>
                </c:pt>
                <c:pt idx="4">
                  <c:v>17.7</c:v>
                </c:pt>
                <c:pt idx="5">
                  <c:v>20.3</c:v>
                </c:pt>
                <c:pt idx="6">
                  <c:v>22.7</c:v>
                </c:pt>
                <c:pt idx="7">
                  <c:v>24.8</c:v>
                </c:pt>
                <c:pt idx="8">
                  <c:v>26.5</c:v>
                </c:pt>
                <c:pt idx="9">
                  <c:v>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29</c:v>
                </c:pt>
                <c:pt idx="4">
                  <c:v>31</c:v>
                </c:pt>
                <c:pt idx="5">
                  <c:v>32.5</c:v>
                </c:pt>
                <c:pt idx="6">
                  <c:v>35</c:v>
                </c:pt>
                <c:pt idx="7">
                  <c:v>36</c:v>
                </c:pt>
                <c:pt idx="8">
                  <c:v>37.700000000000003</c:v>
                </c:pt>
                <c:pt idx="9">
                  <c:v>38.299999999999997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38.5</c:v>
                </c:pt>
                <c:pt idx="7">
                  <c:v>41</c:v>
                </c:pt>
                <c:pt idx="8">
                  <c:v>43.5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77.3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24064"/>
        <c:axId val="123638144"/>
      </c:lineChart>
      <c:catAx>
        <c:axId val="12362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638144"/>
        <c:crosses val="autoZero"/>
        <c:auto val="1"/>
        <c:lblAlgn val="ctr"/>
        <c:lblOffset val="100"/>
        <c:noMultiLvlLbl val="0"/>
      </c:catAx>
      <c:valAx>
        <c:axId val="12363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6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88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60</c:v>
                </c:pt>
                <c:pt idx="1">
                  <c:v>76</c:v>
                </c:pt>
                <c:pt idx="2">
                  <c:v>88</c:v>
                </c:pt>
                <c:pt idx="3">
                  <c:v>104</c:v>
                </c:pt>
                <c:pt idx="4">
                  <c:v>114</c:v>
                </c:pt>
                <c:pt idx="5">
                  <c:v>126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49</c:v>
                </c:pt>
                <c:pt idx="1">
                  <c:v>57</c:v>
                </c:pt>
                <c:pt idx="2">
                  <c:v>72</c:v>
                </c:pt>
                <c:pt idx="3">
                  <c:v>90</c:v>
                </c:pt>
                <c:pt idx="4">
                  <c:v>106.19999999999999</c:v>
                </c:pt>
                <c:pt idx="5">
                  <c:v>121.80000000000001</c:v>
                </c:pt>
                <c:pt idx="6">
                  <c:v>136.19999999999999</c:v>
                </c:pt>
                <c:pt idx="7">
                  <c:v>148.80000000000001</c:v>
                </c:pt>
                <c:pt idx="8">
                  <c:v>159</c:v>
                </c:pt>
                <c:pt idx="9">
                  <c:v>168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130</c:v>
                </c:pt>
                <c:pt idx="3">
                  <c:v>145</c:v>
                </c:pt>
                <c:pt idx="4">
                  <c:v>155</c:v>
                </c:pt>
                <c:pt idx="5">
                  <c:v>162.5</c:v>
                </c:pt>
                <c:pt idx="6">
                  <c:v>175</c:v>
                </c:pt>
                <c:pt idx="7">
                  <c:v>180</c:v>
                </c:pt>
                <c:pt idx="8">
                  <c:v>188.5</c:v>
                </c:pt>
                <c:pt idx="9">
                  <c:v>191.5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240</c:v>
                </c:pt>
                <c:pt idx="3">
                  <c:v>252</c:v>
                </c:pt>
                <c:pt idx="4">
                  <c:v>256</c:v>
                </c:pt>
                <c:pt idx="5">
                  <c:v>288</c:v>
                </c:pt>
                <c:pt idx="6">
                  <c:v>308</c:v>
                </c:pt>
                <c:pt idx="7">
                  <c:v>328</c:v>
                </c:pt>
                <c:pt idx="8">
                  <c:v>348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100</c:v>
                </c:pt>
                <c:pt idx="1">
                  <c:v>128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309.2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9488"/>
        <c:axId val="123681024"/>
      </c:lineChart>
      <c:catAx>
        <c:axId val="12367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681024"/>
        <c:crosses val="autoZero"/>
        <c:auto val="1"/>
        <c:lblAlgn val="ctr"/>
        <c:lblOffset val="100"/>
        <c:noMultiLvlLbl val="0"/>
      </c:catAx>
      <c:valAx>
        <c:axId val="12368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67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95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75</c:v>
                </c:pt>
                <c:pt idx="5">
                  <c:v>70</c:v>
                </c:pt>
                <c:pt idx="6">
                  <c:v>65</c:v>
                </c:pt>
                <c:pt idx="7">
                  <c:v>60</c:v>
                </c:pt>
                <c:pt idx="8">
                  <c:v>55</c:v>
                </c:pt>
                <c:pt idx="9">
                  <c:v>50</c:v>
                </c:pt>
                <c:pt idx="10">
                  <c:v>45</c:v>
                </c:pt>
                <c:pt idx="11">
                  <c:v>40</c:v>
                </c:pt>
                <c:pt idx="12">
                  <c:v>35</c:v>
                </c:pt>
                <c:pt idx="13">
                  <c:v>30</c:v>
                </c:pt>
                <c:pt idx="14">
                  <c:v>25</c:v>
                </c:pt>
                <c:pt idx="15">
                  <c:v>20</c:v>
                </c:pt>
                <c:pt idx="16">
                  <c:v>15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60864"/>
        <c:axId val="120291328"/>
      </c:lineChart>
      <c:catAx>
        <c:axId val="12026086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20291328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12029132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6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480</c:v>
                </c:pt>
                <c:pt idx="1">
                  <c:v>600</c:v>
                </c:pt>
                <c:pt idx="2">
                  <c:v>720</c:v>
                </c:pt>
                <c:pt idx="3">
                  <c:v>840</c:v>
                </c:pt>
                <c:pt idx="4">
                  <c:v>960</c:v>
                </c:pt>
                <c:pt idx="5">
                  <c:v>1050</c:v>
                </c:pt>
                <c:pt idx="6">
                  <c:v>1140</c:v>
                </c:pt>
                <c:pt idx="7">
                  <c:v>1230</c:v>
                </c:pt>
                <c:pt idx="8">
                  <c:v>1290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360</c:v>
                </c:pt>
                <c:pt idx="1">
                  <c:v>456</c:v>
                </c:pt>
                <c:pt idx="2">
                  <c:v>528</c:v>
                </c:pt>
                <c:pt idx="3">
                  <c:v>624</c:v>
                </c:pt>
                <c:pt idx="4">
                  <c:v>684</c:v>
                </c:pt>
                <c:pt idx="5">
                  <c:v>756</c:v>
                </c:pt>
                <c:pt idx="6">
                  <c:v>816</c:v>
                </c:pt>
                <c:pt idx="7">
                  <c:v>876</c:v>
                </c:pt>
                <c:pt idx="8">
                  <c:v>912</c:v>
                </c:pt>
                <c:pt idx="9">
                  <c:v>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280</c:v>
                </c:pt>
                <c:pt idx="1">
                  <c:v>380</c:v>
                </c:pt>
                <c:pt idx="2">
                  <c:v>480</c:v>
                </c:pt>
                <c:pt idx="3">
                  <c:v>600</c:v>
                </c:pt>
                <c:pt idx="4">
                  <c:v>708</c:v>
                </c:pt>
                <c:pt idx="5">
                  <c:v>812</c:v>
                </c:pt>
                <c:pt idx="6">
                  <c:v>908</c:v>
                </c:pt>
                <c:pt idx="7">
                  <c:v>992</c:v>
                </c:pt>
                <c:pt idx="8">
                  <c:v>1060</c:v>
                </c:pt>
                <c:pt idx="9">
                  <c:v>1120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420</c:v>
                </c:pt>
                <c:pt idx="1">
                  <c:v>480</c:v>
                </c:pt>
                <c:pt idx="2">
                  <c:v>520</c:v>
                </c:pt>
                <c:pt idx="3">
                  <c:v>580</c:v>
                </c:pt>
                <c:pt idx="4">
                  <c:v>620</c:v>
                </c:pt>
                <c:pt idx="5">
                  <c:v>650</c:v>
                </c:pt>
                <c:pt idx="6">
                  <c:v>700</c:v>
                </c:pt>
                <c:pt idx="7">
                  <c:v>720</c:v>
                </c:pt>
                <c:pt idx="8">
                  <c:v>754</c:v>
                </c:pt>
                <c:pt idx="9">
                  <c:v>766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250</c:v>
                </c:pt>
                <c:pt idx="1">
                  <c:v>320</c:v>
                </c:pt>
                <c:pt idx="2">
                  <c:v>390</c:v>
                </c:pt>
                <c:pt idx="3">
                  <c:v>460</c:v>
                </c:pt>
                <c:pt idx="4">
                  <c:v>535</c:v>
                </c:pt>
                <c:pt idx="5">
                  <c:v>600</c:v>
                </c:pt>
                <c:pt idx="6">
                  <c:v>665</c:v>
                </c:pt>
                <c:pt idx="7">
                  <c:v>713</c:v>
                </c:pt>
                <c:pt idx="8">
                  <c:v>773</c:v>
                </c:pt>
                <c:pt idx="9">
                  <c:v>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594816"/>
        <c:axId val="124596608"/>
      </c:lineChart>
      <c:catAx>
        <c:axId val="12459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596608"/>
        <c:crosses val="autoZero"/>
        <c:auto val="1"/>
        <c:lblAlgn val="ctr"/>
        <c:lblOffset val="100"/>
        <c:noMultiLvlLbl val="0"/>
      </c:catAx>
      <c:valAx>
        <c:axId val="12459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59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20800"/>
        <c:axId val="124623488"/>
      </c:lineChart>
      <c:catAx>
        <c:axId val="12462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623488"/>
        <c:crosses val="autoZero"/>
        <c:auto val="1"/>
        <c:lblAlgn val="ctr"/>
        <c:lblOffset val="100"/>
        <c:noMultiLvlLbl val="0"/>
      </c:catAx>
      <c:valAx>
        <c:axId val="12462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20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51776"/>
        <c:axId val="126253312"/>
      </c:lineChart>
      <c:catAx>
        <c:axId val="12625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6253312"/>
        <c:crosses val="autoZero"/>
        <c:auto val="1"/>
        <c:lblAlgn val="ctr"/>
        <c:lblOffset val="100"/>
        <c:noMultiLvlLbl val="0"/>
      </c:catAx>
      <c:valAx>
        <c:axId val="12625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25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33472"/>
        <c:axId val="128235008"/>
      </c:lineChart>
      <c:catAx>
        <c:axId val="12823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235008"/>
        <c:crosses val="autoZero"/>
        <c:auto val="1"/>
        <c:lblAlgn val="ctr"/>
        <c:lblOffset val="100"/>
        <c:noMultiLvlLbl val="0"/>
      </c:catAx>
      <c:valAx>
        <c:axId val="12823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23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72320"/>
        <c:axId val="128078208"/>
      </c:lineChart>
      <c:catAx>
        <c:axId val="12807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078208"/>
        <c:crosses val="autoZero"/>
        <c:auto val="1"/>
        <c:lblAlgn val="ctr"/>
        <c:lblOffset val="100"/>
        <c:noMultiLvlLbl val="0"/>
      </c:catAx>
      <c:valAx>
        <c:axId val="12807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07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94976"/>
        <c:axId val="128096512"/>
      </c:lineChart>
      <c:catAx>
        <c:axId val="12809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096512"/>
        <c:crosses val="autoZero"/>
        <c:auto val="1"/>
        <c:lblAlgn val="ctr"/>
        <c:lblOffset val="100"/>
        <c:noMultiLvlLbl val="0"/>
      </c:catAx>
      <c:valAx>
        <c:axId val="12809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09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02624"/>
        <c:axId val="128204160"/>
      </c:lineChart>
      <c:catAx>
        <c:axId val="12820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204160"/>
        <c:crosses val="autoZero"/>
        <c:auto val="1"/>
        <c:lblAlgn val="ctr"/>
        <c:lblOffset val="100"/>
        <c:noMultiLvlLbl val="0"/>
      </c:catAx>
      <c:valAx>
        <c:axId val="12820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20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75360"/>
        <c:axId val="128576896"/>
      </c:lineChart>
      <c:catAx>
        <c:axId val="12857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576896"/>
        <c:crosses val="autoZero"/>
        <c:auto val="1"/>
        <c:lblAlgn val="ctr"/>
        <c:lblOffset val="100"/>
        <c:noMultiLvlLbl val="0"/>
      </c:catAx>
      <c:valAx>
        <c:axId val="12857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7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33184"/>
        <c:axId val="128734720"/>
      </c:lineChart>
      <c:catAx>
        <c:axId val="128733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734720"/>
        <c:crosses val="autoZero"/>
        <c:auto val="1"/>
        <c:lblAlgn val="ctr"/>
        <c:lblOffset val="100"/>
        <c:noMultiLvlLbl val="0"/>
      </c:catAx>
      <c:valAx>
        <c:axId val="12873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733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59680"/>
        <c:axId val="128761216"/>
      </c:lineChart>
      <c:catAx>
        <c:axId val="12875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761216"/>
        <c:crosses val="autoZero"/>
        <c:auto val="1"/>
        <c:lblAlgn val="ctr"/>
        <c:lblOffset val="100"/>
        <c:noMultiLvlLbl val="0"/>
      </c:catAx>
      <c:valAx>
        <c:axId val="12876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759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56064"/>
        <c:axId val="128857600"/>
      </c:lineChart>
      <c:catAx>
        <c:axId val="12885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57600"/>
        <c:crosses val="autoZero"/>
        <c:auto val="1"/>
        <c:lblAlgn val="ctr"/>
        <c:lblOffset val="100"/>
        <c:noMultiLvlLbl val="0"/>
      </c:catAx>
      <c:valAx>
        <c:axId val="12885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5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86656"/>
        <c:axId val="128888192"/>
      </c:lineChart>
      <c:catAx>
        <c:axId val="12888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88192"/>
        <c:crosses val="autoZero"/>
        <c:auto val="1"/>
        <c:lblAlgn val="ctr"/>
        <c:lblOffset val="100"/>
        <c:noMultiLvlLbl val="0"/>
      </c:catAx>
      <c:valAx>
        <c:axId val="12888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86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83744"/>
        <c:axId val="129185280"/>
      </c:lineChart>
      <c:catAx>
        <c:axId val="12918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9185280"/>
        <c:crosses val="autoZero"/>
        <c:auto val="1"/>
        <c:lblAlgn val="ctr"/>
        <c:lblOffset val="100"/>
        <c:noMultiLvlLbl val="0"/>
      </c:catAx>
      <c:valAx>
        <c:axId val="12918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8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06144"/>
        <c:axId val="129207680"/>
      </c:lineChart>
      <c:catAx>
        <c:axId val="12920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9207680"/>
        <c:crosses val="autoZero"/>
        <c:auto val="1"/>
        <c:lblAlgn val="ctr"/>
        <c:lblOffset val="100"/>
        <c:noMultiLvlLbl val="0"/>
      </c:catAx>
      <c:valAx>
        <c:axId val="12920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206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5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2"/>
</file>

<file path=xl/ctrlProps/ctrlProp14.xml><?xml version="1.0" encoding="utf-8"?>
<formControlPr xmlns="http://schemas.microsoft.com/office/spreadsheetml/2009/9/main" objectType="Scroll" dx="16" fmlaLink="$D$37" horiz="1" max="100" page="10" val="56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3"/>
</file>

<file path=xl/ctrlProps/ctrlProp17.xml><?xml version="1.0" encoding="utf-8"?>
<formControlPr xmlns="http://schemas.microsoft.com/office/spreadsheetml/2009/9/main" objectType="Scroll" dx="16" fmlaLink="$G$37" horiz="1" max="100" page="10" val="12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5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5"/>
</file>

<file path=xl/ctrlProps/ctrlProp36.xml><?xml version="1.0" encoding="utf-8"?>
<formControlPr xmlns="http://schemas.microsoft.com/office/spreadsheetml/2009/9/main" objectType="Scroll" dx="16" fmlaLink="$D$58" horiz="1" max="100" page="10" val="6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8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25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9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25"/>
</file>

<file path=xl/ctrlProps/ctrlProp47.xml><?xml version="1.0" encoding="utf-8"?>
<formControlPr xmlns="http://schemas.microsoft.com/office/spreadsheetml/2009/9/main" objectType="Scroll" dx="16" fmlaLink="$B$79" horiz="1" max="100" page="10" val="5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60"/>
</file>

<file path=xl/ctrlProps/ctrlProp50.xml><?xml version="1.0" encoding="utf-8"?>
<formControlPr xmlns="http://schemas.microsoft.com/office/spreadsheetml/2009/9/main" objectType="Scroll" dx="16" fmlaLink="$D$79" horiz="1" max="100" page="10" val="8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3"/>
</file>

<file path=xl/ctrlProps/ctrlProp53.xml><?xml version="1.0" encoding="utf-8"?>
<formControlPr xmlns="http://schemas.microsoft.com/office/spreadsheetml/2009/9/main" objectType="Scroll" dx="16" fmlaLink="$G$79" horiz="1" max="100" page="10" val="15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5"/>
</file>

<file path=xl/ctrlProps/ctrlProp62.xml><?xml version="1.0" encoding="utf-8"?>
<formControlPr xmlns="http://schemas.microsoft.com/office/spreadsheetml/2009/9/main" objectType="Scroll" dx="16" fmlaLink="$B$102" horiz="1" max="100" page="10" val="40"/>
</file>

<file path=xl/ctrlProps/ctrlProp63.xml><?xml version="1.0" encoding="utf-8"?>
<formControlPr xmlns="http://schemas.microsoft.com/office/spreadsheetml/2009/9/main" objectType="Scroll" dx="16" fmlaLink="$C$100" horiz="1" max="100" page="10" val="45"/>
</file>

<file path=xl/ctrlProps/ctrlProp64.xml><?xml version="1.0" encoding="utf-8"?>
<formControlPr xmlns="http://schemas.microsoft.com/office/spreadsheetml/2009/9/main" objectType="Scroll" dx="16" fmlaLink="$D$100" horiz="1" max="100" page="10" val="45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16"/>
</file>

<file path=xl/ctrlProps/ctrlProp67.xml><?xml version="1.0" encoding="utf-8"?>
<formControlPr xmlns="http://schemas.microsoft.com/office/spreadsheetml/2009/9/main" objectType="Scroll" dx="16" fmlaLink="$G$100" horiz="1" max="100" page="10" val="11"/>
</file>

<file path=xl/ctrlProps/ctrlProp68.xml><?xml version="1.0" encoding="utf-8"?>
<formControlPr xmlns="http://schemas.microsoft.com/office/spreadsheetml/2009/9/main" objectType="Scroll" dx="16" fmlaLink="$H$100" horiz="1" max="100" page="10" val="40"/>
</file>

<file path=xl/ctrlProps/ctrlProp69.xml><?xml version="1.0" encoding="utf-8"?>
<formControlPr xmlns="http://schemas.microsoft.com/office/spreadsheetml/2009/9/main" objectType="Scroll" dx="16" fmlaLink="$C$102" horiz="1" max="100" page="10" val="70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19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40"/>
</file>

<file path=xl/ctrlProps/ctrlProp75.xml><?xml version="1.0" encoding="utf-8"?>
<formControlPr xmlns="http://schemas.microsoft.com/office/spreadsheetml/2009/9/main" objectType="Scroll" dx="16" fmlaLink="$B$121" horiz="1" max="100" page="10" val="30"/>
</file>

<file path=xl/ctrlProps/ctrlProp76.xml><?xml version="1.0" encoding="utf-8"?>
<formControlPr xmlns="http://schemas.microsoft.com/office/spreadsheetml/2009/9/main" objectType="Scroll" dx="16" fmlaLink="$B$123" horiz="1" max="100" page="10" val="45"/>
</file>

<file path=xl/ctrlProps/ctrlProp77.xml><?xml version="1.0" encoding="utf-8"?>
<formControlPr xmlns="http://schemas.microsoft.com/office/spreadsheetml/2009/9/main" objectType="Scroll" dx="16" fmlaLink="$C$121" horiz="1" max="100" page="10" val="7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1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20"/>
</file>

<file path=xl/ctrlProps/ctrlProp83.xml><?xml version="1.0" encoding="utf-8"?>
<formControlPr xmlns="http://schemas.microsoft.com/office/spreadsheetml/2009/9/main" objectType="Scroll" dx="16" fmlaLink="$C$123" horiz="1" max="100" page="10" val="85"/>
</file>

<file path=xl/ctrlProps/ctrlProp84.xml><?xml version="1.0" encoding="utf-8"?>
<formControlPr xmlns="http://schemas.microsoft.com/office/spreadsheetml/2009/9/main" objectType="Scroll" dx="16" fmlaLink="$D$123" horiz="1" max="100" page="10" val="20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20"/>
</file>

<file path=xl/ctrlProps/ctrlProp89.xml><?xml version="1.0" encoding="utf-8"?>
<formControlPr xmlns="http://schemas.microsoft.com/office/spreadsheetml/2009/9/main" objectType="Scroll" dx="16" fmlaLink="$B$142" horiz="1" max="100" page="10" val="20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5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5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0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4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5"/>
</file>

<file path=xl/ctrlProps/ctrlProp106.xml><?xml version="1.0" encoding="utf-8"?>
<formControlPr xmlns="http://schemas.microsoft.com/office/spreadsheetml/2009/9/main" objectType="Scroll" dx="16" fmlaLink="$D$163" horiz="1" max="100" page="10" val="75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2"/>
</file>

<file path=xl/ctrlProps/ctrlProp110.xml><?xml version="1.0" encoding="utf-8"?>
<formControlPr xmlns="http://schemas.microsoft.com/office/spreadsheetml/2009/9/main" objectType="Scroll" dx="16" fmlaLink="$H$163" horiz="1" max="100" page="10" val="10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9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0"/>
</file>

<file path=xl/ctrlProps/ctrlProp117.xml><?xml version="1.0" encoding="utf-8"?>
<formControlPr xmlns="http://schemas.microsoft.com/office/spreadsheetml/2009/9/main" objectType="Scroll" dx="16" fmlaLink="$B$187" horiz="1" max="100" page="10" val="2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5"/>
</file>

<file path=xl/ctrlProps/ctrlProp121.xml><?xml version="1.0" encoding="utf-8"?>
<formControlPr xmlns="http://schemas.microsoft.com/office/spreadsheetml/2009/9/main" objectType="Scroll" dx="16" fmlaLink="$L$189" horiz="1" max="100" page="10" val="20"/>
</file>

<file path=xl/ctrlProps/ctrlProp122.xml><?xml version="1.0" encoding="utf-8"?>
<formControlPr xmlns="http://schemas.microsoft.com/office/spreadsheetml/2009/9/main" objectType="Scroll" dx="16" fmlaLink="$B$202" horiz="1" max="100" page="10" val="5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 val="5"/>
</file>

<file path=xl/ctrlProps/ctrlProp125.xml><?xml version="1.0" encoding="utf-8"?>
<formControlPr xmlns="http://schemas.microsoft.com/office/spreadsheetml/2009/9/main" objectType="Scroll" dx="16" fmlaLink="$L$204" horiz="1" max="100" page="10" val="15"/>
</file>

<file path=xl/ctrlProps/ctrlProp126.xml><?xml version="1.0" encoding="utf-8"?>
<formControlPr xmlns="http://schemas.microsoft.com/office/spreadsheetml/2009/9/main" objectType="Scroll" dx="16" fmlaLink="$B$217" horiz="1" max="100" page="10" val="10"/>
</file>

<file path=xl/ctrlProps/ctrlProp127.xml><?xml version="1.0" encoding="utf-8"?>
<formControlPr xmlns="http://schemas.microsoft.com/office/spreadsheetml/2009/9/main" objectType="Scroll" dx="16" fmlaLink="$B$219" horiz="1" max="100" page="10" val="25"/>
</file>

<file path=xl/ctrlProps/ctrlProp128.xml><?xml version="1.0" encoding="utf-8"?>
<formControlPr xmlns="http://schemas.microsoft.com/office/spreadsheetml/2009/9/main" objectType="Scroll" dx="16" fmlaLink="$L$217" horiz="1" max="100" page="10" val="5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fmlaLink="$I$37" horiz="1" inc="10" max="1000" min="100" page="10" val="100"/>
</file>

<file path=xl/ctrlProps/ctrlProp131.xml><?xml version="1.0" encoding="utf-8"?>
<formControlPr xmlns="http://schemas.microsoft.com/office/spreadsheetml/2009/9/main" objectType="Scroll" dx="16" fmlaLink="$B$232" horiz="1" max="100" page="10" val="10"/>
</file>

<file path=xl/ctrlProps/ctrlProp132.xml><?xml version="1.0" encoding="utf-8"?>
<formControlPr xmlns="http://schemas.microsoft.com/office/spreadsheetml/2009/9/main" objectType="Scroll" dx="16" fmlaLink="$B$234" horiz="1" max="100" page="10" val="50"/>
</file>

<file path=xl/ctrlProps/ctrlProp133.xml><?xml version="1.0" encoding="utf-8"?>
<formControlPr xmlns="http://schemas.microsoft.com/office/spreadsheetml/2009/9/main" objectType="Scroll" dx="16" fmlaLink="$I$32" horiz="1" max="100" page="10" val="0"/>
</file>

<file path=xl/ctrlProps/ctrlProp134.xml><?xml version="1.0" encoding="utf-8"?>
<formControlPr xmlns="http://schemas.microsoft.com/office/spreadsheetml/2009/9/main" objectType="Scroll" dx="16" fmlaLink="$I$39" horiz="1" inc="10" max="1000" min="100" page="10" val="100"/>
</file>

<file path=xl/ctrlProps/ctrlProp135.xml><?xml version="1.0" encoding="utf-8"?>
<formControlPr xmlns="http://schemas.microsoft.com/office/spreadsheetml/2009/9/main" objectType="Scroll" dx="16" fmlaLink="$I$59" horiz="1" inc="10" max="1000" min="100" page="10" val="110"/>
</file>

<file path=xl/ctrlProps/ctrlProp136.xml><?xml version="1.0" encoding="utf-8"?>
<formControlPr xmlns="http://schemas.microsoft.com/office/spreadsheetml/2009/9/main" objectType="Scroll" dx="16" fmlaLink="$I$61" horiz="1" inc="10" max="1000" min="100" page="10" val="660"/>
</file>

<file path=xl/ctrlProps/ctrlProp137.xml><?xml version="1.0" encoding="utf-8"?>
<formControlPr xmlns="http://schemas.microsoft.com/office/spreadsheetml/2009/9/main" objectType="Scroll" dx="16" fmlaLink="$I$80" horiz="1" inc="10" max="1000" min="100" page="10" val="190"/>
</file>

<file path=xl/ctrlProps/ctrlProp138.xml><?xml version="1.0" encoding="utf-8"?>
<formControlPr xmlns="http://schemas.microsoft.com/office/spreadsheetml/2009/9/main" objectType="Scroll" dx="16" fmlaLink="$I$82" horiz="1" inc="10" max="1000" min="100" page="10" val="910"/>
</file>

<file path=xl/ctrlProps/ctrlProp139.xml><?xml version="1.0" encoding="utf-8"?>
<formControlPr xmlns="http://schemas.microsoft.com/office/spreadsheetml/2009/9/main" objectType="Scroll" dx="16" fmlaLink="$I$101" horiz="1" inc="10" max="1000" min="100" page="10" val="120"/>
</file>

<file path=xl/ctrlProps/ctrlProp140.xml><?xml version="1.0" encoding="utf-8"?>
<formControlPr xmlns="http://schemas.microsoft.com/office/spreadsheetml/2009/9/main" objectType="Scroll" dx="16" fmlaLink="$I$103" horiz="1" inc="10" max="1000" min="100" page="10" val="730"/>
</file>

<file path=xl/ctrlProps/ctrlProp141.xml><?xml version="1.0" encoding="utf-8"?>
<formControlPr xmlns="http://schemas.microsoft.com/office/spreadsheetml/2009/9/main" objectType="Scroll" dx="16" fmlaLink="$I$122" horiz="1" inc="10" max="1000" min="100" page="10" val="150"/>
</file>

<file path=xl/ctrlProps/ctrlProp142.xml><?xml version="1.0" encoding="utf-8"?>
<formControlPr xmlns="http://schemas.microsoft.com/office/spreadsheetml/2009/9/main" objectType="Scroll" dx="16" fmlaLink="$I$124" horiz="1" inc="10" max="1000" min="100" page="10" val="810"/>
</file>

<file path=xl/ctrlProps/ctrlProp143.xml><?xml version="1.0" encoding="utf-8"?>
<formControlPr xmlns="http://schemas.microsoft.com/office/spreadsheetml/2009/9/main" objectType="Scroll" dx="16" fmlaLink="$I$143" horiz="1" inc="10" max="1000" min="100" page="10" val="110"/>
</file>

<file path=xl/ctrlProps/ctrlProp144.xml><?xml version="1.0" encoding="utf-8"?>
<formControlPr xmlns="http://schemas.microsoft.com/office/spreadsheetml/2009/9/main" objectType="Scroll" dx="16" fmlaLink="$I$145" horiz="1" inc="10" max="1000" min="100" page="10" val="680"/>
</file>

<file path=xl/ctrlProps/ctrlProp145.xml><?xml version="1.0" encoding="utf-8"?>
<formControlPr xmlns="http://schemas.microsoft.com/office/spreadsheetml/2009/9/main" objectType="Scroll" dx="16" fmlaLink="$I$164" horiz="1" inc="10" max="1000" min="100" page="10" val="200"/>
</file>

<file path=xl/ctrlProps/ctrlProp146.xml><?xml version="1.0" encoding="utf-8"?>
<formControlPr xmlns="http://schemas.microsoft.com/office/spreadsheetml/2009/9/main" objectType="Scroll" dx="16" fmlaLink="$I$166" horiz="1" inc="10" max="1000" min="100" page="10" val="960"/>
</file>

<file path=xl/ctrlProps/ctrlProp147.xml><?xml version="1.0" encoding="utf-8"?>
<formControlPr xmlns="http://schemas.microsoft.com/office/spreadsheetml/2009/9/main" objectType="Scroll" dx="16" fmlaLink="$E$67" horiz="1" max="20" min="1" page="10"/>
</file>

<file path=xl/ctrlProps/ctrlProp148.xml><?xml version="1.0" encoding="utf-8"?>
<formControlPr xmlns="http://schemas.microsoft.com/office/spreadsheetml/2009/9/main" objectType="Scroll" dx="16" fmlaLink="$B$4" horiz="1" max="100" page="10" val="85"/>
</file>

<file path=xl/ctrlProps/ctrlProp149.xml><?xml version="1.0" encoding="utf-8"?>
<formControlPr xmlns="http://schemas.microsoft.com/office/spreadsheetml/2009/9/main" objectType="Scroll" dx="16" fmlaLink="$C$5" horiz="1" max="100" page="10" val="0"/>
</file>

<file path=xl/ctrlProps/ctrlProp150.xml><?xml version="1.0" encoding="utf-8"?>
<formControlPr xmlns="http://schemas.microsoft.com/office/spreadsheetml/2009/9/main" objectType="Scroll" dx="16" fmlaLink="$B$6" horiz="1" max="100" page="10" val="20"/>
</file>

<file path=xl/ctrlProps/ctrlProp151.xml><?xml version="1.0" encoding="utf-8"?>
<formControlPr xmlns="http://schemas.microsoft.com/office/spreadsheetml/2009/9/main" objectType="Scroll" dx="16" fmlaLink="$B$19" horiz="1" max="10" min="1" page="10" val="2"/>
</file>

<file path=xl/ctrlProps/ctrlProp152.xml><?xml version="1.0" encoding="utf-8"?>
<formControlPr xmlns="http://schemas.microsoft.com/office/spreadsheetml/2009/9/main" objectType="Scroll" dx="16" fmlaLink="$B$4" horiz="1" max="500" min="1" page="10" val="100"/>
</file>

<file path=xl/ctrlProps/ctrlProp153.xml><?xml version="1.0" encoding="utf-8"?>
<formControlPr xmlns="http://schemas.microsoft.com/office/spreadsheetml/2009/9/main" objectType="Scroll" dx="16" fmlaLink="$D$4" horiz="1" max="100" page="10" val="20"/>
</file>

<file path=xl/ctrlProps/ctrlProp154.xml><?xml version="1.0" encoding="utf-8"?>
<formControlPr xmlns="http://schemas.microsoft.com/office/spreadsheetml/2009/9/main" objectType="Scroll" dx="16" fmlaLink="$J$4" horiz="1" max="20" min="1" page="10" val="3"/>
</file>

<file path=xl/ctrlProps/ctrlProp155.xml><?xml version="1.0" encoding="utf-8"?>
<formControlPr xmlns="http://schemas.microsoft.com/office/spreadsheetml/2009/9/main" objectType="Scroll" dx="16" fmlaLink="$B$5" horiz="1" max="500" min="1" page="10" val="40"/>
</file>

<file path=xl/ctrlProps/ctrlProp156.xml><?xml version="1.0" encoding="utf-8"?>
<formControlPr xmlns="http://schemas.microsoft.com/office/spreadsheetml/2009/9/main" objectType="Scroll" dx="16" fmlaLink="$D$5" horiz="1" max="100" page="10" val="20"/>
</file>

<file path=xl/ctrlProps/ctrlProp157.xml><?xml version="1.0" encoding="utf-8"?>
<formControlPr xmlns="http://schemas.microsoft.com/office/spreadsheetml/2009/9/main" objectType="Scroll" dx="16" fmlaLink="$J$5" horiz="1" max="20" min="1" page="10"/>
</file>

<file path=xl/ctrlProps/ctrlProp158.xml><?xml version="1.0" encoding="utf-8"?>
<formControlPr xmlns="http://schemas.microsoft.com/office/spreadsheetml/2009/9/main" objectType="Scroll" dx="16" fmlaLink="$B$11" horiz="1" max="100" page="10" val="20"/>
</file>

<file path=xl/ctrlProps/ctrlProp159.xml><?xml version="1.0" encoding="utf-8"?>
<formControlPr xmlns="http://schemas.microsoft.com/office/spreadsheetml/2009/9/main" objectType="Scroll" dx="16" fmlaLink="$B$12" horiz="1" max="100" page="10" val="6"/>
</file>

<file path=xl/ctrlProps/ctrlProp160.xml><?xml version="1.0" encoding="utf-8"?>
<formControlPr xmlns="http://schemas.microsoft.com/office/spreadsheetml/2009/9/main" objectType="Scroll" dx="16" fmlaLink="$F$11" horiz="1" max="100" page="10" val="0"/>
</file>

<file path=xl/ctrlProps/ctrlProp161.xml><?xml version="1.0" encoding="utf-8"?>
<formControlPr xmlns="http://schemas.microsoft.com/office/spreadsheetml/2009/9/main" objectType="Scroll" dx="16" fmlaLink="$G$11" horiz="1" max="100" page="10" val="30"/>
</file>

<file path=xl/ctrlProps/ctrlProp162.xml><?xml version="1.0" encoding="utf-8"?>
<formControlPr xmlns="http://schemas.microsoft.com/office/spreadsheetml/2009/9/main" objectType="Scroll" dx="16" fmlaLink="$H$11" horiz="1" max="100" page="10" val="12"/>
</file>

<file path=xl/ctrlProps/ctrlProp163.xml><?xml version="1.0" encoding="utf-8"?>
<formControlPr xmlns="http://schemas.microsoft.com/office/spreadsheetml/2009/9/main" objectType="Scroll" dx="16" fmlaLink="$I$11" horiz="1" max="100" page="10" val="40"/>
</file>

<file path=xl/ctrlProps/ctrlProp164.xml><?xml version="1.0" encoding="utf-8"?>
<formControlPr xmlns="http://schemas.microsoft.com/office/spreadsheetml/2009/9/main" objectType="Scroll" dx="16" fmlaLink="$J$11" horiz="1" max="100" page="10" val="20"/>
</file>

<file path=xl/ctrlProps/ctrlProp165.xml><?xml version="1.0" encoding="utf-8"?>
<formControlPr xmlns="http://schemas.microsoft.com/office/spreadsheetml/2009/9/main" objectType="Scroll" dx="16" fmlaLink="$K$11" horiz="1" max="100" page="10" val="0"/>
</file>

<file path=xl/ctrlProps/ctrlProp166.xml><?xml version="1.0" encoding="utf-8"?>
<formControlPr xmlns="http://schemas.microsoft.com/office/spreadsheetml/2009/9/main" objectType="Scroll" dx="16" fmlaLink="$L$11" horiz="1" max="100" page="10" val="10"/>
</file>

<file path=xl/ctrlProps/ctrlProp167.xml><?xml version="1.0" encoding="utf-8"?>
<formControlPr xmlns="http://schemas.microsoft.com/office/spreadsheetml/2009/9/main" objectType="Scroll" dx="16" fmlaLink="$F$4" horiz="1" max="100" page="10" val="30"/>
</file>

<file path=xl/ctrlProps/ctrlProp168.xml><?xml version="1.0" encoding="utf-8"?>
<formControlPr xmlns="http://schemas.microsoft.com/office/spreadsheetml/2009/9/main" objectType="Scroll" dx="16" fmlaLink="$F$5" horiz="1" max="100" page="10" val="0"/>
</file>

<file path=xl/ctrlProps/ctrlProp169.xml><?xml version="1.0" encoding="utf-8"?>
<formControlPr xmlns="http://schemas.microsoft.com/office/spreadsheetml/2009/9/main" objectType="Scroll" dx="16" fmlaLink="$H$4" horiz="1" max="10" page="10" val="3"/>
</file>

<file path=xl/ctrlProps/ctrlProp170.xml><?xml version="1.0" encoding="utf-8"?>
<formControlPr xmlns="http://schemas.microsoft.com/office/spreadsheetml/2009/9/main" objectType="Scroll" dx="16" fmlaLink="$H$5" horiz="1" max="10" page="10" val="4"/>
</file>

<file path=xl/ctrlProps/ctrlProp171.xml><?xml version="1.0" encoding="utf-8"?>
<formControlPr xmlns="http://schemas.microsoft.com/office/spreadsheetml/2009/9/main" objectType="Scroll" dx="16" fmlaLink="C60" horiz="1" max="100" page="10" val="40"/>
</file>

<file path=xl/ctrlProps/ctrlProp172.xml><?xml version="1.0" encoding="utf-8"?>
<formControlPr xmlns="http://schemas.microsoft.com/office/spreadsheetml/2009/9/main" objectType="Scroll" dx="16" fmlaLink="$E$5" horiz="1" inc="10" max="5000" page="10" val="10"/>
</file>

<file path=xl/ctrlProps/ctrlProp173.xml><?xml version="1.0" encoding="utf-8"?>
<formControlPr xmlns="http://schemas.microsoft.com/office/spreadsheetml/2009/9/main" objectType="Scroll" dx="16" fmlaLink="$F$5" horiz="1" inc="10" max="5000" page="10" val="220"/>
</file>

<file path=xl/ctrlProps/ctrlProp174.xml><?xml version="1.0" encoding="utf-8"?>
<formControlPr xmlns="http://schemas.microsoft.com/office/spreadsheetml/2009/9/main" objectType="Scroll" dx="16" fmlaLink="$E$6" horiz="1" inc="10" max="5000" page="10" val="50"/>
</file>

<file path=xl/ctrlProps/ctrlProp175.xml><?xml version="1.0" encoding="utf-8"?>
<formControlPr xmlns="http://schemas.microsoft.com/office/spreadsheetml/2009/9/main" objectType="Scroll" dx="16" fmlaLink="$E$7" horiz="1" inc="10" max="5000" page="10" val="140"/>
</file>

<file path=xl/ctrlProps/ctrlProp176.xml><?xml version="1.0" encoding="utf-8"?>
<formControlPr xmlns="http://schemas.microsoft.com/office/spreadsheetml/2009/9/main" objectType="Scroll" dx="16" fmlaLink="$E$8" horiz="1" inc="10" max="5000" page="10" val="40"/>
</file>

<file path=xl/ctrlProps/ctrlProp177.xml><?xml version="1.0" encoding="utf-8"?>
<formControlPr xmlns="http://schemas.microsoft.com/office/spreadsheetml/2009/9/main" objectType="Scroll" dx="16" fmlaLink="$E$9" horiz="1" inc="10" max="5000" page="10" val="80"/>
</file>

<file path=xl/ctrlProps/ctrlProp178.xml><?xml version="1.0" encoding="utf-8"?>
<formControlPr xmlns="http://schemas.microsoft.com/office/spreadsheetml/2009/9/main" objectType="Scroll" dx="16" fmlaLink="$E$10" horiz="1" inc="10" max="5000" page="10" val="60"/>
</file>

<file path=xl/ctrlProps/ctrlProp179.xml><?xml version="1.0" encoding="utf-8"?>
<formControlPr xmlns="http://schemas.microsoft.com/office/spreadsheetml/2009/9/main" objectType="Scroll" dx="16" fmlaLink="$E$11" horiz="1" inc="10" max="5000" page="10" val="90"/>
</file>

<file path=xl/ctrlProps/ctrlProp180.xml><?xml version="1.0" encoding="utf-8"?>
<formControlPr xmlns="http://schemas.microsoft.com/office/spreadsheetml/2009/9/main" objectType="Scroll" dx="16" fmlaLink="$E$12" horiz="1" inc="10" max="5000" page="10" val="120"/>
</file>

<file path=xl/ctrlProps/ctrlProp181.xml><?xml version="1.0" encoding="utf-8"?>
<formControlPr xmlns="http://schemas.microsoft.com/office/spreadsheetml/2009/9/main" objectType="Scroll" dx="16" fmlaLink="$E$13" horiz="1" inc="10" max="5000" page="10" val="30"/>
</file>

<file path=xl/ctrlProps/ctrlProp182.xml><?xml version="1.0" encoding="utf-8"?>
<formControlPr xmlns="http://schemas.microsoft.com/office/spreadsheetml/2009/9/main" objectType="Scroll" dx="16" fmlaLink="$F$6" horiz="1" inc="10" max="5000" page="10" val="440"/>
</file>

<file path=xl/ctrlProps/ctrlProp183.xml><?xml version="1.0" encoding="utf-8"?>
<formControlPr xmlns="http://schemas.microsoft.com/office/spreadsheetml/2009/9/main" objectType="Scroll" dx="16" fmlaLink="$F$7" horiz="1" inc="10" max="5000" page="10" val="690"/>
</file>

<file path=xl/ctrlProps/ctrlProp184.xml><?xml version="1.0" encoding="utf-8"?>
<formControlPr xmlns="http://schemas.microsoft.com/office/spreadsheetml/2009/9/main" objectType="Scroll" dx="16" fmlaLink="$F$8" horiz="1" inc="10" max="5000" page="10" val="720"/>
</file>

<file path=xl/ctrlProps/ctrlProp185.xml><?xml version="1.0" encoding="utf-8"?>
<formControlPr xmlns="http://schemas.microsoft.com/office/spreadsheetml/2009/9/main" objectType="Scroll" dx="16" fmlaLink="$F$9" horiz="1" inc="10" max="5000" page="10" val="520"/>
</file>

<file path=xl/ctrlProps/ctrlProp186.xml><?xml version="1.0" encoding="utf-8"?>
<formControlPr xmlns="http://schemas.microsoft.com/office/spreadsheetml/2009/9/main" objectType="Scroll" dx="16" fmlaLink="$F$10" horiz="1" inc="10" max="5000" page="10" val="540"/>
</file>

<file path=xl/ctrlProps/ctrlProp187.xml><?xml version="1.0" encoding="utf-8"?>
<formControlPr xmlns="http://schemas.microsoft.com/office/spreadsheetml/2009/9/main" objectType="Scroll" dx="16" fmlaLink="$F$11" horiz="1" inc="10" max="5000" page="10" val="570"/>
</file>

<file path=xl/ctrlProps/ctrlProp188.xml><?xml version="1.0" encoding="utf-8"?>
<formControlPr xmlns="http://schemas.microsoft.com/office/spreadsheetml/2009/9/main" objectType="Scroll" dx="16" fmlaLink="$F$12" horiz="1" inc="10" max="5000" page="10" val="650"/>
</file>

<file path=xl/ctrlProps/ctrlProp189.xml><?xml version="1.0" encoding="utf-8"?>
<formControlPr xmlns="http://schemas.microsoft.com/office/spreadsheetml/2009/9/main" objectType="Scroll" dx="16" fmlaLink="$F$13" horiz="1" inc="10" max="5000" page="10" val="330"/>
</file>

<file path=xl/ctrlProps/ctrlProp190.xml><?xml version="1.0" encoding="utf-8"?>
<formControlPr xmlns="http://schemas.microsoft.com/office/spreadsheetml/2009/9/main" objectType="Scroll" dx="16" fmlaLink="$E$14" horiz="1" inc="10" max="5000" page="10" val="20"/>
</file>

<file path=xl/ctrlProps/ctrlProp191.xml><?xml version="1.0" encoding="utf-8"?>
<formControlPr xmlns="http://schemas.microsoft.com/office/spreadsheetml/2009/9/main" objectType="Scroll" dx="16" fmlaLink="$F$14" horiz="1" inc="10" max="5000" page="10" val="290"/>
</file>

<file path=xl/ctrlProps/ctrlProp192.xml><?xml version="1.0" encoding="utf-8"?>
<formControlPr xmlns="http://schemas.microsoft.com/office/spreadsheetml/2009/9/main" objectType="Scroll" dx="16" fmlaLink="$E$15" horiz="1" inc="10" max="5000" page="10" val="90"/>
</file>

<file path=xl/ctrlProps/ctrlProp193.xml><?xml version="1.0" encoding="utf-8"?>
<formControlPr xmlns="http://schemas.microsoft.com/office/spreadsheetml/2009/9/main" objectType="Scroll" dx="16" fmlaLink="$E$16" horiz="1" inc="10" max="5000" page="10" val="100"/>
</file>

<file path=xl/ctrlProps/ctrlProp194.xml><?xml version="1.0" encoding="utf-8"?>
<formControlPr xmlns="http://schemas.microsoft.com/office/spreadsheetml/2009/9/main" objectType="Scroll" dx="16" fmlaLink="$E$17" horiz="1" inc="10" max="5000" page="10" val="150"/>
</file>

<file path=xl/ctrlProps/ctrlProp195.xml><?xml version="1.0" encoding="utf-8"?>
<formControlPr xmlns="http://schemas.microsoft.com/office/spreadsheetml/2009/9/main" objectType="Scroll" dx="16" fmlaLink="$F$15" horiz="1" inc="10" max="5000" page="10" val="590"/>
</file>

<file path=xl/ctrlProps/ctrlProp196.xml><?xml version="1.0" encoding="utf-8"?>
<formControlPr xmlns="http://schemas.microsoft.com/office/spreadsheetml/2009/9/main" objectType="Scroll" dx="16" fmlaLink="$F$16" horiz="1" inc="10" max="5000" page="10" val="750"/>
</file>

<file path=xl/ctrlProps/ctrlProp197.xml><?xml version="1.0" encoding="utf-8"?>
<formControlPr xmlns="http://schemas.microsoft.com/office/spreadsheetml/2009/9/main" objectType="Scroll" dx="16" fmlaLink="$F$17" horiz="1" inc="10" max="5000" page="10" val="730"/>
</file>

<file path=xl/ctrlProps/ctrlProp198.xml><?xml version="1.0" encoding="utf-8"?>
<formControlPr xmlns="http://schemas.microsoft.com/office/spreadsheetml/2009/9/main" objectType="Scroll" dx="16" fmlaLink="$D$2" horiz="1" max="100" page="10" val="50"/>
</file>

<file path=xl/ctrlProps/ctrlProp199.xml><?xml version="1.0" encoding="utf-8"?>
<formControlPr xmlns="http://schemas.microsoft.com/office/spreadsheetml/2009/9/main" objectType="Scroll" dx="16" fmlaLink="$D$3" horiz="1" max="2000" page="10" val="1200"/>
</file>

<file path=xl/ctrlProps/ctrlProp200.xml><?xml version="1.0" encoding="utf-8"?>
<formControlPr xmlns="http://schemas.microsoft.com/office/spreadsheetml/2009/9/main" objectType="Scroll" dx="16" fmlaLink="$C$8" horiz="1" max="100" page="10" val="100"/>
</file>

<file path=xl/ctrlProps/ctrlProp201.xml><?xml version="1.0" encoding="utf-8"?>
<formControlPr xmlns="http://schemas.microsoft.com/office/spreadsheetml/2009/9/main" objectType="Scroll" dx="16" fmlaLink="$C$7" horiz="1" max="100" page="10" val="80"/>
</file>

<file path=xl/ctrlProps/ctrlProp202.xml><?xml version="1.0" encoding="utf-8"?>
<formControlPr xmlns="http://schemas.microsoft.com/office/spreadsheetml/2009/9/main" objectType="Scroll" dx="16" fmlaLink="$D$2" horiz="1" max="100" page="10" val="50"/>
</file>

<file path=xl/ctrlProps/ctrlProp203.xml><?xml version="1.0" encoding="utf-8"?>
<formControlPr xmlns="http://schemas.microsoft.com/office/spreadsheetml/2009/9/main" objectType="Scroll" dx="16" fmlaLink="$D$3" horiz="1" max="2000" page="10" val="1200"/>
</file>

<file path=xl/ctrlProps/ctrlProp204.xml><?xml version="1.0" encoding="utf-8"?>
<formControlPr xmlns="http://schemas.microsoft.com/office/spreadsheetml/2009/9/main" objectType="Scroll" dx="16" fmlaLink="$C$8" horiz="1" max="100" page="10" val="100"/>
</file>

<file path=xl/ctrlProps/ctrlProp205.xml><?xml version="1.0" encoding="utf-8"?>
<formControlPr xmlns="http://schemas.microsoft.com/office/spreadsheetml/2009/9/main" objectType="Scroll" dx="16" fmlaLink="$C$7" horiz="1" max="100" page="10" val="80"/>
</file>

<file path=xl/ctrlProps/ctrlProp206.xml><?xml version="1.0" encoding="utf-8"?>
<formControlPr xmlns="http://schemas.microsoft.com/office/spreadsheetml/2009/9/main" objectType="Scroll" dx="16" fmlaLink="$B$3" horiz="1" max="1000" page="10" val="14"/>
</file>

<file path=xl/ctrlProps/ctrlProp207.xml><?xml version="1.0" encoding="utf-8"?>
<formControlPr xmlns="http://schemas.microsoft.com/office/spreadsheetml/2009/9/main" objectType="Scroll" dx="16" fmlaLink="$D$3" horiz="1" max="1000" page="10" val="10"/>
</file>

<file path=xl/ctrlProps/ctrlProp208.xml><?xml version="1.0" encoding="utf-8"?>
<formControlPr xmlns="http://schemas.microsoft.com/office/spreadsheetml/2009/9/main" objectType="Scroll" dx="16" fmlaLink="$E$3" horiz="1" max="1000" page="10" val="100"/>
</file>

<file path=xl/ctrlProps/ctrlProp209.xml><?xml version="1.0" encoding="utf-8"?>
<formControlPr xmlns="http://schemas.microsoft.com/office/spreadsheetml/2009/9/main" objectType="Scroll" dx="16" fmlaLink="$C$3" horiz="1" max="1000" page="10" val="200"/>
</file>

<file path=xl/ctrlProps/ctrlProp210.xml><?xml version="1.0" encoding="utf-8"?>
<formControlPr xmlns="http://schemas.microsoft.com/office/spreadsheetml/2009/9/main" objectType="Scroll" dx="16" fmlaLink="$D$32" horiz="1" max="500" page="10" val="100"/>
</file>

<file path=xl/ctrlProps/ctrlProp211.xml><?xml version="1.0" encoding="utf-8"?>
<formControlPr xmlns="http://schemas.microsoft.com/office/spreadsheetml/2009/9/main" objectType="Scroll" dx="16" fmlaLink="$E$32" horiz="1" max="1000" page="10" val="100"/>
</file>

<file path=xl/ctrlProps/ctrlProp212.xml><?xml version="1.0" encoding="utf-8"?>
<formControlPr xmlns="http://schemas.microsoft.com/office/spreadsheetml/2009/9/main" objectType="Scroll" dx="16" fmlaLink="$F$32" horiz="1" max="500" page="10" val="0"/>
</file>

<file path=xl/ctrlProps/ctrlProp213.xml><?xml version="1.0" encoding="utf-8"?>
<formControlPr xmlns="http://schemas.microsoft.com/office/spreadsheetml/2009/9/main" objectType="Scroll" dx="16" fmlaLink="$G$32" horiz="1" max="500" page="10" val="0"/>
</file>

<file path=xl/ctrlProps/ctrlProp214.xml><?xml version="1.0" encoding="utf-8"?>
<formControlPr xmlns="http://schemas.microsoft.com/office/spreadsheetml/2009/9/main" objectType="Scroll" dx="16" fmlaLink="$D$46" horiz="1" max="500" page="10" val="10"/>
</file>

<file path=xl/ctrlProps/ctrlProp215.xml><?xml version="1.0" encoding="utf-8"?>
<formControlPr xmlns="http://schemas.microsoft.com/office/spreadsheetml/2009/9/main" objectType="Scroll" dx="16" fmlaLink="$E$46" horiz="1" max="1000" page="10" val="200"/>
</file>

<file path=xl/ctrlProps/ctrlProp216.xml><?xml version="1.0" encoding="utf-8"?>
<formControlPr xmlns="http://schemas.microsoft.com/office/spreadsheetml/2009/9/main" objectType="Scroll" dx="16" fmlaLink="$F$46" horiz="1" max="500" page="10" val="0"/>
</file>

<file path=xl/ctrlProps/ctrlProp217.xml><?xml version="1.0" encoding="utf-8"?>
<formControlPr xmlns="http://schemas.microsoft.com/office/spreadsheetml/2009/9/main" objectType="Scroll" dx="16" fmlaLink="$G$46" horiz="1" max="2000" page="10" val="1700"/>
</file>

<file path=xl/ctrlProps/ctrlProp218.xml><?xml version="1.0" encoding="utf-8"?>
<formControlPr xmlns="http://schemas.microsoft.com/office/spreadsheetml/2009/9/main" objectType="Scroll" dx="16" fmlaLink="$I$45" horiz="1" max="100" page="10"/>
</file>

<file path=xl/ctrlProps/ctrlProp219.xml><?xml version="1.0" encoding="utf-8"?>
<formControlPr xmlns="http://schemas.microsoft.com/office/spreadsheetml/2009/9/main" objectType="Scroll" dx="16" fmlaLink="$J$45" horiz="1" max="100" page="10" val="100"/>
</file>

<file path=xl/ctrlProps/ctrlProp220.xml><?xml version="1.0" encoding="utf-8"?>
<formControlPr xmlns="http://schemas.microsoft.com/office/spreadsheetml/2009/9/main" objectType="Scroll" dx="16" fmlaLink="$C$60" horiz="1" max="100" page="10"/>
</file>

<file path=xl/ctrlProps/ctrlProp221.xml><?xml version="1.0" encoding="utf-8"?>
<formControlPr xmlns="http://schemas.microsoft.com/office/spreadsheetml/2009/9/main" objectType="Scroll" dx="16" fmlaLink="$D$60" horiz="1" max="100" page="10" val="100"/>
</file>

<file path=xl/ctrlProps/ctrlProp222.xml><?xml version="1.0" encoding="utf-8"?>
<formControlPr xmlns="http://schemas.microsoft.com/office/spreadsheetml/2009/9/main" objectType="Scroll" dx="16" fmlaLink="$E$60" horiz="1" max="100" page="10"/>
</file>

<file path=xl/ctrlProps/ctrlProp223.xml><?xml version="1.0" encoding="utf-8"?>
<formControlPr xmlns="http://schemas.microsoft.com/office/spreadsheetml/2009/9/main" objectType="Scroll" dx="16" fmlaLink="$F$60" horiz="1" max="100" page="10" val="50"/>
</file>

<file path=xl/ctrlProps/ctrlProp224.xml><?xml version="1.0" encoding="utf-8"?>
<formControlPr xmlns="http://schemas.microsoft.com/office/spreadsheetml/2009/9/main" objectType="Scroll" dx="16" fmlaLink="$D$2" horiz="1" max="100" page="10" val="50"/>
</file>

<file path=xl/ctrlProps/ctrlProp225.xml><?xml version="1.0" encoding="utf-8"?>
<formControlPr xmlns="http://schemas.microsoft.com/office/spreadsheetml/2009/9/main" objectType="Scroll" dx="16" fmlaLink="$D$3" horiz="1" max="2000" page="10" val="1200"/>
</file>

<file path=xl/ctrlProps/ctrlProp226.xml><?xml version="1.0" encoding="utf-8"?>
<formControlPr xmlns="http://schemas.microsoft.com/office/spreadsheetml/2009/9/main" objectType="Scroll" dx="16" fmlaLink="$C$8" horiz="1" max="100" page="10" val="100"/>
</file>

<file path=xl/ctrlProps/ctrlProp227.xml><?xml version="1.0" encoding="utf-8"?>
<formControlPr xmlns="http://schemas.microsoft.com/office/spreadsheetml/2009/9/main" objectType="Scroll" dx="16" fmlaLink="$C$23" horiz="1" max="100" page="10" val="50"/>
</file>

<file path=xl/ctrlProps/ctrlProp228.xml><?xml version="1.0" encoding="utf-8"?>
<formControlPr xmlns="http://schemas.microsoft.com/office/spreadsheetml/2009/9/main" objectType="Scroll" dx="16" fmlaLink="$C$37" horiz="1" max="100" page="10" val="50"/>
</file>

<file path=xl/ctrlProps/ctrlProp229.xml><?xml version="1.0" encoding="utf-8"?>
<formControlPr xmlns="http://schemas.microsoft.com/office/spreadsheetml/2009/9/main" objectType="Scroll" dx="16" fmlaLink="$C$51" horiz="1" max="100" page="10" val="50"/>
</file>

<file path=xl/ctrlProps/ctrlProp230.xml><?xml version="1.0" encoding="utf-8"?>
<formControlPr xmlns="http://schemas.microsoft.com/office/spreadsheetml/2009/9/main" objectType="Scroll" dx="16" fmlaLink="$C$65" horiz="1" max="100" page="10" val="50"/>
</file>

<file path=xl/ctrlProps/ctrlProp231.xml><?xml version="1.0" encoding="utf-8"?>
<formControlPr xmlns="http://schemas.microsoft.com/office/spreadsheetml/2009/9/main" objectType="Scroll" dx="16" fmlaLink="$C$79" horiz="1" max="100" page="10" val="50"/>
</file>

<file path=xl/ctrlProps/ctrlProp232.xml><?xml version="1.0" encoding="utf-8"?>
<formControlPr xmlns="http://schemas.microsoft.com/office/spreadsheetml/2009/9/main" objectType="Scroll" dx="16" fmlaLink="$C$93" horiz="1" max="100" page="10" val="40"/>
</file>

<file path=xl/ctrlProps/ctrlProp233.xml><?xml version="1.0" encoding="utf-8"?>
<formControlPr xmlns="http://schemas.microsoft.com/office/spreadsheetml/2009/9/main" objectType="Scroll" dx="16" fmlaLink="$C$94" horiz="1" max="100" page="10" val="50"/>
</file>

<file path=xl/ctrlProps/ctrlProp234.xml><?xml version="1.0" encoding="utf-8"?>
<formControlPr xmlns="http://schemas.microsoft.com/office/spreadsheetml/2009/9/main" objectType="Scroll" dx="16" fmlaLink="$C$95" horiz="1" max="100" page="10" val="100"/>
</file>

<file path=xl/ctrlProps/ctrlProp235.xml><?xml version="1.0" encoding="utf-8"?>
<formControlPr xmlns="http://schemas.microsoft.com/office/spreadsheetml/2009/9/main" objectType="Scroll" dx="16" fmlaLink="$C$96" horiz="1" max="100" page="10"/>
</file>

<file path=xl/ctrlProps/ctrlProp236.xml><?xml version="1.0" encoding="utf-8"?>
<formControlPr xmlns="http://schemas.microsoft.com/office/spreadsheetml/2009/9/main" objectType="Scroll" dx="16" fmlaLink="$C$98" horiz="1" max="100" page="10" val="50"/>
</file>

<file path=xl/ctrlProps/ctrlProp237.xml><?xml version="1.0" encoding="utf-8"?>
<formControlPr xmlns="http://schemas.microsoft.com/office/spreadsheetml/2009/9/main" objectType="Scroll" dx="16" fmlaLink="$C$97" horiz="1" max="100" page="10" val="50"/>
</file>

<file path=xl/ctrlProps/ctrlProp238.xml><?xml version="1.0" encoding="utf-8"?>
<formControlPr xmlns="http://schemas.microsoft.com/office/spreadsheetml/2009/9/main" objectType="Scroll" dx="16" fmlaLink="$C$99" horiz="1" max="100" page="10" val="12"/>
</file>

<file path=xl/ctrlProps/ctrlProp239.xml><?xml version="1.0" encoding="utf-8"?>
<formControlPr xmlns="http://schemas.microsoft.com/office/spreadsheetml/2009/9/main" objectType="Scroll" dx="16" fmlaLink="$C$7" horiz="1" max="10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(((1-((itemLvl-1)/(maxLvl-1)))^2)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(1-((itemLvl-1)/(maxLvl-1))) * ((itemLvl-1)/(maxLvl-1)) * controller) +</a:t>
          </a:r>
        </a:p>
        <a:p>
          <a:pPr algn="l"/>
          <a:r>
            <a:rPr lang="fi-FI" sz="1100" baseline="0"/>
            <a:t>((((itemLvl-1)/(maxLvl-1))^2)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2</xdr:col>
          <xdr:colOff>0</xdr:colOff>
          <xdr:row>233</xdr:row>
          <xdr:rowOff>0</xdr:rowOff>
        </xdr:to>
        <xdr:sp macro="" textlink="">
          <xdr:nvSpPr>
            <xdr:cNvPr id="7311" name="Scroll Bar 143" hidden="1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0</xdr:colOff>
          <xdr:row>235</xdr:row>
          <xdr:rowOff>0</xdr:rowOff>
        </xdr:to>
        <xdr:sp macro="" textlink="">
          <xdr:nvSpPr>
            <xdr:cNvPr id="7312" name="Scroll Bar 144" hidden="1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229</xdr:row>
      <xdr:rowOff>0</xdr:rowOff>
    </xdr:from>
    <xdr:to>
      <xdr:col>9</xdr:col>
      <xdr:colOff>0</xdr:colOff>
      <xdr:row>243</xdr:row>
      <xdr:rowOff>0</xdr:rowOff>
    </xdr:to>
    <xdr:graphicFrame macro="">
      <xdr:nvGraphicFramePr>
        <xdr:cNvPr id="152" name="Chart 1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0</xdr:colOff>
          <xdr:row>32</xdr:row>
          <xdr:rowOff>0</xdr:rowOff>
        </xdr:to>
        <xdr:sp macro="" textlink="">
          <xdr:nvSpPr>
            <xdr:cNvPr id="7313" name="Scroll Bar 145" hidden="1">
              <a:extLst>
                <a:ext uri="{63B3BB69-23CF-44E3-9099-C40C66FF867C}">
                  <a14:compatExt spid="_x0000_s7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34" name="Scroll Bar 166" hidden="1">
              <a:extLst>
                <a:ext uri="{63B3BB69-23CF-44E3-9099-C40C66FF867C}">
                  <a14:compatExt spid="_x0000_s7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9</xdr:col>
          <xdr:colOff>0</xdr:colOff>
          <xdr:row>59</xdr:row>
          <xdr:rowOff>0</xdr:rowOff>
        </xdr:to>
        <xdr:sp macro="" textlink="">
          <xdr:nvSpPr>
            <xdr:cNvPr id="7335" name="Scroll Bar 167" hidden="1">
              <a:extLst>
                <a:ext uri="{63B3BB69-23CF-44E3-9099-C40C66FF867C}">
                  <a14:compatExt spid="_x0000_s7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9</xdr:col>
          <xdr:colOff>0</xdr:colOff>
          <xdr:row>61</xdr:row>
          <xdr:rowOff>0</xdr:rowOff>
        </xdr:to>
        <xdr:sp macro="" textlink="">
          <xdr:nvSpPr>
            <xdr:cNvPr id="7336" name="Scroll Bar 168" hidden="1">
              <a:extLst>
                <a:ext uri="{63B3BB69-23CF-44E3-9099-C40C66FF867C}">
                  <a14:compatExt spid="_x0000_s7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0</xdr:rowOff>
        </xdr:from>
        <xdr:to>
          <xdr:col>9</xdr:col>
          <xdr:colOff>0</xdr:colOff>
          <xdr:row>80</xdr:row>
          <xdr:rowOff>0</xdr:rowOff>
        </xdr:to>
        <xdr:sp macro="" textlink="">
          <xdr:nvSpPr>
            <xdr:cNvPr id="7337" name="Scroll Bar 169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9</xdr:col>
          <xdr:colOff>0</xdr:colOff>
          <xdr:row>82</xdr:row>
          <xdr:rowOff>0</xdr:rowOff>
        </xdr:to>
        <xdr:sp macro="" textlink="">
          <xdr:nvSpPr>
            <xdr:cNvPr id="7338" name="Scroll Bar 170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9</xdr:col>
          <xdr:colOff>0</xdr:colOff>
          <xdr:row>101</xdr:row>
          <xdr:rowOff>0</xdr:rowOff>
        </xdr:to>
        <xdr:sp macro="" textlink="">
          <xdr:nvSpPr>
            <xdr:cNvPr id="7339" name="Scroll Bar 171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9</xdr:col>
          <xdr:colOff>0</xdr:colOff>
          <xdr:row>103</xdr:row>
          <xdr:rowOff>0</xdr:rowOff>
        </xdr:to>
        <xdr:sp macro="" textlink="">
          <xdr:nvSpPr>
            <xdr:cNvPr id="7340" name="Scroll Bar 172" hidden="1">
              <a:extLst>
                <a:ext uri="{63B3BB69-23CF-44E3-9099-C40C66FF867C}">
                  <a14:compatExt spid="_x0000_s7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9</xdr:col>
          <xdr:colOff>0</xdr:colOff>
          <xdr:row>122</xdr:row>
          <xdr:rowOff>0</xdr:rowOff>
        </xdr:to>
        <xdr:sp macro="" textlink="">
          <xdr:nvSpPr>
            <xdr:cNvPr id="7341" name="Scroll Bar 173" hidden="1">
              <a:extLst>
                <a:ext uri="{63B3BB69-23CF-44E3-9099-C40C66FF867C}">
                  <a14:compatExt spid="_x0000_s7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123</xdr:row>
          <xdr:rowOff>0</xdr:rowOff>
        </xdr:from>
        <xdr:to>
          <xdr:col>9</xdr:col>
          <xdr:colOff>0</xdr:colOff>
          <xdr:row>124</xdr:row>
          <xdr:rowOff>0</xdr:rowOff>
        </xdr:to>
        <xdr:sp macro="" textlink="">
          <xdr:nvSpPr>
            <xdr:cNvPr id="7342" name="Scroll Bar 174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9</xdr:col>
          <xdr:colOff>0</xdr:colOff>
          <xdr:row>143</xdr:row>
          <xdr:rowOff>0</xdr:rowOff>
        </xdr:to>
        <xdr:sp macro="" textlink="">
          <xdr:nvSpPr>
            <xdr:cNvPr id="7343" name="Scroll Bar 175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9</xdr:col>
          <xdr:colOff>0</xdr:colOff>
          <xdr:row>145</xdr:row>
          <xdr:rowOff>0</xdr:rowOff>
        </xdr:to>
        <xdr:sp macro="" textlink="">
          <xdr:nvSpPr>
            <xdr:cNvPr id="7344" name="Scroll Bar 176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9</xdr:col>
          <xdr:colOff>0</xdr:colOff>
          <xdr:row>164</xdr:row>
          <xdr:rowOff>0</xdr:rowOff>
        </xdr:to>
        <xdr:sp macro="" textlink="">
          <xdr:nvSpPr>
            <xdr:cNvPr id="7345" name="Scroll Bar 177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9</xdr:col>
          <xdr:colOff>0</xdr:colOff>
          <xdr:row>166</xdr:row>
          <xdr:rowOff>0</xdr:rowOff>
        </xdr:to>
        <xdr:sp macro="" textlink="">
          <xdr:nvSpPr>
            <xdr:cNvPr id="7346" name="Scroll Bar 178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0</xdr:colOff>
          <xdr:row>60</xdr:row>
          <xdr:rowOff>0</xdr:rowOff>
        </xdr:to>
        <xdr:sp macro="" textlink="">
          <xdr:nvSpPr>
            <xdr:cNvPr id="47105" name="Scroll Bar 1" hidden="1">
              <a:extLst>
                <a:ext uri="{63B3BB69-23CF-44E3-9099-C40C66FF867C}">
                  <a14:compatExt spid="_x0000_s47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495300</xdr:colOff>
          <xdr:row>5</xdr:row>
          <xdr:rowOff>0</xdr:rowOff>
        </xdr:to>
        <xdr:sp macro="" textlink="">
          <xdr:nvSpPr>
            <xdr:cNvPr id="38913" name="Scroll Bar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495300</xdr:colOff>
          <xdr:row>5</xdr:row>
          <xdr:rowOff>0</xdr:rowOff>
        </xdr:to>
        <xdr:sp macro="" textlink="">
          <xdr:nvSpPr>
            <xdr:cNvPr id="38914" name="Scroll Bar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495300</xdr:colOff>
          <xdr:row>6</xdr:row>
          <xdr:rowOff>0</xdr:rowOff>
        </xdr:to>
        <xdr:sp macro="" textlink="">
          <xdr:nvSpPr>
            <xdr:cNvPr id="38915" name="Scroll Bar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495300</xdr:colOff>
          <xdr:row>7</xdr:row>
          <xdr:rowOff>0</xdr:rowOff>
        </xdr:to>
        <xdr:sp macro="" textlink="">
          <xdr:nvSpPr>
            <xdr:cNvPr id="38916" name="Scroll Bar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495300</xdr:colOff>
          <xdr:row>8</xdr:row>
          <xdr:rowOff>0</xdr:rowOff>
        </xdr:to>
        <xdr:sp macro="" textlink="">
          <xdr:nvSpPr>
            <xdr:cNvPr id="38917" name="Scroll Bar 5" hidden="1">
              <a:extLst>
                <a:ext uri="{63B3BB69-23CF-44E3-9099-C40C66FF867C}">
                  <a14:compatExt spid="_x0000_s389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495300</xdr:colOff>
          <xdr:row>9</xdr:row>
          <xdr:rowOff>0</xdr:rowOff>
        </xdr:to>
        <xdr:sp macro="" textlink="">
          <xdr:nvSpPr>
            <xdr:cNvPr id="38918" name="Scroll Bar 6" hidden="1">
              <a:extLst>
                <a:ext uri="{63B3BB69-23CF-44E3-9099-C40C66FF867C}">
                  <a14:compatExt spid="_x0000_s38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495300</xdr:colOff>
          <xdr:row>10</xdr:row>
          <xdr:rowOff>0</xdr:rowOff>
        </xdr:to>
        <xdr:sp macro="" textlink="">
          <xdr:nvSpPr>
            <xdr:cNvPr id="38919" name="Scroll Bar 7" hidden="1">
              <a:extLst>
                <a:ext uri="{63B3BB69-23CF-44E3-9099-C40C66FF867C}">
                  <a14:compatExt spid="_x0000_s38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495300</xdr:colOff>
          <xdr:row>11</xdr:row>
          <xdr:rowOff>0</xdr:rowOff>
        </xdr:to>
        <xdr:sp macro="" textlink="">
          <xdr:nvSpPr>
            <xdr:cNvPr id="38920" name="Scroll Bar 8" hidden="1">
              <a:extLst>
                <a:ext uri="{63B3BB69-23CF-44E3-9099-C40C66FF867C}">
                  <a14:compatExt spid="_x0000_s38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495300</xdr:colOff>
          <xdr:row>12</xdr:row>
          <xdr:rowOff>0</xdr:rowOff>
        </xdr:to>
        <xdr:sp macro="" textlink="">
          <xdr:nvSpPr>
            <xdr:cNvPr id="38921" name="Scroll Bar 9" hidden="1">
              <a:extLst>
                <a:ext uri="{63B3BB69-23CF-44E3-9099-C40C66FF867C}">
                  <a14:compatExt spid="_x0000_s38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495300</xdr:colOff>
          <xdr:row>13</xdr:row>
          <xdr:rowOff>0</xdr:rowOff>
        </xdr:to>
        <xdr:sp macro="" textlink="">
          <xdr:nvSpPr>
            <xdr:cNvPr id="38922" name="Scroll Bar 10" hidden="1">
              <a:extLst>
                <a:ext uri="{63B3BB69-23CF-44E3-9099-C40C66FF867C}">
                  <a14:compatExt spid="_x0000_s38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495300</xdr:colOff>
          <xdr:row>6</xdr:row>
          <xdr:rowOff>0</xdr:rowOff>
        </xdr:to>
        <xdr:sp macro="" textlink="">
          <xdr:nvSpPr>
            <xdr:cNvPr id="38923" name="Scroll Bar 11" hidden="1">
              <a:extLst>
                <a:ext uri="{63B3BB69-23CF-44E3-9099-C40C66FF867C}">
                  <a14:compatExt spid="_x0000_s38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495300</xdr:colOff>
          <xdr:row>7</xdr:row>
          <xdr:rowOff>0</xdr:rowOff>
        </xdr:to>
        <xdr:sp macro="" textlink="">
          <xdr:nvSpPr>
            <xdr:cNvPr id="38924" name="Scroll Bar 12" hidden="1">
              <a:extLst>
                <a:ext uri="{63B3BB69-23CF-44E3-9099-C40C66FF867C}">
                  <a14:compatExt spid="_x0000_s38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495300</xdr:colOff>
          <xdr:row>8</xdr:row>
          <xdr:rowOff>0</xdr:rowOff>
        </xdr:to>
        <xdr:sp macro="" textlink="">
          <xdr:nvSpPr>
            <xdr:cNvPr id="38925" name="Scroll Bar 13" hidden="1">
              <a:extLst>
                <a:ext uri="{63B3BB69-23CF-44E3-9099-C40C66FF867C}">
                  <a14:compatExt spid="_x0000_s38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495300</xdr:colOff>
          <xdr:row>9</xdr:row>
          <xdr:rowOff>0</xdr:rowOff>
        </xdr:to>
        <xdr:sp macro="" textlink="">
          <xdr:nvSpPr>
            <xdr:cNvPr id="38926" name="Scroll Bar 14" hidden="1">
              <a:extLst>
                <a:ext uri="{63B3BB69-23CF-44E3-9099-C40C66FF867C}">
                  <a14:compatExt spid="_x0000_s38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495300</xdr:colOff>
          <xdr:row>10</xdr:row>
          <xdr:rowOff>0</xdr:rowOff>
        </xdr:to>
        <xdr:sp macro="" textlink="">
          <xdr:nvSpPr>
            <xdr:cNvPr id="38927" name="Scroll Bar 15" hidden="1">
              <a:extLst>
                <a:ext uri="{63B3BB69-23CF-44E3-9099-C40C66FF867C}">
                  <a14:compatExt spid="_x0000_s38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495300</xdr:colOff>
          <xdr:row>11</xdr:row>
          <xdr:rowOff>0</xdr:rowOff>
        </xdr:to>
        <xdr:sp macro="" textlink="">
          <xdr:nvSpPr>
            <xdr:cNvPr id="38928" name="Scroll Bar 16" hidden="1">
              <a:extLst>
                <a:ext uri="{63B3BB69-23CF-44E3-9099-C40C66FF867C}">
                  <a14:compatExt spid="_x0000_s38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495300</xdr:colOff>
          <xdr:row>12</xdr:row>
          <xdr:rowOff>0</xdr:rowOff>
        </xdr:to>
        <xdr:sp macro="" textlink="">
          <xdr:nvSpPr>
            <xdr:cNvPr id="38929" name="Scroll Bar 17" hidden="1">
              <a:extLst>
                <a:ext uri="{63B3BB69-23CF-44E3-9099-C40C66FF867C}">
                  <a14:compatExt spid="_x0000_s38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495300</xdr:colOff>
          <xdr:row>13</xdr:row>
          <xdr:rowOff>0</xdr:rowOff>
        </xdr:to>
        <xdr:sp macro="" textlink="">
          <xdr:nvSpPr>
            <xdr:cNvPr id="38930" name="Scroll Bar 18" hidden="1">
              <a:extLst>
                <a:ext uri="{63B3BB69-23CF-44E3-9099-C40C66FF867C}">
                  <a14:compatExt spid="_x0000_s38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495300</xdr:colOff>
          <xdr:row>14</xdr:row>
          <xdr:rowOff>0</xdr:rowOff>
        </xdr:to>
        <xdr:sp macro="" textlink="">
          <xdr:nvSpPr>
            <xdr:cNvPr id="38931" name="Scroll Bar 19" hidden="1">
              <a:extLst>
                <a:ext uri="{63B3BB69-23CF-44E3-9099-C40C66FF867C}">
                  <a14:compatExt spid="_x0000_s38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495300</xdr:colOff>
          <xdr:row>14</xdr:row>
          <xdr:rowOff>0</xdr:rowOff>
        </xdr:to>
        <xdr:sp macro="" textlink="">
          <xdr:nvSpPr>
            <xdr:cNvPr id="38932" name="Scroll Bar 20" hidden="1">
              <a:extLst>
                <a:ext uri="{63B3BB69-23CF-44E3-9099-C40C66FF867C}">
                  <a14:compatExt spid="_x0000_s38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495300</xdr:colOff>
          <xdr:row>15</xdr:row>
          <xdr:rowOff>0</xdr:rowOff>
        </xdr:to>
        <xdr:sp macro="" textlink="">
          <xdr:nvSpPr>
            <xdr:cNvPr id="38933" name="Scroll Bar 21" hidden="1">
              <a:extLst>
                <a:ext uri="{63B3BB69-23CF-44E3-9099-C40C66FF867C}">
                  <a14:compatExt spid="_x0000_s38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495300</xdr:colOff>
          <xdr:row>16</xdr:row>
          <xdr:rowOff>0</xdr:rowOff>
        </xdr:to>
        <xdr:sp macro="" textlink="">
          <xdr:nvSpPr>
            <xdr:cNvPr id="38934" name="Scroll Bar 22" hidden="1">
              <a:extLst>
                <a:ext uri="{63B3BB69-23CF-44E3-9099-C40C66FF867C}">
                  <a14:compatExt spid="_x0000_s38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495300</xdr:colOff>
          <xdr:row>17</xdr:row>
          <xdr:rowOff>0</xdr:rowOff>
        </xdr:to>
        <xdr:sp macro="" textlink="">
          <xdr:nvSpPr>
            <xdr:cNvPr id="38935" name="Scroll Bar 23" hidden="1">
              <a:extLst>
                <a:ext uri="{63B3BB69-23CF-44E3-9099-C40C66FF867C}">
                  <a14:compatExt spid="_x0000_s38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495300</xdr:colOff>
          <xdr:row>15</xdr:row>
          <xdr:rowOff>0</xdr:rowOff>
        </xdr:to>
        <xdr:sp macro="" textlink="">
          <xdr:nvSpPr>
            <xdr:cNvPr id="38936" name="Scroll Bar 24" hidden="1">
              <a:extLst>
                <a:ext uri="{63B3BB69-23CF-44E3-9099-C40C66FF867C}">
                  <a14:compatExt spid="_x0000_s38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495300</xdr:colOff>
          <xdr:row>16</xdr:row>
          <xdr:rowOff>0</xdr:rowOff>
        </xdr:to>
        <xdr:sp macro="" textlink="">
          <xdr:nvSpPr>
            <xdr:cNvPr id="38937" name="Scroll Bar 25" hidden="1">
              <a:extLst>
                <a:ext uri="{63B3BB69-23CF-44E3-9099-C40C66FF867C}">
                  <a14:compatExt spid="_x0000_s38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495300</xdr:colOff>
          <xdr:row>17</xdr:row>
          <xdr:rowOff>0</xdr:rowOff>
        </xdr:to>
        <xdr:sp macro="" textlink="">
          <xdr:nvSpPr>
            <xdr:cNvPr id="38938" name="Scroll Bar 26" hidden="1">
              <a:extLst>
                <a:ext uri="{63B3BB69-23CF-44E3-9099-C40C66FF867C}">
                  <a14:compatExt spid="_x0000_s38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154305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1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3857625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32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617220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771525" y="6096000"/>
          <a:ext cx="15430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RETRIEVE CARGO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6" name="Rectangle 5"/>
        <xdr:cNvSpPr/>
      </xdr:nvSpPr>
      <xdr:spPr>
        <a:xfrm>
          <a:off x="1028700" y="6667500"/>
          <a:ext cx="12858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 dataDxfId="107">
      <calculatedColumnFormula>'ITEM STATS'!I66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06">
      <calculatedColumnFormula>'ENEMY STATS'!H4</calculatedColumnFormula>
    </tableColumn>
    <tableColumn id="6" name="AP" dataDxfId="105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U50" totalsRowShown="0">
  <autoFilter ref="L14:U50"/>
  <tableColumns count="10">
    <tableColumn id="1" name="name"/>
    <tableColumn id="2" name="mark"/>
    <tableColumn id="3" name="radar radius"/>
    <tableColumn id="4" name="accuracy"/>
    <tableColumn id="5" name="central overheat limi"/>
    <tableColumn id="6" name="hull armor"/>
    <tableColumn id="7" name="melee damage"/>
    <tableColumn id="8" name="cooling rate"/>
    <tableColumn id="9" name="minimap"/>
    <tableColumn id="10" name="hacking" dataDxfId="104">
      <calculatedColumnFormula>'ITEM STATS'!B208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103">
      <calculatedColumnFormula>ROUND((((1-(($A44-1)/($A$53-1)))^2)*B$37)+(2*(1-(($A44-1)/($A$53-1)))*(($A44-1)/($A$53-1))*B$41)+(((($A44-1)/($A$53-1))^2)*B$39),0)</calculatedColumnFormula>
    </tableColumn>
    <tableColumn id="3" name="accuracy" dataDxfId="102">
      <calculatedColumnFormula>ROUND((((1-(($A44-1)/($A$53-1)))^2)*C$37)+(2*(1-(($A44-1)/($A$53-1)))*(($A44-1)/($A$53-1))*C$41)+(((($A44-1)/($A$53-1))^2)*C$39),0)</calculatedColumnFormula>
    </tableColumn>
    <tableColumn id="4" name="range" dataDxfId="101">
      <calculatedColumnFormula>ROUND((((1-(($A44-1)/($A$53-1)))^2)*D$37)+(2*(1-(($A44-1)/($A$53-1)))*(($A44-1)/($A$53-1))*D$41)+(((($A44-1)/($A$53-1))^2)*D$39),0)</calculatedColumnFormula>
    </tableColumn>
    <tableColumn id="5" name="rate of fire" dataDxfId="100">
      <calculatedColumnFormula>ROUND((((1-(($A44-1)/($A$53-1)))^2)*E$37)+(2*(1-(($A44-1)/($A$53-1)))*(($A44-1)/($A$53-1))*E$41)+(((($A44-1)/($A$53-1))^2)*E$39),0)</calculatedColumnFormula>
    </tableColumn>
    <tableColumn id="6" name="heat gen" dataDxfId="99">
      <calculatedColumnFormula>ROUND((((1-(($A44-1)/($A$53-1)))^2)*F$37)+(2*(1-(($A44-1)/($A$53-1)))*(($A44-1)/($A$53-1))*F$41)+(((($A44-1)/($A$53-1))^2)*F$39),0)</calculatedColumnFormula>
    </tableColumn>
    <tableColumn id="7" name="cooling rate" dataDxfId="98">
      <calculatedColumnFormula>ROUND((((1-(($A44-1)/($A$53-1)))^2)*G$37)+(2*(1-(($A44-1)/($A$53-1)))*(($A44-1)/($A$53-1))*G$41)+(((($A44-1)/($A$53-1))^2)*G$39),0)</calculatedColumnFormula>
    </tableColumn>
    <tableColumn id="8" name="max ammo" dataDxfId="97">
      <calculatedColumnFormula>ROUND((((1-(($A44-1)/($A$53-1)))^2)*H$37)+(2*(1-(($A44-1)/($A$53-1)))*(($A44-1)/($A$53-1))*H$41)+(((($A44-1)/($A$53-1))^2)*H$39),0)</calculatedColumnFormula>
    </tableColumn>
    <tableColumn id="9" name="value" dataDxfId="96">
      <calculatedColumnFormula>ROUND((((1-(($A44-1)/($A$53-1)))^2)*I$37)+(2*(1-(($A44-1)/($A$53-1)))*(($A44-1)/($A$53-1))*I$41)+(((($A44-1)/($A$53-1))^2)*I$39),-1)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95">
      <calculatedColumnFormula>ROUND((((1-(($A65-1)/($A$74-1)))^2)*B$58)+(2*(1-(($A65-1)/($A$53-1)))*(($A65-1)/($A$53-1))*B$62)+(((($A65-1)/($A$53-1))^2)*B$60),0)</calculatedColumnFormula>
    </tableColumn>
    <tableColumn id="3" name="accuracy" dataDxfId="94">
      <calculatedColumnFormula>ROUND((((1-(($A65-1)/($A$74-1)))^2)*C$58)+(2*(1-(($A65-1)/($A$53-1)))*(($A65-1)/($A$53-1))*C$62)+(((($A65-1)/($A$53-1))^2)*C$60),0)</calculatedColumnFormula>
    </tableColumn>
    <tableColumn id="4" name="range" dataDxfId="93">
      <calculatedColumnFormula>ROUND((((1-(($A65-1)/($A$74-1)))^2)*D$58)+(2*(1-(($A65-1)/($A$53-1)))*(($A65-1)/($A$53-1))*D$62)+(((($A65-1)/($A$53-1))^2)*D$60),0)</calculatedColumnFormula>
    </tableColumn>
    <tableColumn id="5" name="rate of fire" dataDxfId="92">
      <calculatedColumnFormula>ROUND((((1-(($A65-1)/($A$74-1)))^2)*E$58)+(2*(1-(($A65-1)/($A$53-1)))*(($A65-1)/($A$53-1))*E$62)+(((($A65-1)/($A$53-1))^2)*E$60),0)</calculatedColumnFormula>
    </tableColumn>
    <tableColumn id="6" name="heat gen" dataDxfId="91">
      <calculatedColumnFormula>ROUND((((1-(($A65-1)/($A$74-1)))^2)*F$58)+(2*(1-(($A65-1)/($A$53-1)))*(($A65-1)/($A$53-1))*F$62)+(((($A65-1)/($A$53-1))^2)*F$60),0)</calculatedColumnFormula>
    </tableColumn>
    <tableColumn id="7" name="cooling rate" dataDxfId="90">
      <calculatedColumnFormula>ROUND((((1-(($A65-1)/($A$74-1)))^2)*G$58)+(2*(1-(($A65-1)/($A$53-1)))*(($A65-1)/($A$53-1))*G$62)+(((($A65-1)/($A$53-1))^2)*G$60),0)</calculatedColumnFormula>
    </tableColumn>
    <tableColumn id="8" name="max ammo" dataDxfId="89">
      <calculatedColumnFormula>ROUND((((1-(($A65-1)/($A$74-1)))^2)*H$58)+(2*(1-(($A65-1)/($A$53-1)))*(($A65-1)/($A$53-1))*H$62)+(((($A65-1)/($A$53-1))^2)*H$60),0)</calculatedColumnFormula>
    </tableColumn>
    <tableColumn id="9" name="value" dataDxfId="88">
      <calculatedColumnFormula>ROUND((((1-(($A65-1)/($A$74-1)))^2)*I$58)+(2*(1-(($A65-1)/($A$53-1)))*(($A65-1)/($A$53-1))*I$62)+(((($A65-1)/($A$53-1))^2)*I$60),-1)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87">
      <calculatedColumnFormula>ROUND((((1-(($A86-1)/($A$95-1)))^2)*B$79)+(2*(1-(($A86-1)/($A$53-1)))*(($A86-1)/($A$53-1))*B$83)+(((($A86-1)/($A$53-1))^2)*B$81),0)</calculatedColumnFormula>
    </tableColumn>
    <tableColumn id="3" name="accuracy" dataDxfId="86">
      <calculatedColumnFormula>ROUND((((1-(($A86-1)/($A$95-1)))^2)*C$79)+(2*(1-(($A86-1)/($A$53-1)))*(($A86-1)/($A$53-1))*C$83)+(((($A86-1)/($A$53-1))^2)*C$81),0)</calculatedColumnFormula>
    </tableColumn>
    <tableColumn id="4" name="range" dataDxfId="85">
      <calculatedColumnFormula>ROUND((((1-(($A86-1)/($A$95-1)))^2)*D$79)+(2*(1-(($A86-1)/($A$53-1)))*(($A86-1)/($A$53-1))*D$83)+(((($A86-1)/($A$53-1))^2)*D$81),0)</calculatedColumnFormula>
    </tableColumn>
    <tableColumn id="5" name="rate of fire" dataDxfId="84">
      <calculatedColumnFormula>ROUND((((1-(($A86-1)/($A$95-1)))^2)*E$79)+(2*(1-(($A86-1)/($A$53-1)))*(($A86-1)/($A$53-1))*E$83)+(((($A86-1)/($A$53-1))^2)*E$81),0)</calculatedColumnFormula>
    </tableColumn>
    <tableColumn id="6" name="heat gen" dataDxfId="83">
      <calculatedColumnFormula>ROUND((((1-(($A86-1)/($A$95-1)))^2)*F$79)+(2*(1-(($A86-1)/($A$53-1)))*(($A86-1)/($A$53-1))*F$83)+(((($A86-1)/($A$53-1))^2)*F$81),0)</calculatedColumnFormula>
    </tableColumn>
    <tableColumn id="7" name="cooling rate" dataDxfId="82">
      <calculatedColumnFormula>ROUND((((1-(($A86-1)/($A$95-1)))^2)*G$79)+(2*(1-(($A86-1)/($A$53-1)))*(($A86-1)/($A$53-1))*G$83)+(((($A86-1)/($A$53-1))^2)*G$81),0)</calculatedColumnFormula>
    </tableColumn>
    <tableColumn id="8" name="max ammo" dataDxfId="81">
      <calculatedColumnFormula>ROUND((((1-(($A86-1)/($A$95-1)))^2)*H$79)+(2*(1-(($A86-1)/($A$53-1)))*(($A86-1)/($A$53-1))*H$83)+(((($A86-1)/($A$53-1))^2)*H$81),0)</calculatedColumnFormula>
    </tableColumn>
    <tableColumn id="9" name="value" dataDxfId="80">
      <calculatedColumnFormula>ROUND((((1-(($A86-1)/($A$95-1)))^2)*I$79)+(2*(1-(($A86-1)/($A$53-1)))*(($A86-1)/($A$53-1))*I$83)+(((($A86-1)/($A$53-1))^2)*I$81),-1)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79">
      <calculatedColumnFormula>ROUND((((1-(($A107-1)/($A$116-1)))^2)*B$100)+(2*(1-(($A107-1)/($A$53-1)))*(($A107-1)/($A$53-1))*B$104)+(((($A107-1)/($A$53-1))^2)*B$102),0)</calculatedColumnFormula>
    </tableColumn>
    <tableColumn id="3" name="accuracy" dataDxfId="78">
      <calculatedColumnFormula>ROUND((((1-(($A107-1)/($A$116-1)))^2)*C$100)+(2*(1-(($A107-1)/($A$53-1)))*(($A107-1)/($A$53-1))*C$104)+(((($A107-1)/($A$53-1))^2)*C$102),0)</calculatedColumnFormula>
    </tableColumn>
    <tableColumn id="4" name="range" dataDxfId="77">
      <calculatedColumnFormula>ROUND((((1-(($A107-1)/($A$116-1)))^2)*D$100)+(2*(1-(($A107-1)/($A$53-1)))*(($A107-1)/($A$53-1))*D$104)+(((($A107-1)/($A$53-1))^2)*D$102),0)</calculatedColumnFormula>
    </tableColumn>
    <tableColumn id="5" name="rate of fire" dataDxfId="76">
      <calculatedColumnFormula>ROUND((((1-(($A107-1)/($A$116-1)))^2)*E$100)+(2*(1-(($A107-1)/($A$53-1)))*(($A107-1)/($A$53-1))*E$104)+(((($A107-1)/($A$53-1))^2)*E$102),0)</calculatedColumnFormula>
    </tableColumn>
    <tableColumn id="6" name="heat gen" dataDxfId="75">
      <calculatedColumnFormula>ROUND((((1-(($A107-1)/($A$116-1)))^2)*F$100)+(2*(1-(($A107-1)/($A$53-1)))*(($A107-1)/($A$53-1))*F$104)+(((($A107-1)/($A$53-1))^2)*F$102),0)</calculatedColumnFormula>
    </tableColumn>
    <tableColumn id="7" name="cooling rate" dataDxfId="74">
      <calculatedColumnFormula>ROUND((((1-(($A107-1)/($A$116-1)))^2)*G$100)+(2*(1-(($A107-1)/($A$53-1)))*(($A107-1)/($A$53-1))*G$104)+(((($A107-1)/($A$53-1))^2)*G$102),0)</calculatedColumnFormula>
    </tableColumn>
    <tableColumn id="8" name="max ammo" dataDxfId="73">
      <calculatedColumnFormula>ROUND((((1-(($A107-1)/($A$116-1)))^2)*H$100)+(2*(1-(($A107-1)/($A$53-1)))*(($A107-1)/($A$53-1))*H$104)+(((($A107-1)/($A$53-1))^2)*H$102),0)</calculatedColumnFormula>
    </tableColumn>
    <tableColumn id="9" name="value" dataDxfId="72">
      <calculatedColumnFormula>ROUND((((1-(($A107-1)/($A$116-1)))^2)*I$100)+(2*(1-(($A107-1)/($A$53-1)))*(($A107-1)/($A$53-1))*I$104)+(((($A107-1)/($A$53-1))^2)*I$102),-1)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71">
      <calculatedColumnFormula>ROUND((((1-(($A128-1)/($A$137-1)))^2)*B$121)+(2*(1-(($A128-1)/($A$53-1)))*(($A128-1)/($A$53-1))*B$125)+(((($A128-1)/($A$53-1))^2)*B$123),0)</calculatedColumnFormula>
    </tableColumn>
    <tableColumn id="3" name="accuracy" dataDxfId="70">
      <calculatedColumnFormula>ROUND((((1-(($A128-1)/($A$137-1)))^2)*C$121)+(2*(1-(($A128-1)/($A$53-1)))*(($A128-1)/($A$53-1))*C$125)+(((($A128-1)/($A$53-1))^2)*C$123),0)</calculatedColumnFormula>
    </tableColumn>
    <tableColumn id="4" name="range" dataDxfId="69">
      <calculatedColumnFormula>ROUND((((1-(($A128-1)/($A$137-1)))^2)*D$121)+(2*(1-(($A128-1)/($A$53-1)))*(($A128-1)/($A$53-1))*D$125)+(((($A128-1)/($A$53-1))^2)*D$123),0)</calculatedColumnFormula>
    </tableColumn>
    <tableColumn id="5" name="rate of fire" dataDxfId="68">
      <calculatedColumnFormula>ROUND((((1-(($A128-1)/($A$137-1)))^2)*E$121)+(2*(1-(($A128-1)/($A$53-1)))*(($A128-1)/($A$53-1))*E$125)+(((($A128-1)/($A$53-1))^2)*E$123),0)</calculatedColumnFormula>
    </tableColumn>
    <tableColumn id="6" name="heat gen" dataDxfId="67">
      <calculatedColumnFormula>ROUND((((1-(($A128-1)/($A$137-1)))^2)*F$121)+(2*(1-(($A128-1)/($A$53-1)))*(($A128-1)/($A$53-1))*F$125)+(((($A128-1)/($A$53-1))^2)*F$123),0)</calculatedColumnFormula>
    </tableColumn>
    <tableColumn id="7" name="cooling rate" dataDxfId="66">
      <calculatedColumnFormula>ROUND((((1-(($A128-1)/($A$137-1)))^2)*G$121)+(2*(1-(($A128-1)/($A$53-1)))*(($A128-1)/($A$53-1))*G$125)+(((($A128-1)/($A$53-1))^2)*G$123),0)</calculatedColumnFormula>
    </tableColumn>
    <tableColumn id="8" name="max ammo" dataDxfId="65">
      <calculatedColumnFormula>ROUND((((1-(($A128-1)/($A$137-1)))^2)*H$121)+(2*(1-(($A128-1)/($A$53-1)))*(($A128-1)/($A$53-1))*H$125)+(((($A128-1)/($A$53-1))^2)*H$123),0)</calculatedColumnFormula>
    </tableColumn>
    <tableColumn id="9" name="value" dataDxfId="64">
      <calculatedColumnFormula>ROUND((((1-(($A128-1)/($A$137-1)))^2)*I$121)+(2*(1-(($A128-1)/($A$53-1)))*(($A128-1)/($A$53-1))*I$125)+(((($A128-1)/($A$53-1))^2)*I$123),-1)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63">
      <calculatedColumnFormula>ROUND((((1-(($A149-1)/($A$158-1)))^2)*B$142)+(2*(1-(($A149-1)/($A$53-1)))*(($A149-1)/($A$53-1))*B$146)+(((($A149-1)/($A$53-1))^2)*B$144),0)</calculatedColumnFormula>
    </tableColumn>
    <tableColumn id="3" name="accuracy" dataDxfId="62">
      <calculatedColumnFormula>ROUND((((1-(($A149-1)/($A$158-1)))^2)*C$142)+(2*(1-(($A149-1)/($A$53-1)))*(($A149-1)/($A$53-1))*C$146)+(((($A149-1)/($A$53-1))^2)*C$144),0)</calculatedColumnFormula>
    </tableColumn>
    <tableColumn id="4" name="range" dataDxfId="61">
      <calculatedColumnFormula>ROUND((((1-(($A149-1)/($A$158-1)))^2)*D$142)+(2*(1-(($A149-1)/($A$53-1)))*(($A149-1)/($A$53-1))*D$146)+(((($A149-1)/($A$53-1))^2)*D$144),0)</calculatedColumnFormula>
    </tableColumn>
    <tableColumn id="5" name="rate of fire" dataDxfId="60">
      <calculatedColumnFormula>ROUND((((1-(($A149-1)/($A$158-1)))^2)*E$142)+(2*(1-(($A149-1)/($A$53-1)))*(($A149-1)/($A$53-1))*E$146)+(((($A149-1)/($A$53-1))^2)*E$144),0)</calculatedColumnFormula>
    </tableColumn>
    <tableColumn id="6" name="heat gen" dataDxfId="59">
      <calculatedColumnFormula>ROUND((((1-(($A149-1)/($A$158-1)))^2)*F$142)+(2*(1-(($A149-1)/($A$53-1)))*(($A149-1)/($A$53-1))*F$146)+(((($A149-1)/($A$53-1))^2)*F$144),0)</calculatedColumnFormula>
    </tableColumn>
    <tableColumn id="7" name="cooling rate" dataDxfId="58">
      <calculatedColumnFormula>ROUND((((1-(($A149-1)/($A$158-1)))^2)*G$142)+(2*(1-(($A149-1)/($A$53-1)))*(($A149-1)/($A$53-1))*G$146)+(((($A149-1)/($A$53-1))^2)*G$144),0)</calculatedColumnFormula>
    </tableColumn>
    <tableColumn id="8" name="max ammo" dataDxfId="57">
      <calculatedColumnFormula>ROUND((((1-(($A149-1)/($A$158-1)))^2)*H$142)+(2*(1-(($A149-1)/($A$53-1)))*(($A149-1)/($A$53-1))*H$146)+(((($A149-1)/($A$53-1))^2)*H$144),0)</calculatedColumnFormula>
    </tableColumn>
    <tableColumn id="9" name="value" dataDxfId="56">
      <calculatedColumnFormula>ROUND((((1-(($A149-1)/($A$158-1)))^2)*I$142)+(2*(1-(($A149-1)/($A$53-1)))*(($A149-1)/($A$53-1))*I$146)+(((($A149-1)/($A$53-1))^2)*I$144),-1)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55">
      <calculatedColumnFormula>ROUND((((1-(($A170-1)/($A$179-1)))^2)*B$163)+(2*(1-(($A170-1)/($A$53-1)))*(($A170-1)/($A$53-1))*B$167)+(((($A170-1)/($A$53-1))^2)*B$165),0)</calculatedColumnFormula>
    </tableColumn>
    <tableColumn id="3" name="accuracy" dataDxfId="54">
      <calculatedColumnFormula>ROUND((((1-(($A170-1)/($A$179-1)))^2)*C$163)+(2*(1-(($A170-1)/($A$53-1)))*(($A170-1)/($A$53-1))*C$167)+(((($A170-1)/($A$53-1))^2)*C$165),0)</calculatedColumnFormula>
    </tableColumn>
    <tableColumn id="4" name="range" dataDxfId="53">
      <calculatedColumnFormula>ROUND((((1-(($A170-1)/($A$179-1)))^2)*D$163)+(2*(1-(($A170-1)/($A$53-1)))*(($A170-1)/($A$53-1))*D$167)+(((($A170-1)/($A$53-1))^2)*D$165),0)</calculatedColumnFormula>
    </tableColumn>
    <tableColumn id="5" name="rate of fire" dataDxfId="52">
      <calculatedColumnFormula>ROUND((((1-(($A170-1)/($A$179-1)))^2)*E$163)+(2*(1-(($A170-1)/($A$53-1)))*(($A170-1)/($A$53-1))*E$167)+(((($A170-1)/($A$53-1))^2)*E$165),0)</calculatedColumnFormula>
    </tableColumn>
    <tableColumn id="6" name="heat gen" dataDxfId="51">
      <calculatedColumnFormula>ROUND((((1-(($A170-1)/($A$179-1)))^2)*F$163)+(2*(1-(($A170-1)/($A$53-1)))*(($A170-1)/($A$53-1))*F$167)+(((($A170-1)/($A$53-1))^2)*F$165),0)</calculatedColumnFormula>
    </tableColumn>
    <tableColumn id="7" name="cooling rate" dataDxfId="50">
      <calculatedColumnFormula>ROUND((((1-(($A170-1)/($A$179-1)))^2)*G$163)+(2*(1-(($A170-1)/($A$53-1)))*(($A170-1)/($A$53-1))*G$167)+(((($A170-1)/($A$53-1))^2)*G$165),0)</calculatedColumnFormula>
    </tableColumn>
    <tableColumn id="8" name="max ammo" dataDxfId="49">
      <calculatedColumnFormula>ROUND((((1-(($A170-1)/($A$179-1)))^2)*H$163)+(2*(1-(($A170-1)/($A$53-1)))*(($A170-1)/($A$53-1))*H$167)+(((($A170-1)/($A$53-1))^2)*H$165),0)</calculatedColumnFormula>
    </tableColumn>
    <tableColumn id="9" name="value" dataDxfId="48">
      <calculatedColumnFormula>ROUND((((1-(($A170-1)/($A$179-1)))^2)*I$163)+(2*(1-(($A170-1)/($A$53-1)))*(($A170-1)/($A$53-1))*I$167)+(((($A170-1)/($A$53-1))^2)*I$165),-1)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table" Target="../tables/table8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table" Target="../tables/table4.xml"/><Relationship Id="rId155" Type="http://schemas.openxmlformats.org/officeDocument/2006/relationships/table" Target="../tables/table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table" Target="../tables/table5.xml"/><Relationship Id="rId156" Type="http://schemas.openxmlformats.org/officeDocument/2006/relationships/table" Target="../tables/table1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table" Target="../tables/table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4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0.xml"/><Relationship Id="rId5" Type="http://schemas.openxmlformats.org/officeDocument/2006/relationships/ctrlProp" Target="../ctrlProps/ctrlProp149.xml"/><Relationship Id="rId4" Type="http://schemas.openxmlformats.org/officeDocument/2006/relationships/ctrlProp" Target="../ctrlProps/ctrlProp14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6.xml"/><Relationship Id="rId13" Type="http://schemas.openxmlformats.org/officeDocument/2006/relationships/ctrlProp" Target="../ctrlProps/ctrlProp161.xml"/><Relationship Id="rId18" Type="http://schemas.openxmlformats.org/officeDocument/2006/relationships/ctrlProp" Target="../ctrlProps/ctrlProp166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69.xml"/><Relationship Id="rId7" Type="http://schemas.openxmlformats.org/officeDocument/2006/relationships/ctrlProp" Target="../ctrlProps/ctrlProp155.xml"/><Relationship Id="rId12" Type="http://schemas.openxmlformats.org/officeDocument/2006/relationships/ctrlProp" Target="../ctrlProps/ctrlProp160.xml"/><Relationship Id="rId17" Type="http://schemas.openxmlformats.org/officeDocument/2006/relationships/ctrlProp" Target="../ctrlProps/ctrlProp165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4.xml"/><Relationship Id="rId20" Type="http://schemas.openxmlformats.org/officeDocument/2006/relationships/ctrlProp" Target="../ctrlProps/ctrlProp16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4.xml"/><Relationship Id="rId11" Type="http://schemas.openxmlformats.org/officeDocument/2006/relationships/ctrlProp" Target="../ctrlProps/ctrlProp159.xml"/><Relationship Id="rId5" Type="http://schemas.openxmlformats.org/officeDocument/2006/relationships/ctrlProp" Target="../ctrlProps/ctrlProp153.xml"/><Relationship Id="rId15" Type="http://schemas.openxmlformats.org/officeDocument/2006/relationships/ctrlProp" Target="../ctrlProps/ctrlProp163.xml"/><Relationship Id="rId10" Type="http://schemas.openxmlformats.org/officeDocument/2006/relationships/ctrlProp" Target="../ctrlProps/ctrlProp158.xml"/><Relationship Id="rId19" Type="http://schemas.openxmlformats.org/officeDocument/2006/relationships/ctrlProp" Target="../ctrlProps/ctrlProp167.xml"/><Relationship Id="rId4" Type="http://schemas.openxmlformats.org/officeDocument/2006/relationships/ctrlProp" Target="../ctrlProps/ctrlProp152.xml"/><Relationship Id="rId9" Type="http://schemas.openxmlformats.org/officeDocument/2006/relationships/ctrlProp" Target="../ctrlProps/ctrlProp157.xml"/><Relationship Id="rId14" Type="http://schemas.openxmlformats.org/officeDocument/2006/relationships/ctrlProp" Target="../ctrlProps/ctrlProp162.xml"/><Relationship Id="rId22" Type="http://schemas.openxmlformats.org/officeDocument/2006/relationships/ctrlProp" Target="../ctrlProps/ctrlProp17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7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6.xml"/><Relationship Id="rId13" Type="http://schemas.openxmlformats.org/officeDocument/2006/relationships/ctrlProp" Target="../ctrlProps/ctrlProp181.xml"/><Relationship Id="rId18" Type="http://schemas.openxmlformats.org/officeDocument/2006/relationships/ctrlProp" Target="../ctrlProps/ctrlProp186.xml"/><Relationship Id="rId26" Type="http://schemas.openxmlformats.org/officeDocument/2006/relationships/ctrlProp" Target="../ctrlProps/ctrlProp194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89.xml"/><Relationship Id="rId7" Type="http://schemas.openxmlformats.org/officeDocument/2006/relationships/ctrlProp" Target="../ctrlProps/ctrlProp175.xml"/><Relationship Id="rId12" Type="http://schemas.openxmlformats.org/officeDocument/2006/relationships/ctrlProp" Target="../ctrlProps/ctrlProp180.xml"/><Relationship Id="rId17" Type="http://schemas.openxmlformats.org/officeDocument/2006/relationships/ctrlProp" Target="../ctrlProps/ctrlProp185.xml"/><Relationship Id="rId25" Type="http://schemas.openxmlformats.org/officeDocument/2006/relationships/ctrlProp" Target="../ctrlProps/ctrlProp193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84.xml"/><Relationship Id="rId20" Type="http://schemas.openxmlformats.org/officeDocument/2006/relationships/ctrlProp" Target="../ctrlProps/ctrlProp188.xml"/><Relationship Id="rId29" Type="http://schemas.openxmlformats.org/officeDocument/2006/relationships/ctrlProp" Target="../ctrlProps/ctrlProp197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74.xml"/><Relationship Id="rId11" Type="http://schemas.openxmlformats.org/officeDocument/2006/relationships/ctrlProp" Target="../ctrlProps/ctrlProp179.xml"/><Relationship Id="rId24" Type="http://schemas.openxmlformats.org/officeDocument/2006/relationships/ctrlProp" Target="../ctrlProps/ctrlProp192.xml"/><Relationship Id="rId5" Type="http://schemas.openxmlformats.org/officeDocument/2006/relationships/ctrlProp" Target="../ctrlProps/ctrlProp173.xml"/><Relationship Id="rId15" Type="http://schemas.openxmlformats.org/officeDocument/2006/relationships/ctrlProp" Target="../ctrlProps/ctrlProp183.xml"/><Relationship Id="rId23" Type="http://schemas.openxmlformats.org/officeDocument/2006/relationships/ctrlProp" Target="../ctrlProps/ctrlProp191.xml"/><Relationship Id="rId28" Type="http://schemas.openxmlformats.org/officeDocument/2006/relationships/ctrlProp" Target="../ctrlProps/ctrlProp196.xml"/><Relationship Id="rId10" Type="http://schemas.openxmlformats.org/officeDocument/2006/relationships/ctrlProp" Target="../ctrlProps/ctrlProp178.xml"/><Relationship Id="rId19" Type="http://schemas.openxmlformats.org/officeDocument/2006/relationships/ctrlProp" Target="../ctrlProps/ctrlProp187.xml"/><Relationship Id="rId4" Type="http://schemas.openxmlformats.org/officeDocument/2006/relationships/ctrlProp" Target="../ctrlProps/ctrlProp172.xml"/><Relationship Id="rId9" Type="http://schemas.openxmlformats.org/officeDocument/2006/relationships/ctrlProp" Target="../ctrlProps/ctrlProp177.xml"/><Relationship Id="rId14" Type="http://schemas.openxmlformats.org/officeDocument/2006/relationships/ctrlProp" Target="../ctrlProps/ctrlProp182.xml"/><Relationship Id="rId22" Type="http://schemas.openxmlformats.org/officeDocument/2006/relationships/ctrlProp" Target="../ctrlProps/ctrlProp190.xml"/><Relationship Id="rId27" Type="http://schemas.openxmlformats.org/officeDocument/2006/relationships/ctrlProp" Target="../ctrlProps/ctrlProp19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9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01.xml"/><Relationship Id="rId5" Type="http://schemas.openxmlformats.org/officeDocument/2006/relationships/ctrlProp" Target="../ctrlProps/ctrlProp200.xml"/><Relationship Id="rId4" Type="http://schemas.openxmlformats.org/officeDocument/2006/relationships/ctrlProp" Target="../ctrlProps/ctrlProp19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2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05.xml"/><Relationship Id="rId5" Type="http://schemas.openxmlformats.org/officeDocument/2006/relationships/ctrlProp" Target="../ctrlProps/ctrlProp204.xml"/><Relationship Id="rId4" Type="http://schemas.openxmlformats.org/officeDocument/2006/relationships/ctrlProp" Target="../ctrlProps/ctrlProp20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0.xml"/><Relationship Id="rId13" Type="http://schemas.openxmlformats.org/officeDocument/2006/relationships/ctrlProp" Target="../ctrlProps/ctrlProp215.xml"/><Relationship Id="rId18" Type="http://schemas.openxmlformats.org/officeDocument/2006/relationships/ctrlProp" Target="../ctrlProps/ctrlProp220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223.xml"/><Relationship Id="rId7" Type="http://schemas.openxmlformats.org/officeDocument/2006/relationships/ctrlProp" Target="../ctrlProps/ctrlProp209.xml"/><Relationship Id="rId12" Type="http://schemas.openxmlformats.org/officeDocument/2006/relationships/ctrlProp" Target="../ctrlProps/ctrlProp214.xml"/><Relationship Id="rId17" Type="http://schemas.openxmlformats.org/officeDocument/2006/relationships/ctrlProp" Target="../ctrlProps/ctrlProp219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218.xml"/><Relationship Id="rId20" Type="http://schemas.openxmlformats.org/officeDocument/2006/relationships/ctrlProp" Target="../ctrlProps/ctrlProp22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08.xml"/><Relationship Id="rId11" Type="http://schemas.openxmlformats.org/officeDocument/2006/relationships/ctrlProp" Target="../ctrlProps/ctrlProp213.xml"/><Relationship Id="rId5" Type="http://schemas.openxmlformats.org/officeDocument/2006/relationships/ctrlProp" Target="../ctrlProps/ctrlProp207.xml"/><Relationship Id="rId15" Type="http://schemas.openxmlformats.org/officeDocument/2006/relationships/ctrlProp" Target="../ctrlProps/ctrlProp217.xml"/><Relationship Id="rId10" Type="http://schemas.openxmlformats.org/officeDocument/2006/relationships/ctrlProp" Target="../ctrlProps/ctrlProp212.xml"/><Relationship Id="rId19" Type="http://schemas.openxmlformats.org/officeDocument/2006/relationships/ctrlProp" Target="../ctrlProps/ctrlProp221.xml"/><Relationship Id="rId4" Type="http://schemas.openxmlformats.org/officeDocument/2006/relationships/ctrlProp" Target="../ctrlProps/ctrlProp206.xml"/><Relationship Id="rId9" Type="http://schemas.openxmlformats.org/officeDocument/2006/relationships/ctrlProp" Target="../ctrlProps/ctrlProp211.xml"/><Relationship Id="rId14" Type="http://schemas.openxmlformats.org/officeDocument/2006/relationships/ctrlProp" Target="../ctrlProps/ctrlProp21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8.xml"/><Relationship Id="rId13" Type="http://schemas.openxmlformats.org/officeDocument/2006/relationships/ctrlProp" Target="../ctrlProps/ctrlProp233.xml"/><Relationship Id="rId18" Type="http://schemas.openxmlformats.org/officeDocument/2006/relationships/ctrlProp" Target="../ctrlProps/ctrlProp238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227.xml"/><Relationship Id="rId12" Type="http://schemas.openxmlformats.org/officeDocument/2006/relationships/ctrlProp" Target="../ctrlProps/ctrlProp232.xml"/><Relationship Id="rId17" Type="http://schemas.openxmlformats.org/officeDocument/2006/relationships/ctrlProp" Target="../ctrlProps/ctrlProp237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236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6.xml"/><Relationship Id="rId11" Type="http://schemas.openxmlformats.org/officeDocument/2006/relationships/ctrlProp" Target="../ctrlProps/ctrlProp231.xml"/><Relationship Id="rId5" Type="http://schemas.openxmlformats.org/officeDocument/2006/relationships/ctrlProp" Target="../ctrlProps/ctrlProp225.xml"/><Relationship Id="rId15" Type="http://schemas.openxmlformats.org/officeDocument/2006/relationships/ctrlProp" Target="../ctrlProps/ctrlProp235.xml"/><Relationship Id="rId10" Type="http://schemas.openxmlformats.org/officeDocument/2006/relationships/ctrlProp" Target="../ctrlProps/ctrlProp230.xml"/><Relationship Id="rId19" Type="http://schemas.openxmlformats.org/officeDocument/2006/relationships/ctrlProp" Target="../ctrlProps/ctrlProp239.xml"/><Relationship Id="rId4" Type="http://schemas.openxmlformats.org/officeDocument/2006/relationships/ctrlProp" Target="../ctrlProps/ctrlProp224.xml"/><Relationship Id="rId9" Type="http://schemas.openxmlformats.org/officeDocument/2006/relationships/ctrlProp" Target="../ctrlProps/ctrlProp229.xml"/><Relationship Id="rId14" Type="http://schemas.openxmlformats.org/officeDocument/2006/relationships/ctrlProp" Target="../ctrlProps/ctrlProp23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zoomScale="85" zoomScaleNormal="85" workbookViewId="0">
      <selection activeCell="K6" sqref="K6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1" x14ac:dyDescent="0.25">
      <c r="A1" t="s">
        <v>145</v>
      </c>
      <c r="L1" t="s">
        <v>150</v>
      </c>
    </row>
    <row r="2" spans="1:21" x14ac:dyDescent="0.25">
      <c r="A2" t="s">
        <v>143</v>
      </c>
      <c r="B2" t="s">
        <v>144</v>
      </c>
      <c r="C2" t="s">
        <v>81</v>
      </c>
      <c r="D2" t="s">
        <v>43</v>
      </c>
      <c r="E2" t="s">
        <v>88</v>
      </c>
      <c r="F2" t="s">
        <v>42</v>
      </c>
      <c r="G2" t="s">
        <v>44</v>
      </c>
      <c r="H2" t="s">
        <v>89</v>
      </c>
      <c r="I2" t="s">
        <v>46</v>
      </c>
      <c r="J2" t="s">
        <v>193</v>
      </c>
      <c r="L2" t="s">
        <v>152</v>
      </c>
      <c r="M2" t="s">
        <v>109</v>
      </c>
      <c r="N2" t="s">
        <v>185</v>
      </c>
      <c r="O2" t="s">
        <v>186</v>
      </c>
      <c r="P2" t="s">
        <v>189</v>
      </c>
      <c r="Q2" t="s">
        <v>135</v>
      </c>
    </row>
    <row r="3" spans="1:21" x14ac:dyDescent="0.25">
      <c r="A3" t="s">
        <v>146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J3">
        <f>'ITEM STATS'!I44</f>
        <v>100</v>
      </c>
      <c r="L3" t="s">
        <v>153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1" x14ac:dyDescent="0.25">
      <c r="A4" t="s">
        <v>146</v>
      </c>
      <c r="B4">
        <v>2</v>
      </c>
      <c r="C4">
        <f>'ITEM STATS'!B45</f>
        <v>30</v>
      </c>
      <c r="D4">
        <f>'ITEM STATS'!C45</f>
        <v>74</v>
      </c>
      <c r="E4">
        <f>'ITEM STATS'!D45</f>
        <v>61</v>
      </c>
      <c r="F4">
        <f>'ITEM STATS'!E45</f>
        <v>1</v>
      </c>
      <c r="G4">
        <f>'ITEM STATS'!F45</f>
        <v>26</v>
      </c>
      <c r="H4">
        <f>'ITEM STATS'!G45</f>
        <v>14</v>
      </c>
      <c r="I4">
        <f>'ITEM STATS'!H45</f>
        <v>0</v>
      </c>
      <c r="J4">
        <f>'ITEM STATS'!I45</f>
        <v>100</v>
      </c>
      <c r="L4" t="s">
        <v>154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1" x14ac:dyDescent="0.25">
      <c r="A5" t="s">
        <v>146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  <c r="J5">
        <f>'ITEM STATS'!I46</f>
        <v>100</v>
      </c>
    </row>
    <row r="6" spans="1:21" x14ac:dyDescent="0.25">
      <c r="A6" t="s">
        <v>146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  <c r="J6">
        <f>'ITEM STATS'!I47</f>
        <v>100</v>
      </c>
    </row>
    <row r="7" spans="1:21" x14ac:dyDescent="0.25">
      <c r="A7" t="s">
        <v>146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  <c r="J7">
        <f>'ITEM STATS'!I48</f>
        <v>100</v>
      </c>
    </row>
    <row r="8" spans="1:21" x14ac:dyDescent="0.25">
      <c r="A8" t="s">
        <v>146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  <c r="J8">
        <f>'ITEM STATS'!I49</f>
        <v>100</v>
      </c>
    </row>
    <row r="9" spans="1:21" x14ac:dyDescent="0.25">
      <c r="A9" t="s">
        <v>146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  <c r="J9">
        <f>'ITEM STATS'!I50</f>
        <v>100</v>
      </c>
    </row>
    <row r="10" spans="1:21" x14ac:dyDescent="0.25">
      <c r="A10" t="s">
        <v>146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  <c r="J10">
        <f>'ITEM STATS'!I51</f>
        <v>100</v>
      </c>
    </row>
    <row r="11" spans="1:21" x14ac:dyDescent="0.25">
      <c r="A11" t="s">
        <v>146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  <c r="J11">
        <f>'ITEM STATS'!I52</f>
        <v>100</v>
      </c>
    </row>
    <row r="12" spans="1:21" x14ac:dyDescent="0.25">
      <c r="A12" t="s">
        <v>146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  <c r="J12">
        <f>'ITEM STATS'!I53</f>
        <v>100</v>
      </c>
    </row>
    <row r="13" spans="1:21" x14ac:dyDescent="0.25">
      <c r="A13" t="s">
        <v>29</v>
      </c>
      <c r="B13">
        <v>1</v>
      </c>
      <c r="C13">
        <f>'ITEM STATS'!B65</f>
        <v>25</v>
      </c>
      <c r="D13">
        <f>'ITEM STATS'!C65</f>
        <v>65</v>
      </c>
      <c r="E13">
        <f>'ITEM STATS'!D65</f>
        <v>60</v>
      </c>
      <c r="F13">
        <f>'ITEM STATS'!E65</f>
        <v>1</v>
      </c>
      <c r="G13">
        <f>'ITEM STATS'!F65</f>
        <v>18</v>
      </c>
      <c r="H13">
        <f>'ITEM STATS'!G65</f>
        <v>10</v>
      </c>
      <c r="I13">
        <f>'ITEM STATS'!H65</f>
        <v>25</v>
      </c>
      <c r="J13">
        <f>'ITEM STATS'!I65</f>
        <v>1100</v>
      </c>
      <c r="L13" t="s">
        <v>167</v>
      </c>
    </row>
    <row r="14" spans="1:21" x14ac:dyDescent="0.25">
      <c r="A14" t="s">
        <v>29</v>
      </c>
      <c r="B14">
        <v>2</v>
      </c>
      <c r="C14">
        <f>'ITEM STATS'!B66</f>
        <v>30</v>
      </c>
      <c r="D14">
        <f>'ITEM STATS'!C66</f>
        <v>68</v>
      </c>
      <c r="E14">
        <f>'ITEM STATS'!D66</f>
        <v>66</v>
      </c>
      <c r="F14">
        <f>'ITEM STATS'!E66</f>
        <v>1</v>
      </c>
      <c r="G14">
        <f>'ITEM STATS'!F66</f>
        <v>20</v>
      </c>
      <c r="H14">
        <f>'ITEM STATS'!G66</f>
        <v>12</v>
      </c>
      <c r="I14">
        <f>'ITEM STATS'!H66</f>
        <v>25</v>
      </c>
      <c r="J14">
        <f>'ITEM STATS'!I66</f>
        <v>1170</v>
      </c>
      <c r="L14" t="s">
        <v>152</v>
      </c>
      <c r="M14" t="s">
        <v>168</v>
      </c>
      <c r="N14" t="s">
        <v>175</v>
      </c>
      <c r="O14" t="s">
        <v>43</v>
      </c>
      <c r="P14" t="s">
        <v>192</v>
      </c>
      <c r="Q14" t="s">
        <v>194</v>
      </c>
      <c r="R14" t="s">
        <v>177</v>
      </c>
      <c r="S14" t="s">
        <v>89</v>
      </c>
      <c r="T14" t="s">
        <v>176</v>
      </c>
      <c r="U14" t="s">
        <v>284</v>
      </c>
    </row>
    <row r="15" spans="1:21" x14ac:dyDescent="0.25">
      <c r="A15" t="s">
        <v>29</v>
      </c>
      <c r="B15">
        <v>3</v>
      </c>
      <c r="C15">
        <f>'ITEM STATS'!B67</f>
        <v>34</v>
      </c>
      <c r="D15">
        <f>'ITEM STATS'!C67</f>
        <v>71</v>
      </c>
      <c r="E15">
        <f>'ITEM STATS'!D67</f>
        <v>72</v>
      </c>
      <c r="F15">
        <f>'ITEM STATS'!E67</f>
        <v>1</v>
      </c>
      <c r="G15">
        <f>'ITEM STATS'!F67</f>
        <v>22</v>
      </c>
      <c r="H15">
        <f>'ITEM STATS'!G67</f>
        <v>14</v>
      </c>
      <c r="I15">
        <f>'ITEM STATS'!H67</f>
        <v>25</v>
      </c>
      <c r="J15">
        <f>'ITEM STATS'!I67</f>
        <v>1370</v>
      </c>
      <c r="L15" t="s">
        <v>170</v>
      </c>
      <c r="M15">
        <v>1</v>
      </c>
      <c r="N15">
        <f>'ITEM STATS'!B194</f>
        <v>2</v>
      </c>
    </row>
    <row r="16" spans="1:21" x14ac:dyDescent="0.25">
      <c r="A16" t="s">
        <v>29</v>
      </c>
      <c r="B16">
        <v>4</v>
      </c>
      <c r="C16">
        <f>'ITEM STATS'!B68</f>
        <v>38</v>
      </c>
      <c r="D16">
        <f>'ITEM STATS'!C68</f>
        <v>74</v>
      </c>
      <c r="E16">
        <f>'ITEM STATS'!D68</f>
        <v>77</v>
      </c>
      <c r="F16">
        <f>'ITEM STATS'!E68</f>
        <v>1</v>
      </c>
      <c r="G16">
        <f>'ITEM STATS'!F68</f>
        <v>24</v>
      </c>
      <c r="H16">
        <f>'ITEM STATS'!G68</f>
        <v>16</v>
      </c>
      <c r="I16">
        <f>'ITEM STATS'!H68</f>
        <v>25</v>
      </c>
      <c r="J16">
        <f>'ITEM STATS'!I68</f>
        <v>1710</v>
      </c>
      <c r="L16" t="s">
        <v>170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81</v>
      </c>
      <c r="F17">
        <f>'ITEM STATS'!E69</f>
        <v>1</v>
      </c>
      <c r="G17">
        <f>'ITEM STATS'!F69</f>
        <v>26</v>
      </c>
      <c r="H17">
        <f>'ITEM STATS'!G69</f>
        <v>18</v>
      </c>
      <c r="I17">
        <f>'ITEM STATS'!H69</f>
        <v>25</v>
      </c>
      <c r="J17">
        <f>'ITEM STATS'!I69</f>
        <v>2190</v>
      </c>
      <c r="L17" t="s">
        <v>170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80</v>
      </c>
      <c r="E18">
        <f>'ITEM STATS'!D70</f>
        <v>84</v>
      </c>
      <c r="F18">
        <f>'ITEM STATS'!E70</f>
        <v>2</v>
      </c>
      <c r="G18">
        <f>'ITEM STATS'!F70</f>
        <v>27</v>
      </c>
      <c r="H18">
        <f>'ITEM STATS'!G70</f>
        <v>20</v>
      </c>
      <c r="I18">
        <f>'ITEM STATS'!H70</f>
        <v>25</v>
      </c>
      <c r="J18">
        <f>'ITEM STATS'!I70</f>
        <v>2800</v>
      </c>
      <c r="L18" t="s">
        <v>170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83</v>
      </c>
      <c r="E19">
        <f>'ITEM STATS'!D71</f>
        <v>87</v>
      </c>
      <c r="F19">
        <f>'ITEM STATS'!E71</f>
        <v>2</v>
      </c>
      <c r="G19">
        <f>'ITEM STATS'!F71</f>
        <v>28</v>
      </c>
      <c r="H19">
        <f>'ITEM STATS'!G71</f>
        <v>22</v>
      </c>
      <c r="I19">
        <f>'ITEM STATS'!H71</f>
        <v>25</v>
      </c>
      <c r="J19">
        <f>'ITEM STATS'!I71</f>
        <v>3540</v>
      </c>
      <c r="L19" t="s">
        <v>170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89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25</v>
      </c>
      <c r="J20">
        <f>'ITEM STATS'!I72</f>
        <v>4430</v>
      </c>
      <c r="L20" t="s">
        <v>169</v>
      </c>
      <c r="M20">
        <v>1</v>
      </c>
      <c r="O20">
        <f>'ITEM STATS'!L194</f>
        <v>5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90</v>
      </c>
      <c r="F21">
        <f>'ITEM STATS'!E73</f>
        <v>2</v>
      </c>
      <c r="G21">
        <f>'ITEM STATS'!F73</f>
        <v>30</v>
      </c>
      <c r="H21">
        <f>'ITEM STATS'!G73</f>
        <v>27</v>
      </c>
      <c r="I21">
        <f>'ITEM STATS'!H73</f>
        <v>25</v>
      </c>
      <c r="J21">
        <f>'ITEM STATS'!I73</f>
        <v>5450</v>
      </c>
      <c r="L21" t="s">
        <v>169</v>
      </c>
      <c r="M21">
        <v>2</v>
      </c>
      <c r="O21">
        <f>'ITEM STATS'!L195</f>
        <v>9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90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25</v>
      </c>
      <c r="J22">
        <f>'ITEM STATS'!I74</f>
        <v>6600</v>
      </c>
      <c r="L22" t="s">
        <v>169</v>
      </c>
      <c r="M22">
        <v>3</v>
      </c>
      <c r="O22">
        <f>'ITEM STATS'!L196</f>
        <v>13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60</v>
      </c>
      <c r="E23">
        <f>'ITEM STATS'!D86</f>
        <v>80</v>
      </c>
      <c r="F23">
        <f>'ITEM STATS'!E86</f>
        <v>1</v>
      </c>
      <c r="G23">
        <f>'ITEM STATS'!F86</f>
        <v>53</v>
      </c>
      <c r="H23">
        <f>'ITEM STATS'!G86</f>
        <v>15</v>
      </c>
      <c r="I23">
        <f>'ITEM STATS'!H86</f>
        <v>15</v>
      </c>
      <c r="J23">
        <f>'ITEM STATS'!I86</f>
        <v>1900</v>
      </c>
      <c r="L23" t="s">
        <v>169</v>
      </c>
      <c r="M23">
        <v>4</v>
      </c>
      <c r="O23">
        <f>'ITEM STATS'!L197</f>
        <v>16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63</v>
      </c>
      <c r="E24">
        <f>'ITEM STATS'!D87</f>
        <v>84</v>
      </c>
      <c r="F24">
        <f>'ITEM STATS'!E87</f>
        <v>1</v>
      </c>
      <c r="G24">
        <f>'ITEM STATS'!F87</f>
        <v>56</v>
      </c>
      <c r="H24">
        <f>'ITEM STATS'!G87</f>
        <v>16</v>
      </c>
      <c r="I24">
        <f>'ITEM STATS'!H87</f>
        <v>15</v>
      </c>
      <c r="J24">
        <f>'ITEM STATS'!I87</f>
        <v>1990</v>
      </c>
      <c r="L24" t="s">
        <v>169</v>
      </c>
      <c r="M24">
        <v>5</v>
      </c>
      <c r="O24">
        <f>'ITEM STATS'!L198</f>
        <v>20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65</v>
      </c>
      <c r="E25">
        <f>'ITEM STATS'!D88</f>
        <v>88</v>
      </c>
      <c r="F25">
        <f>'ITEM STATS'!E88</f>
        <v>1</v>
      </c>
      <c r="G25">
        <f>'ITEM STATS'!F88</f>
        <v>59</v>
      </c>
      <c r="H25">
        <f>'ITEM STATS'!G88</f>
        <v>18</v>
      </c>
      <c r="I25">
        <f>'ITEM STATS'!H88</f>
        <v>15</v>
      </c>
      <c r="J25">
        <f>'ITEM STATS'!I88</f>
        <v>2260</v>
      </c>
      <c r="L25" t="s">
        <v>172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68</v>
      </c>
      <c r="E26">
        <f>'ITEM STATS'!D89</f>
        <v>91</v>
      </c>
      <c r="F26">
        <f>'ITEM STATS'!E89</f>
        <v>1</v>
      </c>
      <c r="G26">
        <f>'ITEM STATS'!F89</f>
        <v>62</v>
      </c>
      <c r="H26">
        <f>'ITEM STATS'!G89</f>
        <v>19</v>
      </c>
      <c r="I26">
        <f>'ITEM STATS'!H89</f>
        <v>15</v>
      </c>
      <c r="J26">
        <f>'ITEM STATS'!I89</f>
        <v>2700</v>
      </c>
      <c r="L26" t="s">
        <v>172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70</v>
      </c>
      <c r="E27">
        <f>'ITEM STATS'!D90</f>
        <v>94</v>
      </c>
      <c r="F27">
        <f>'ITEM STATS'!E90</f>
        <v>1</v>
      </c>
      <c r="G27">
        <f>'ITEM STATS'!F90</f>
        <v>64</v>
      </c>
      <c r="H27">
        <f>'ITEM STATS'!G90</f>
        <v>21</v>
      </c>
      <c r="I27">
        <f>'ITEM STATS'!H90</f>
        <v>15</v>
      </c>
      <c r="J27">
        <f>'ITEM STATS'!I90</f>
        <v>3320</v>
      </c>
      <c r="L27" t="s">
        <v>172</v>
      </c>
      <c r="M27">
        <v>3</v>
      </c>
      <c r="P27">
        <f>'ITEM STATS'!B211</f>
        <v>13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72</v>
      </c>
      <c r="E28">
        <f>'ITEM STATS'!D91</f>
        <v>96</v>
      </c>
      <c r="F28">
        <f>'ITEM STATS'!E91</f>
        <v>1</v>
      </c>
      <c r="G28">
        <f>'ITEM STATS'!F91</f>
        <v>66</v>
      </c>
      <c r="H28">
        <f>'ITEM STATS'!G91</f>
        <v>23</v>
      </c>
      <c r="I28">
        <f>'ITEM STATS'!H91</f>
        <v>15</v>
      </c>
      <c r="J28">
        <f>'ITEM STATS'!I91</f>
        <v>4120</v>
      </c>
      <c r="L28" t="s">
        <v>172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24</v>
      </c>
      <c r="I29">
        <f>'ITEM STATS'!H92</f>
        <v>15</v>
      </c>
      <c r="J29">
        <f>'ITEM STATS'!I92</f>
        <v>5100</v>
      </c>
      <c r="L29" t="s">
        <v>172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26</v>
      </c>
      <c r="I30">
        <f>'ITEM STATS'!H93</f>
        <v>15</v>
      </c>
      <c r="J30">
        <f>'ITEM STATS'!I93</f>
        <v>6260</v>
      </c>
      <c r="L30" t="s">
        <v>173</v>
      </c>
      <c r="M30">
        <v>1</v>
      </c>
      <c r="Q30">
        <f>'ITEM STATS'!L209</f>
        <v>5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J31">
        <f>'ITEM STATS'!I94</f>
        <v>7590</v>
      </c>
      <c r="L31" t="s">
        <v>173</v>
      </c>
      <c r="M31">
        <v>2</v>
      </c>
      <c r="Q31">
        <f>'ITEM STATS'!L210</f>
        <v>8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J32">
        <f>'ITEM STATS'!I95</f>
        <v>9100</v>
      </c>
      <c r="L32" t="s">
        <v>173</v>
      </c>
      <c r="M32">
        <v>3</v>
      </c>
      <c r="Q32">
        <f>'ITEM STATS'!L211</f>
        <v>10</v>
      </c>
    </row>
    <row r="33" spans="1:21" x14ac:dyDescent="0.25">
      <c r="A33" t="s">
        <v>31</v>
      </c>
      <c r="B33">
        <v>1</v>
      </c>
      <c r="C33">
        <f>'ITEM STATS'!B107</f>
        <v>15</v>
      </c>
      <c r="D33">
        <f>'ITEM STATS'!C107</f>
        <v>45</v>
      </c>
      <c r="E33">
        <f>'ITEM STATS'!D107</f>
        <v>45</v>
      </c>
      <c r="F33">
        <f>'ITEM STATS'!E107</f>
        <v>2</v>
      </c>
      <c r="G33">
        <f>'ITEM STATS'!F107</f>
        <v>16</v>
      </c>
      <c r="H33">
        <f>'ITEM STATS'!G107</f>
        <v>11</v>
      </c>
      <c r="I33">
        <f>'ITEM STATS'!H107</f>
        <v>40</v>
      </c>
      <c r="J33">
        <f>'ITEM STATS'!I107</f>
        <v>1200</v>
      </c>
      <c r="L33" t="s">
        <v>173</v>
      </c>
      <c r="M33">
        <v>4</v>
      </c>
      <c r="Q33">
        <f>'ITEM STATS'!L212</f>
        <v>13</v>
      </c>
    </row>
    <row r="34" spans="1:21" x14ac:dyDescent="0.25">
      <c r="A34" t="s">
        <v>31</v>
      </c>
      <c r="B34">
        <v>2</v>
      </c>
      <c r="C34">
        <f>'ITEM STATS'!B108</f>
        <v>20</v>
      </c>
      <c r="D34">
        <f>'ITEM STATS'!C108</f>
        <v>48</v>
      </c>
      <c r="E34">
        <f>'ITEM STATS'!D108</f>
        <v>48</v>
      </c>
      <c r="F34">
        <f>'ITEM STATS'!E108</f>
        <v>2</v>
      </c>
      <c r="G34">
        <f>'ITEM STATS'!F108</f>
        <v>17</v>
      </c>
      <c r="H34">
        <f>'ITEM STATS'!G108</f>
        <v>12</v>
      </c>
      <c r="I34">
        <f>'ITEM STATS'!H108</f>
        <v>40</v>
      </c>
      <c r="J34">
        <f>'ITEM STATS'!I108</f>
        <v>1280</v>
      </c>
      <c r="L34" t="s">
        <v>173</v>
      </c>
      <c r="M34">
        <v>5</v>
      </c>
      <c r="Q34">
        <f>'ITEM STATS'!L213</f>
        <v>15</v>
      </c>
    </row>
    <row r="35" spans="1:21" x14ac:dyDescent="0.25">
      <c r="A35" t="s">
        <v>31</v>
      </c>
      <c r="B35">
        <v>3</v>
      </c>
      <c r="C35">
        <f>'ITEM STATS'!B109</f>
        <v>24</v>
      </c>
      <c r="D35">
        <f>'ITEM STATS'!C109</f>
        <v>51</v>
      </c>
      <c r="E35">
        <f>'ITEM STATS'!D109</f>
        <v>51</v>
      </c>
      <c r="F35">
        <f>'ITEM STATS'!E109</f>
        <v>2</v>
      </c>
      <c r="G35">
        <f>'ITEM STATS'!F109</f>
        <v>17</v>
      </c>
      <c r="H35">
        <f>'ITEM STATS'!G109</f>
        <v>14</v>
      </c>
      <c r="I35">
        <f>'ITEM STATS'!H109</f>
        <v>40</v>
      </c>
      <c r="J35">
        <f>'ITEM STATS'!I109</f>
        <v>1500</v>
      </c>
      <c r="L35" t="s">
        <v>174</v>
      </c>
      <c r="M35">
        <v>1</v>
      </c>
      <c r="R35">
        <f>'ITEM STATS'!B224</f>
        <v>10</v>
      </c>
    </row>
    <row r="36" spans="1:21" x14ac:dyDescent="0.25">
      <c r="A36" t="s">
        <v>31</v>
      </c>
      <c r="B36">
        <v>4</v>
      </c>
      <c r="C36">
        <f>'ITEM STATS'!B110</f>
        <v>28</v>
      </c>
      <c r="D36">
        <f>'ITEM STATS'!C110</f>
        <v>54</v>
      </c>
      <c r="E36">
        <f>'ITEM STATS'!D110</f>
        <v>53</v>
      </c>
      <c r="F36">
        <f>'ITEM STATS'!E110</f>
        <v>3</v>
      </c>
      <c r="G36">
        <f>'ITEM STATS'!F110</f>
        <v>18</v>
      </c>
      <c r="H36">
        <f>'ITEM STATS'!G110</f>
        <v>15</v>
      </c>
      <c r="I36">
        <f>'ITEM STATS'!H110</f>
        <v>40</v>
      </c>
      <c r="J36">
        <f>'ITEM STATS'!I110</f>
        <v>1880</v>
      </c>
      <c r="L36" t="s">
        <v>174</v>
      </c>
      <c r="M36">
        <v>2</v>
      </c>
      <c r="R36">
        <f>'ITEM STATS'!B225</f>
        <v>14</v>
      </c>
    </row>
    <row r="37" spans="1:21" x14ac:dyDescent="0.25">
      <c r="A37" t="s">
        <v>31</v>
      </c>
      <c r="B37">
        <v>5</v>
      </c>
      <c r="C37">
        <f>'ITEM STATS'!B111</f>
        <v>31</v>
      </c>
      <c r="D37">
        <f>'ITEM STATS'!C111</f>
        <v>57</v>
      </c>
      <c r="E37">
        <f>'ITEM STATS'!D111</f>
        <v>55</v>
      </c>
      <c r="F37">
        <f>'ITEM STATS'!E111</f>
        <v>3</v>
      </c>
      <c r="G37">
        <f>'ITEM STATS'!F111</f>
        <v>18</v>
      </c>
      <c r="H37">
        <f>'ITEM STATS'!G111</f>
        <v>17</v>
      </c>
      <c r="I37">
        <f>'ITEM STATS'!H111</f>
        <v>40</v>
      </c>
      <c r="J37">
        <f>'ITEM STATS'!I111</f>
        <v>2400</v>
      </c>
      <c r="L37" t="s">
        <v>174</v>
      </c>
      <c r="M37">
        <v>3</v>
      </c>
      <c r="R37">
        <f>'ITEM STATS'!B226</f>
        <v>18</v>
      </c>
    </row>
    <row r="38" spans="1:21" x14ac:dyDescent="0.25">
      <c r="A38" t="s">
        <v>31</v>
      </c>
      <c r="B38">
        <v>6</v>
      </c>
      <c r="C38">
        <f>'ITEM STATS'!B112</f>
        <v>34</v>
      </c>
      <c r="D38">
        <f>'ITEM STATS'!C112</f>
        <v>60</v>
      </c>
      <c r="E38">
        <f>'ITEM STATS'!D112</f>
        <v>57</v>
      </c>
      <c r="F38">
        <f>'ITEM STATS'!E112</f>
        <v>3</v>
      </c>
      <c r="G38">
        <f>'ITEM STATS'!F112</f>
        <v>18</v>
      </c>
      <c r="H38">
        <f>'ITEM STATS'!G112</f>
        <v>18</v>
      </c>
      <c r="I38">
        <f>'ITEM STATS'!H112</f>
        <v>40</v>
      </c>
      <c r="J38">
        <f>'ITEM STATS'!I112</f>
        <v>3080</v>
      </c>
      <c r="L38" t="s">
        <v>174</v>
      </c>
      <c r="M38">
        <v>4</v>
      </c>
      <c r="R38">
        <f>'ITEM STATS'!B227</f>
        <v>21</v>
      </c>
    </row>
    <row r="39" spans="1:21" x14ac:dyDescent="0.25">
      <c r="A39" t="s">
        <v>31</v>
      </c>
      <c r="B39">
        <v>7</v>
      </c>
      <c r="C39">
        <f>'ITEM STATS'!B113</f>
        <v>36</v>
      </c>
      <c r="D39">
        <f>'ITEM STATS'!C113</f>
        <v>63</v>
      </c>
      <c r="E39">
        <f>'ITEM STATS'!D113</f>
        <v>58</v>
      </c>
      <c r="F39">
        <f>'ITEM STATS'!E113</f>
        <v>3</v>
      </c>
      <c r="G39">
        <f>'ITEM STATS'!F113</f>
        <v>19</v>
      </c>
      <c r="H39">
        <f>'ITEM STATS'!G113</f>
        <v>20</v>
      </c>
      <c r="I39">
        <f>'ITEM STATS'!H113</f>
        <v>40</v>
      </c>
      <c r="J39">
        <f>'ITEM STATS'!I113</f>
        <v>3910</v>
      </c>
      <c r="L39" t="s">
        <v>174</v>
      </c>
      <c r="M39">
        <v>5</v>
      </c>
      <c r="R39">
        <f>'ITEM STATS'!B228</f>
        <v>25</v>
      </c>
    </row>
    <row r="40" spans="1:21" x14ac:dyDescent="0.25">
      <c r="A40" t="s">
        <v>31</v>
      </c>
      <c r="B40">
        <v>8</v>
      </c>
      <c r="C40">
        <f>'ITEM STATS'!B114</f>
        <v>38</v>
      </c>
      <c r="D40">
        <f>'ITEM STATS'!C114</f>
        <v>65</v>
      </c>
      <c r="E40">
        <f>'ITEM STATS'!D114</f>
        <v>59</v>
      </c>
      <c r="F40">
        <f>'ITEM STATS'!E114</f>
        <v>4</v>
      </c>
      <c r="G40">
        <f>'ITEM STATS'!F114</f>
        <v>19</v>
      </c>
      <c r="H40">
        <f>'ITEM STATS'!G114</f>
        <v>21</v>
      </c>
      <c r="I40">
        <f>'ITEM STATS'!H114</f>
        <v>40</v>
      </c>
      <c r="J40">
        <f>'ITEM STATS'!I114</f>
        <v>4890</v>
      </c>
      <c r="L40" t="s">
        <v>191</v>
      </c>
      <c r="M40">
        <v>1</v>
      </c>
      <c r="S40">
        <f>'ITEM STATS'!L224</f>
        <v>5</v>
      </c>
    </row>
    <row r="41" spans="1:21" x14ac:dyDescent="0.25">
      <c r="A41" t="s">
        <v>31</v>
      </c>
      <c r="B41">
        <v>9</v>
      </c>
      <c r="C41">
        <f>'ITEM STATS'!B115</f>
        <v>39</v>
      </c>
      <c r="D41">
        <f>'ITEM STATS'!C115</f>
        <v>68</v>
      </c>
      <c r="E41">
        <f>'ITEM STATS'!D115</f>
        <v>60</v>
      </c>
      <c r="F41">
        <f>'ITEM STATS'!E115</f>
        <v>4</v>
      </c>
      <c r="G41">
        <f>'ITEM STATS'!F115</f>
        <v>19</v>
      </c>
      <c r="H41">
        <f>'ITEM STATS'!G115</f>
        <v>23</v>
      </c>
      <c r="I41">
        <f>'ITEM STATS'!H115</f>
        <v>40</v>
      </c>
      <c r="J41">
        <f>'ITEM STATS'!I115</f>
        <v>6020</v>
      </c>
      <c r="L41" t="s">
        <v>191</v>
      </c>
      <c r="M41">
        <v>2</v>
      </c>
      <c r="S41">
        <f>'ITEM STATS'!L225</f>
        <v>6</v>
      </c>
    </row>
    <row r="42" spans="1:21" x14ac:dyDescent="0.25">
      <c r="A42" t="s">
        <v>31</v>
      </c>
      <c r="B42">
        <v>10</v>
      </c>
      <c r="C42">
        <f>'ITEM STATS'!B116</f>
        <v>40</v>
      </c>
      <c r="D42">
        <f>'ITEM STATS'!C116</f>
        <v>70</v>
      </c>
      <c r="E42">
        <f>'ITEM STATS'!D116</f>
        <v>60</v>
      </c>
      <c r="F42">
        <f>'ITEM STATS'!E116</f>
        <v>4</v>
      </c>
      <c r="G42">
        <f>'ITEM STATS'!F116</f>
        <v>19</v>
      </c>
      <c r="H42">
        <f>'ITEM STATS'!G116</f>
        <v>25</v>
      </c>
      <c r="I42">
        <f>'ITEM STATS'!H116</f>
        <v>40</v>
      </c>
      <c r="J42">
        <f>'ITEM STATS'!I116</f>
        <v>7300</v>
      </c>
      <c r="L42" t="s">
        <v>191</v>
      </c>
      <c r="M42">
        <v>3</v>
      </c>
      <c r="S42">
        <f>'ITEM STATS'!L226</f>
        <v>8</v>
      </c>
    </row>
    <row r="43" spans="1:21" x14ac:dyDescent="0.25">
      <c r="A43" t="s">
        <v>34</v>
      </c>
      <c r="B43">
        <v>1</v>
      </c>
      <c r="C43">
        <f>'ITEM STATS'!B128</f>
        <v>30</v>
      </c>
      <c r="D43">
        <f>'ITEM STATS'!C128</f>
        <v>70</v>
      </c>
      <c r="E43">
        <f>'ITEM STATS'!D128</f>
        <v>10</v>
      </c>
      <c r="F43">
        <f>'ITEM STATS'!E128</f>
        <v>1</v>
      </c>
      <c r="G43">
        <f>'ITEM STATS'!F128</f>
        <v>21</v>
      </c>
      <c r="H43">
        <f>'ITEM STATS'!G128</f>
        <v>10</v>
      </c>
      <c r="I43">
        <f>'ITEM STATS'!H128</f>
        <v>20</v>
      </c>
      <c r="J43">
        <f>'ITEM STATS'!I128</f>
        <v>1500</v>
      </c>
      <c r="L43" t="s">
        <v>191</v>
      </c>
      <c r="M43">
        <v>4</v>
      </c>
      <c r="S43">
        <f>'ITEM STATS'!L227</f>
        <v>9</v>
      </c>
    </row>
    <row r="44" spans="1:21" x14ac:dyDescent="0.25">
      <c r="A44" t="s">
        <v>34</v>
      </c>
      <c r="B44">
        <v>2</v>
      </c>
      <c r="C44">
        <f>'ITEM STATS'!B129</f>
        <v>33</v>
      </c>
      <c r="D44">
        <f>'ITEM STATS'!C129</f>
        <v>72</v>
      </c>
      <c r="E44">
        <f>'ITEM STATS'!D129</f>
        <v>12</v>
      </c>
      <c r="F44">
        <f>'ITEM STATS'!E129</f>
        <v>1</v>
      </c>
      <c r="G44">
        <f>'ITEM STATS'!F129</f>
        <v>22</v>
      </c>
      <c r="H44">
        <f>'ITEM STATS'!G129</f>
        <v>11</v>
      </c>
      <c r="I44">
        <f>'ITEM STATS'!H129</f>
        <v>20</v>
      </c>
      <c r="J44">
        <f>'ITEM STATS'!I129</f>
        <v>1580</v>
      </c>
      <c r="L44" t="s">
        <v>191</v>
      </c>
      <c r="M44">
        <v>5</v>
      </c>
      <c r="S44">
        <f>'ITEM STATS'!L228</f>
        <v>10</v>
      </c>
    </row>
    <row r="45" spans="1:21" x14ac:dyDescent="0.25">
      <c r="A45" t="s">
        <v>34</v>
      </c>
      <c r="B45">
        <v>3</v>
      </c>
      <c r="C45">
        <f>'ITEM STATS'!B130</f>
        <v>35</v>
      </c>
      <c r="D45">
        <f>'ITEM STATS'!C130</f>
        <v>74</v>
      </c>
      <c r="E45">
        <f>'ITEM STATS'!D130</f>
        <v>14</v>
      </c>
      <c r="F45">
        <f>'ITEM STATS'!E130</f>
        <v>1</v>
      </c>
      <c r="G45">
        <f>'ITEM STATS'!F130</f>
        <v>22</v>
      </c>
      <c r="H45">
        <f>'ITEM STATS'!G130</f>
        <v>12</v>
      </c>
      <c r="I45">
        <f>'ITEM STATS'!H130</f>
        <v>20</v>
      </c>
      <c r="J45">
        <f>'ITEM STATS'!I130</f>
        <v>1830</v>
      </c>
      <c r="L45" t="s">
        <v>171</v>
      </c>
      <c r="M45">
        <v>1</v>
      </c>
      <c r="T45" t="b">
        <v>1</v>
      </c>
    </row>
    <row r="46" spans="1:21" x14ac:dyDescent="0.25">
      <c r="A46" t="s">
        <v>34</v>
      </c>
      <c r="B46">
        <v>4</v>
      </c>
      <c r="C46">
        <f>'ITEM STATS'!B131</f>
        <v>38</v>
      </c>
      <c r="D46">
        <f>'ITEM STATS'!C131</f>
        <v>76</v>
      </c>
      <c r="E46">
        <f>'ITEM STATS'!D131</f>
        <v>16</v>
      </c>
      <c r="F46">
        <f>'ITEM STATS'!E131</f>
        <v>2</v>
      </c>
      <c r="G46">
        <f>'ITEM STATS'!F131</f>
        <v>23</v>
      </c>
      <c r="H46">
        <f>'ITEM STATS'!G131</f>
        <v>13</v>
      </c>
      <c r="I46">
        <f>'ITEM STATS'!H131</f>
        <v>20</v>
      </c>
      <c r="J46">
        <f>'ITEM STATS'!I131</f>
        <v>2230</v>
      </c>
      <c r="L46" t="s">
        <v>283</v>
      </c>
      <c r="M46">
        <v>1</v>
      </c>
      <c r="U46">
        <f>'ITEM STATS'!B239</f>
        <v>10</v>
      </c>
    </row>
    <row r="47" spans="1:21" x14ac:dyDescent="0.25">
      <c r="A47" t="s">
        <v>34</v>
      </c>
      <c r="B47">
        <v>5</v>
      </c>
      <c r="C47">
        <f>'ITEM STATS'!B132</f>
        <v>40</v>
      </c>
      <c r="D47">
        <f>'ITEM STATS'!C132</f>
        <v>77</v>
      </c>
      <c r="E47">
        <f>'ITEM STATS'!D132</f>
        <v>17</v>
      </c>
      <c r="F47">
        <f>'ITEM STATS'!E132</f>
        <v>2</v>
      </c>
      <c r="G47">
        <f>'ITEM STATS'!F132</f>
        <v>23</v>
      </c>
      <c r="H47">
        <f>'ITEM STATS'!G132</f>
        <v>14</v>
      </c>
      <c r="I47">
        <f>'ITEM STATS'!H132</f>
        <v>20</v>
      </c>
      <c r="J47">
        <f>'ITEM STATS'!I132</f>
        <v>2800</v>
      </c>
      <c r="L47" t="s">
        <v>283</v>
      </c>
      <c r="M47">
        <v>2</v>
      </c>
      <c r="U47">
        <f>'ITEM STATS'!B240</f>
        <v>20</v>
      </c>
    </row>
    <row r="48" spans="1:21" x14ac:dyDescent="0.25">
      <c r="A48" t="s">
        <v>34</v>
      </c>
      <c r="B48">
        <v>6</v>
      </c>
      <c r="C48">
        <f>'ITEM STATS'!B133</f>
        <v>41</v>
      </c>
      <c r="D48">
        <f>'ITEM STATS'!C133</f>
        <v>79</v>
      </c>
      <c r="E48">
        <f>'ITEM STATS'!D133</f>
        <v>18</v>
      </c>
      <c r="F48">
        <f>'ITEM STATS'!E133</f>
        <v>2</v>
      </c>
      <c r="G48">
        <f>'ITEM STATS'!F133</f>
        <v>23</v>
      </c>
      <c r="H48">
        <f>'ITEM STATS'!G133</f>
        <v>15</v>
      </c>
      <c r="I48">
        <f>'ITEM STATS'!H133</f>
        <v>20</v>
      </c>
      <c r="J48">
        <f>'ITEM STATS'!I133</f>
        <v>3540</v>
      </c>
      <c r="L48" t="s">
        <v>283</v>
      </c>
      <c r="M48">
        <v>3</v>
      </c>
      <c r="U48">
        <f>'ITEM STATS'!B241</f>
        <v>30</v>
      </c>
    </row>
    <row r="49" spans="1:21" x14ac:dyDescent="0.25">
      <c r="A49" t="s">
        <v>34</v>
      </c>
      <c r="B49">
        <v>7</v>
      </c>
      <c r="C49">
        <f>'ITEM STATS'!B134</f>
        <v>43</v>
      </c>
      <c r="D49">
        <f>'ITEM STATS'!C134</f>
        <v>81</v>
      </c>
      <c r="E49">
        <f>'ITEM STATS'!D134</f>
        <v>19</v>
      </c>
      <c r="F49">
        <f>'ITEM STATS'!E134</f>
        <v>2</v>
      </c>
      <c r="G49">
        <f>'ITEM STATS'!F134</f>
        <v>24</v>
      </c>
      <c r="H49">
        <f>'ITEM STATS'!G134</f>
        <v>16</v>
      </c>
      <c r="I49">
        <f>'ITEM STATS'!H134</f>
        <v>20</v>
      </c>
      <c r="J49">
        <f>'ITEM STATS'!I134</f>
        <v>4430</v>
      </c>
      <c r="L49" t="s">
        <v>283</v>
      </c>
      <c r="M49">
        <v>4</v>
      </c>
      <c r="U49">
        <f>'ITEM STATS'!B242</f>
        <v>40</v>
      </c>
    </row>
    <row r="50" spans="1:21" x14ac:dyDescent="0.25">
      <c r="A50" t="s">
        <v>34</v>
      </c>
      <c r="B50">
        <v>8</v>
      </c>
      <c r="C50">
        <f>'ITEM STATS'!B135</f>
        <v>44</v>
      </c>
      <c r="D50">
        <f>'ITEM STATS'!C135</f>
        <v>82</v>
      </c>
      <c r="E50">
        <f>'ITEM STATS'!D135</f>
        <v>20</v>
      </c>
      <c r="F50">
        <f>'ITEM STATS'!E135</f>
        <v>3</v>
      </c>
      <c r="G50">
        <f>'ITEM STATS'!F135</f>
        <v>24</v>
      </c>
      <c r="H50">
        <f>'ITEM STATS'!G135</f>
        <v>17</v>
      </c>
      <c r="I50">
        <f>'ITEM STATS'!H135</f>
        <v>20</v>
      </c>
      <c r="J50">
        <f>'ITEM STATS'!I135</f>
        <v>5490</v>
      </c>
      <c r="L50" t="s">
        <v>283</v>
      </c>
      <c r="M50">
        <v>5</v>
      </c>
      <c r="U50">
        <f>'ITEM STATS'!B243</f>
        <v>50</v>
      </c>
    </row>
    <row r="51" spans="1:21" x14ac:dyDescent="0.25">
      <c r="A51" t="s">
        <v>34</v>
      </c>
      <c r="B51">
        <v>9</v>
      </c>
      <c r="C51">
        <f>'ITEM STATS'!B136</f>
        <v>45</v>
      </c>
      <c r="D51">
        <f>'ITEM STATS'!C136</f>
        <v>84</v>
      </c>
      <c r="E51">
        <f>'ITEM STATS'!D136</f>
        <v>20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20</v>
      </c>
      <c r="J51">
        <f>'ITEM STATS'!I136</f>
        <v>6710</v>
      </c>
    </row>
    <row r="52" spans="1:21" x14ac:dyDescent="0.25">
      <c r="A52" t="s">
        <v>34</v>
      </c>
      <c r="B52">
        <v>10</v>
      </c>
      <c r="C52">
        <f>'ITEM STATS'!B137</f>
        <v>45</v>
      </c>
      <c r="D52">
        <f>'ITEM STATS'!C137</f>
        <v>85</v>
      </c>
      <c r="E52">
        <f>'ITEM STATS'!D137</f>
        <v>20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20</v>
      </c>
      <c r="J52">
        <f>'ITEM STATS'!I137</f>
        <v>8100</v>
      </c>
    </row>
    <row r="53" spans="1:21" x14ac:dyDescent="0.25">
      <c r="A53" t="s">
        <v>32</v>
      </c>
      <c r="B53">
        <v>1</v>
      </c>
      <c r="C53">
        <f>'ITEM STATS'!B149</f>
        <v>20</v>
      </c>
      <c r="D53">
        <f>'ITEM STATS'!C149</f>
        <v>75</v>
      </c>
      <c r="E53">
        <f>'ITEM STATS'!D149</f>
        <v>3</v>
      </c>
      <c r="F53">
        <f>'ITEM STATS'!E149</f>
        <v>1</v>
      </c>
      <c r="G53">
        <f>'ITEM STATS'!F149</f>
        <v>10</v>
      </c>
      <c r="H53">
        <f>'ITEM STATS'!G149</f>
        <v>5</v>
      </c>
      <c r="I53">
        <f>'ITEM STATS'!H149</f>
        <v>0</v>
      </c>
      <c r="J53">
        <f>'ITEM STATS'!I149</f>
        <v>1100</v>
      </c>
    </row>
    <row r="54" spans="1:21" x14ac:dyDescent="0.25">
      <c r="A54" t="s">
        <v>32</v>
      </c>
      <c r="B54">
        <v>2</v>
      </c>
      <c r="C54">
        <f>'ITEM STATS'!B150</f>
        <v>26</v>
      </c>
      <c r="D54">
        <f>'ITEM STATS'!C150</f>
        <v>77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5</v>
      </c>
      <c r="I54">
        <f>'ITEM STATS'!H150</f>
        <v>0</v>
      </c>
      <c r="J54">
        <f>'ITEM STATS'!I150</f>
        <v>1170</v>
      </c>
    </row>
    <row r="55" spans="1:21" x14ac:dyDescent="0.25">
      <c r="A55" t="s">
        <v>32</v>
      </c>
      <c r="B55">
        <v>3</v>
      </c>
      <c r="C55">
        <f>'ITEM STATS'!B151</f>
        <v>31</v>
      </c>
      <c r="D55">
        <f>'ITEM STATS'!C151</f>
        <v>79</v>
      </c>
      <c r="E55">
        <f>'ITEM STATS'!D151</f>
        <v>3</v>
      </c>
      <c r="F55">
        <f>'ITEM STATS'!E151</f>
        <v>1</v>
      </c>
      <c r="G55">
        <f>'ITEM STATS'!F151</f>
        <v>11</v>
      </c>
      <c r="H55">
        <f>'ITEM STATS'!G151</f>
        <v>6</v>
      </c>
      <c r="I55">
        <f>'ITEM STATS'!H151</f>
        <v>0</v>
      </c>
      <c r="J55">
        <f>'ITEM STATS'!I151</f>
        <v>1380</v>
      </c>
    </row>
    <row r="56" spans="1:21" x14ac:dyDescent="0.25">
      <c r="A56" t="s">
        <v>32</v>
      </c>
      <c r="B56">
        <v>4</v>
      </c>
      <c r="C56">
        <f>'ITEM STATS'!B152</f>
        <v>35</v>
      </c>
      <c r="D56">
        <f>'ITEM STATS'!C152</f>
        <v>81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6</v>
      </c>
      <c r="I56">
        <f>'ITEM STATS'!H152</f>
        <v>0</v>
      </c>
      <c r="J56">
        <f>'ITEM STATS'!I152</f>
        <v>1730</v>
      </c>
    </row>
    <row r="57" spans="1:21" x14ac:dyDescent="0.25">
      <c r="A57" t="s">
        <v>32</v>
      </c>
      <c r="B57">
        <v>5</v>
      </c>
      <c r="C57">
        <f>'ITEM STATS'!B153</f>
        <v>39</v>
      </c>
      <c r="D57">
        <f>'ITEM STATS'!C153</f>
        <v>82</v>
      </c>
      <c r="E57">
        <f>'ITEM STATS'!D153</f>
        <v>3</v>
      </c>
      <c r="F57">
        <f>'ITEM STATS'!E153</f>
        <v>1</v>
      </c>
      <c r="G57">
        <f>'ITEM STATS'!F153</f>
        <v>13</v>
      </c>
      <c r="H57">
        <f>'ITEM STATS'!G153</f>
        <v>7</v>
      </c>
      <c r="I57">
        <f>'ITEM STATS'!H153</f>
        <v>0</v>
      </c>
      <c r="J57">
        <f>'ITEM STATS'!I153</f>
        <v>2230</v>
      </c>
    </row>
    <row r="58" spans="1:21" x14ac:dyDescent="0.25">
      <c r="A58" t="s">
        <v>32</v>
      </c>
      <c r="B58">
        <v>6</v>
      </c>
      <c r="C58">
        <f>'ITEM STATS'!B154</f>
        <v>43</v>
      </c>
      <c r="D58">
        <f>'ITEM STATS'!C154</f>
        <v>84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8</v>
      </c>
      <c r="I58">
        <f>'ITEM STATS'!H154</f>
        <v>0</v>
      </c>
      <c r="J58">
        <f>'ITEM STATS'!I154</f>
        <v>2860</v>
      </c>
    </row>
    <row r="59" spans="1:21" x14ac:dyDescent="0.25">
      <c r="A59" t="s">
        <v>32</v>
      </c>
      <c r="B59">
        <v>7</v>
      </c>
      <c r="C59">
        <f>'ITEM STATS'!B155</f>
        <v>45</v>
      </c>
      <c r="D59">
        <f>'ITEM STATS'!C155</f>
        <v>86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8</v>
      </c>
      <c r="I59">
        <f>'ITEM STATS'!H155</f>
        <v>0</v>
      </c>
      <c r="J59">
        <f>'ITEM STATS'!I155</f>
        <v>3630</v>
      </c>
    </row>
    <row r="60" spans="1:21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9</v>
      </c>
      <c r="I60">
        <f>'ITEM STATS'!H156</f>
        <v>0</v>
      </c>
      <c r="J60">
        <f>'ITEM STATS'!I156</f>
        <v>4550</v>
      </c>
    </row>
    <row r="61" spans="1:21" x14ac:dyDescent="0.25">
      <c r="A61" t="s">
        <v>32</v>
      </c>
      <c r="B61">
        <v>9</v>
      </c>
      <c r="C61">
        <f>'ITEM STATS'!B157</f>
        <v>49</v>
      </c>
      <c r="D61">
        <f>'ITEM STATS'!C157</f>
        <v>89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9</v>
      </c>
      <c r="I61">
        <f>'ITEM STATS'!H157</f>
        <v>0</v>
      </c>
      <c r="J61">
        <f>'ITEM STATS'!I157</f>
        <v>5600</v>
      </c>
    </row>
    <row r="62" spans="1:21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10</v>
      </c>
      <c r="I62">
        <f>'ITEM STATS'!H158</f>
        <v>0</v>
      </c>
      <c r="J62">
        <f>'ITEM STATS'!I158</f>
        <v>6800</v>
      </c>
    </row>
    <row r="63" spans="1:21" x14ac:dyDescent="0.25">
      <c r="A63" t="s">
        <v>33</v>
      </c>
      <c r="B63">
        <v>1</v>
      </c>
      <c r="C63">
        <f>'ITEM STATS'!B170</f>
        <v>45</v>
      </c>
      <c r="D63">
        <f>'ITEM STATS'!C170</f>
        <v>55</v>
      </c>
      <c r="E63">
        <f>'ITEM STATS'!D170</f>
        <v>75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10</v>
      </c>
      <c r="J63">
        <f>'ITEM STATS'!I170</f>
        <v>2000</v>
      </c>
    </row>
    <row r="64" spans="1:21" x14ac:dyDescent="0.25">
      <c r="A64" t="s">
        <v>33</v>
      </c>
      <c r="B64">
        <v>2</v>
      </c>
      <c r="C64">
        <f>'ITEM STATS'!B171</f>
        <v>54</v>
      </c>
      <c r="D64">
        <f>'ITEM STATS'!C171</f>
        <v>60</v>
      </c>
      <c r="E64">
        <f>'ITEM STATS'!D171</f>
        <v>78</v>
      </c>
      <c r="F64">
        <f>'ITEM STATS'!E171</f>
        <v>1</v>
      </c>
      <c r="G64">
        <f>'ITEM STATS'!F171</f>
        <v>30</v>
      </c>
      <c r="H64">
        <f>'ITEM STATS'!G171</f>
        <v>14</v>
      </c>
      <c r="I64">
        <f>'ITEM STATS'!H171</f>
        <v>10</v>
      </c>
      <c r="J64">
        <f>'ITEM STATS'!I171</f>
        <v>2090</v>
      </c>
    </row>
    <row r="65" spans="1:10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81</v>
      </c>
      <c r="F65">
        <f>'ITEM STATS'!E172</f>
        <v>1</v>
      </c>
      <c r="G65">
        <f>'ITEM STATS'!F172</f>
        <v>30</v>
      </c>
      <c r="H65">
        <f>'ITEM STATS'!G172</f>
        <v>15</v>
      </c>
      <c r="I65">
        <f>'ITEM STATS'!H172</f>
        <v>10</v>
      </c>
      <c r="J65">
        <f>'ITEM STATS'!I172</f>
        <v>2380</v>
      </c>
    </row>
    <row r="66" spans="1:10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83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10</v>
      </c>
      <c r="J66">
        <f>'ITEM STATS'!I173</f>
        <v>2840</v>
      </c>
    </row>
    <row r="67" spans="1:10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85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10</v>
      </c>
      <c r="J67">
        <f>'ITEM STATS'!I174</f>
        <v>3500</v>
      </c>
    </row>
    <row r="68" spans="1:10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87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10</v>
      </c>
      <c r="J68">
        <f>'ITEM STATS'!I175</f>
        <v>4350</v>
      </c>
    </row>
    <row r="69" spans="1:10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88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10</v>
      </c>
      <c r="J69">
        <f>'ITEM STATS'!I176</f>
        <v>5380</v>
      </c>
    </row>
    <row r="70" spans="1:10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89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10</v>
      </c>
      <c r="J70">
        <f>'ITEM STATS'!I177</f>
        <v>6600</v>
      </c>
    </row>
    <row r="71" spans="1:10" x14ac:dyDescent="0.25">
      <c r="A71" t="s">
        <v>33</v>
      </c>
      <c r="B71">
        <v>9</v>
      </c>
      <c r="C71">
        <f>'ITEM STATS'!B178</f>
        <v>89</v>
      </c>
      <c r="D71">
        <f>'ITEM STATS'!C178</f>
        <v>87</v>
      </c>
      <c r="E71">
        <f>'ITEM STATS'!D178</f>
        <v>90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10</v>
      </c>
      <c r="J71">
        <f>'ITEM STATS'!I178</f>
        <v>8000</v>
      </c>
    </row>
    <row r="72" spans="1:10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90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10</v>
      </c>
      <c r="J72">
        <f>'ITEM STATS'!I179</f>
        <v>9600</v>
      </c>
    </row>
  </sheetData>
  <conditionalFormatting sqref="C3:C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5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conditionalFormatting sqref="U46:U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{7A454B02-02F0-4235-9008-0E01C1A5D9A9}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N15:N50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O15:O50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P15:P50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Q15:Q50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R15:R50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S15:S50</xm:sqref>
        </x14:conditionalFormatting>
        <x14:conditionalFormatting xmlns:xm="http://schemas.microsoft.com/office/excel/2006/main">
          <x14:cfRule type="dataBar" id="{7A454B02-02F0-4235-9008-0E01C1A5D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U46:U50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N243"/>
  <sheetViews>
    <sheetView topLeftCell="A82" workbookViewId="0">
      <selection activeCell="J180" sqref="J180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79</v>
      </c>
      <c r="B13" t="s">
        <v>80</v>
      </c>
      <c r="C13" t="s">
        <v>77</v>
      </c>
      <c r="D13" t="s">
        <v>78</v>
      </c>
      <c r="F13" t="s">
        <v>79</v>
      </c>
      <c r="G13" t="s">
        <v>80</v>
      </c>
      <c r="H13" t="s">
        <v>77</v>
      </c>
      <c r="I13" t="s">
        <v>78</v>
      </c>
      <c r="K13" t="s">
        <v>79</v>
      </c>
      <c r="L13" t="s">
        <v>80</v>
      </c>
      <c r="M13" t="s">
        <v>77</v>
      </c>
      <c r="N13" t="s">
        <v>78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195</v>
      </c>
      <c r="F17" t="s">
        <v>74</v>
      </c>
      <c r="G17" t="s">
        <v>75</v>
      </c>
      <c r="H17" t="s">
        <v>195</v>
      </c>
      <c r="K17" t="s">
        <v>74</v>
      </c>
      <c r="L17" t="s">
        <v>75</v>
      </c>
      <c r="M17" t="s">
        <v>195</v>
      </c>
    </row>
    <row r="18" spans="1:13" x14ac:dyDescent="0.25">
      <c r="A18">
        <v>1</v>
      </c>
      <c r="B18">
        <f t="shared" ref="B18:B27" si="0">ROUNDUP((((1-C18)^2)*$A$14)+(2*(1-C18)*C18*$D$14)+((C18^2)*$B$14),0)</f>
        <v>0</v>
      </c>
      <c r="C18">
        <f>(A18-1)/($A$27-1)</f>
        <v>0</v>
      </c>
      <c r="F18">
        <v>1</v>
      </c>
      <c r="G18">
        <f>ROUNDUP((((1-H18)^2)*$F$14)+(2*(1-H18)*H18*$I$14)+((H18^2)*$G$14),0)</f>
        <v>0</v>
      </c>
      <c r="H18">
        <f>(F18-1)/($F$27-1)</f>
        <v>0</v>
      </c>
      <c r="K18">
        <v>1</v>
      </c>
      <c r="L18">
        <f>ROUNDUP((((1-M18)^2)*$K$14)+(2*(1-M18)*M18*$N$14)+((M18^2)*$L$14),0)</f>
        <v>0</v>
      </c>
      <c r="M18">
        <f>(K18-1)/($K$27-1)</f>
        <v>0</v>
      </c>
    </row>
    <row r="19" spans="1:13" x14ac:dyDescent="0.25">
      <c r="A19">
        <v>2</v>
      </c>
      <c r="B19">
        <f t="shared" si="0"/>
        <v>2</v>
      </c>
      <c r="C19">
        <f t="shared" ref="C19:C27" si="1">(A19-1)/($A$27-1)</f>
        <v>0.1111111111111111</v>
      </c>
      <c r="F19">
        <v>2</v>
      </c>
      <c r="G19">
        <f t="shared" ref="G19:G26" si="2">ROUNDUP((((1-H19)^2)*$F$14)+(2*(1-H19)*H19*$I$14)+((H19^2)*$G$14),0)</f>
        <v>12</v>
      </c>
      <c r="H19">
        <f t="shared" ref="H19:H27" si="3">(F19-1)/($F$27-1)</f>
        <v>0.1111111111111111</v>
      </c>
      <c r="K19">
        <v>2</v>
      </c>
      <c r="L19">
        <f t="shared" ref="L19:L27" si="4">ROUNDUP((((1-M19)^2)*$K$14)+(2*(1-M19)*M19*$N$14)+((M19^2)*$L$14),0)</f>
        <v>21</v>
      </c>
      <c r="M19">
        <f t="shared" ref="M19:M27" si="5">(K19-1)/($K$27-1)</f>
        <v>0.1111111111111111</v>
      </c>
    </row>
    <row r="20" spans="1:13" x14ac:dyDescent="0.25">
      <c r="A20">
        <v>3</v>
      </c>
      <c r="B20">
        <f t="shared" si="0"/>
        <v>5</v>
      </c>
      <c r="C20">
        <f t="shared" si="1"/>
        <v>0.22222222222222221</v>
      </c>
      <c r="F20">
        <v>3</v>
      </c>
      <c r="G20">
        <f t="shared" si="2"/>
        <v>23</v>
      </c>
      <c r="H20">
        <f t="shared" si="3"/>
        <v>0.22222222222222221</v>
      </c>
      <c r="K20">
        <v>3</v>
      </c>
      <c r="L20">
        <f t="shared" si="4"/>
        <v>40</v>
      </c>
      <c r="M20">
        <f t="shared" si="5"/>
        <v>0.22222222222222221</v>
      </c>
    </row>
    <row r="21" spans="1:13" x14ac:dyDescent="0.25">
      <c r="A21">
        <v>4</v>
      </c>
      <c r="B21">
        <f t="shared" si="0"/>
        <v>12</v>
      </c>
      <c r="C21">
        <f t="shared" si="1"/>
        <v>0.33333333333333331</v>
      </c>
      <c r="F21">
        <v>4</v>
      </c>
      <c r="G21">
        <f t="shared" si="2"/>
        <v>34</v>
      </c>
      <c r="H21">
        <f t="shared" si="3"/>
        <v>0.33333333333333331</v>
      </c>
      <c r="K21">
        <v>4</v>
      </c>
      <c r="L21">
        <f t="shared" si="4"/>
        <v>56</v>
      </c>
      <c r="M21">
        <f t="shared" si="5"/>
        <v>0.33333333333333331</v>
      </c>
    </row>
    <row r="22" spans="1:13" x14ac:dyDescent="0.25">
      <c r="A22">
        <v>5</v>
      </c>
      <c r="B22">
        <f t="shared" si="0"/>
        <v>20</v>
      </c>
      <c r="C22">
        <f t="shared" si="1"/>
        <v>0.44444444444444442</v>
      </c>
      <c r="F22">
        <v>5</v>
      </c>
      <c r="G22">
        <f t="shared" si="2"/>
        <v>45</v>
      </c>
      <c r="H22">
        <f t="shared" si="3"/>
        <v>0.44444444444444442</v>
      </c>
      <c r="K22">
        <v>5</v>
      </c>
      <c r="L22">
        <f t="shared" si="4"/>
        <v>70</v>
      </c>
      <c r="M22">
        <f t="shared" si="5"/>
        <v>0.44444444444444442</v>
      </c>
    </row>
    <row r="23" spans="1:13" x14ac:dyDescent="0.25">
      <c r="A23">
        <v>6</v>
      </c>
      <c r="B23">
        <f t="shared" si="0"/>
        <v>31</v>
      </c>
      <c r="C23">
        <f t="shared" si="1"/>
        <v>0.55555555555555558</v>
      </c>
      <c r="F23">
        <v>6</v>
      </c>
      <c r="G23">
        <f t="shared" si="2"/>
        <v>56</v>
      </c>
      <c r="H23">
        <f t="shared" si="3"/>
        <v>0.55555555555555558</v>
      </c>
      <c r="K23">
        <v>6</v>
      </c>
      <c r="L23">
        <f t="shared" si="4"/>
        <v>81</v>
      </c>
      <c r="M23">
        <f t="shared" si="5"/>
        <v>0.55555555555555558</v>
      </c>
    </row>
    <row r="24" spans="1:13" x14ac:dyDescent="0.25">
      <c r="A24">
        <v>7</v>
      </c>
      <c r="B24">
        <f t="shared" si="0"/>
        <v>45</v>
      </c>
      <c r="C24">
        <f t="shared" si="1"/>
        <v>0.66666666666666663</v>
      </c>
      <c r="F24">
        <v>7</v>
      </c>
      <c r="G24">
        <f t="shared" si="2"/>
        <v>67</v>
      </c>
      <c r="H24">
        <f t="shared" si="3"/>
        <v>0.66666666666666663</v>
      </c>
      <c r="K24">
        <v>7</v>
      </c>
      <c r="L24">
        <f t="shared" si="4"/>
        <v>89</v>
      </c>
      <c r="M24">
        <f t="shared" si="5"/>
        <v>0.66666666666666663</v>
      </c>
    </row>
    <row r="25" spans="1:13" x14ac:dyDescent="0.25">
      <c r="A25">
        <v>8</v>
      </c>
      <c r="B25">
        <f t="shared" si="0"/>
        <v>61</v>
      </c>
      <c r="C25">
        <f t="shared" si="1"/>
        <v>0.77777777777777779</v>
      </c>
      <c r="F25">
        <v>8</v>
      </c>
      <c r="G25">
        <f t="shared" si="2"/>
        <v>78</v>
      </c>
      <c r="H25">
        <f t="shared" si="3"/>
        <v>0.77777777777777779</v>
      </c>
      <c r="K25">
        <v>8</v>
      </c>
      <c r="L25">
        <f t="shared" si="4"/>
        <v>96</v>
      </c>
      <c r="M25">
        <f t="shared" si="5"/>
        <v>0.77777777777777779</v>
      </c>
    </row>
    <row r="26" spans="1:13" x14ac:dyDescent="0.25">
      <c r="A26">
        <v>9</v>
      </c>
      <c r="B26">
        <f t="shared" si="0"/>
        <v>80</v>
      </c>
      <c r="C26">
        <f t="shared" si="1"/>
        <v>0.88888888888888884</v>
      </c>
      <c r="F26">
        <v>9</v>
      </c>
      <c r="G26">
        <f t="shared" si="2"/>
        <v>89</v>
      </c>
      <c r="H26">
        <f t="shared" si="3"/>
        <v>0.88888888888888884</v>
      </c>
      <c r="K26">
        <v>9</v>
      </c>
      <c r="L26">
        <f t="shared" si="4"/>
        <v>99</v>
      </c>
      <c r="M26">
        <f t="shared" si="5"/>
        <v>0.88888888888888884</v>
      </c>
    </row>
    <row r="27" spans="1:13" x14ac:dyDescent="0.25">
      <c r="A27">
        <v>10</v>
      </c>
      <c r="B27">
        <f t="shared" si="0"/>
        <v>100</v>
      </c>
      <c r="C27">
        <f t="shared" si="1"/>
        <v>1</v>
      </c>
      <c r="F27">
        <v>10</v>
      </c>
      <c r="G27">
        <f>ROUNDUP((((1-H27)^2)*$F$14)+(2*(1-H27)*H27*$I$14)+((H27^2)*$G$14),0)</f>
        <v>100</v>
      </c>
      <c r="H27">
        <f t="shared" si="3"/>
        <v>1</v>
      </c>
      <c r="K27">
        <v>10</v>
      </c>
      <c r="L27">
        <f t="shared" si="4"/>
        <v>100</v>
      </c>
      <c r="M27">
        <f t="shared" si="5"/>
        <v>1</v>
      </c>
    </row>
    <row r="30" spans="1:13" x14ac:dyDescent="0.25">
      <c r="B30" t="s">
        <v>81</v>
      </c>
      <c r="C30" t="s">
        <v>43</v>
      </c>
      <c r="D30" t="s">
        <v>88</v>
      </c>
      <c r="E30" t="s">
        <v>42</v>
      </c>
      <c r="F30" t="s">
        <v>44</v>
      </c>
      <c r="G30" t="s">
        <v>89</v>
      </c>
      <c r="H30" t="s">
        <v>46</v>
      </c>
      <c r="I30" t="s">
        <v>193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  <c r="I31">
        <f>I32/100</f>
        <v>0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  <c r="I32">
        <v>0</v>
      </c>
    </row>
    <row r="35" spans="1:9" x14ac:dyDescent="0.25">
      <c r="A35" t="s">
        <v>28</v>
      </c>
      <c r="B35" t="s">
        <v>90</v>
      </c>
      <c r="C35" t="s">
        <v>126</v>
      </c>
    </row>
    <row r="36" spans="1:9" x14ac:dyDescent="0.25">
      <c r="B36" t="s">
        <v>81</v>
      </c>
      <c r="C36" t="s">
        <v>43</v>
      </c>
      <c r="D36" t="s">
        <v>88</v>
      </c>
      <c r="E36" t="s">
        <v>42</v>
      </c>
      <c r="F36" t="s">
        <v>44</v>
      </c>
      <c r="G36" t="s">
        <v>89</v>
      </c>
      <c r="H36" t="s">
        <v>46</v>
      </c>
      <c r="I36" t="s">
        <v>193</v>
      </c>
    </row>
    <row r="37" spans="1:9" x14ac:dyDescent="0.25">
      <c r="A37" t="s">
        <v>79</v>
      </c>
      <c r="B37">
        <v>25</v>
      </c>
      <c r="C37">
        <v>72</v>
      </c>
      <c r="D37">
        <v>56</v>
      </c>
      <c r="E37">
        <v>1</v>
      </c>
      <c r="F37">
        <v>23</v>
      </c>
      <c r="G37">
        <v>12</v>
      </c>
      <c r="H37">
        <v>0</v>
      </c>
      <c r="I37">
        <v>100</v>
      </c>
    </row>
    <row r="38" spans="1:9" x14ac:dyDescent="0.25">
      <c r="F38">
        <v>15</v>
      </c>
    </row>
    <row r="39" spans="1:9" x14ac:dyDescent="0.25">
      <c r="A39" t="s">
        <v>80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  <c r="I39">
        <v>100</v>
      </c>
    </row>
    <row r="41" spans="1:9" x14ac:dyDescent="0.25">
      <c r="A41" t="s">
        <v>78</v>
      </c>
      <c r="B41">
        <f t="shared" ref="B41:G41" si="7">B37+((B39-B37)*(B31))</f>
        <v>47.5</v>
      </c>
      <c r="C41">
        <f t="shared" si="7"/>
        <v>82.8</v>
      </c>
      <c r="D41">
        <f t="shared" si="7"/>
        <v>80</v>
      </c>
      <c r="E41">
        <f t="shared" si="7"/>
        <v>1</v>
      </c>
      <c r="F41">
        <f t="shared" si="7"/>
        <v>38.299999999999997</v>
      </c>
      <c r="G41">
        <f t="shared" si="7"/>
        <v>19.2</v>
      </c>
      <c r="H41">
        <f>H37+((H39-H37)*(H31))</f>
        <v>0</v>
      </c>
      <c r="I41">
        <f>I37+((I39-I37)*(I31))</f>
        <v>100</v>
      </c>
    </row>
    <row r="43" spans="1:9" x14ac:dyDescent="0.25">
      <c r="A43" t="s">
        <v>91</v>
      </c>
      <c r="B43" t="s">
        <v>81</v>
      </c>
      <c r="C43" t="s">
        <v>43</v>
      </c>
      <c r="D43" t="s">
        <v>88</v>
      </c>
      <c r="E43" t="s">
        <v>42</v>
      </c>
      <c r="F43" t="s">
        <v>44</v>
      </c>
      <c r="G43" t="s">
        <v>89</v>
      </c>
      <c r="H43" t="s">
        <v>46</v>
      </c>
      <c r="I43" t="s">
        <v>193</v>
      </c>
    </row>
    <row r="44" spans="1:9" x14ac:dyDescent="0.25">
      <c r="A44">
        <v>1</v>
      </c>
      <c r="B44">
        <f>ROUND((((1-(($A44-1)/($A$53-1)))^2)*B$37)+(2*(1-(($A44-1)/($A$53-1)))*(($A44-1)/($A$53-1))*B$41)+(((($A44-1)/($A$53-1))^2)*B$39),0)</f>
        <v>25</v>
      </c>
      <c r="C44">
        <f t="shared" ref="C44:H53" si="8">ROUND((((1-(($A44-1)/($A$53-1)))^2)*C$37)+(2*(1-(($A44-1)/($A$53-1)))*(($A44-1)/($A$53-1))*C$41)+(((($A44-1)/($A$53-1))^2)*C$39),0)</f>
        <v>72</v>
      </c>
      <c r="D44">
        <f t="shared" si="8"/>
        <v>56</v>
      </c>
      <c r="E44">
        <f t="shared" si="8"/>
        <v>1</v>
      </c>
      <c r="F44">
        <f t="shared" si="8"/>
        <v>23</v>
      </c>
      <c r="G44">
        <f t="shared" si="8"/>
        <v>12</v>
      </c>
      <c r="H44">
        <f>ROUND((((1-(($A44-1)/($A$53-1)))^2)*H$37)+(2*(1-(($A44-1)/($A$53-1)))*(($A44-1)/($A$53-1))*H$41)+(((($A44-1)/($A$53-1))^2)*H$39),0)</f>
        <v>0</v>
      </c>
      <c r="I44">
        <f t="shared" ref="I44:I53" si="9">ROUND((((1-(($A44-1)/($A$53-1)))^2)*I$37)+(2*(1-(($A44-1)/($A$53-1)))*(($A44-1)/($A$53-1))*I$41)+(((($A44-1)/($A$53-1))^2)*I$39),-1)</f>
        <v>100</v>
      </c>
    </row>
    <row r="45" spans="1:9" x14ac:dyDescent="0.25">
      <c r="A45">
        <v>2</v>
      </c>
      <c r="B45">
        <f t="shared" ref="B45:B53" si="10">ROUND((((1-(($A45-1)/($A$53-1)))^2)*B$37)+(2*(1-(($A45-1)/($A$53-1)))*(($A45-1)/($A$53-1))*B$41)+(((($A45-1)/($A$53-1))^2)*B$39),0)</f>
        <v>30</v>
      </c>
      <c r="C45">
        <f t="shared" si="8"/>
        <v>74</v>
      </c>
      <c r="D45">
        <f t="shared" si="8"/>
        <v>61</v>
      </c>
      <c r="E45">
        <f t="shared" si="8"/>
        <v>1</v>
      </c>
      <c r="F45">
        <f t="shared" si="8"/>
        <v>26</v>
      </c>
      <c r="G45">
        <f t="shared" si="8"/>
        <v>14</v>
      </c>
      <c r="H45">
        <f t="shared" si="8"/>
        <v>0</v>
      </c>
      <c r="I45">
        <f t="shared" si="9"/>
        <v>100</v>
      </c>
    </row>
    <row r="46" spans="1:9" x14ac:dyDescent="0.25">
      <c r="A46">
        <v>3</v>
      </c>
      <c r="B46">
        <f t="shared" si="10"/>
        <v>34</v>
      </c>
      <c r="C46">
        <f t="shared" si="8"/>
        <v>77</v>
      </c>
      <c r="D46">
        <f t="shared" si="8"/>
        <v>65</v>
      </c>
      <c r="E46">
        <f t="shared" si="8"/>
        <v>1</v>
      </c>
      <c r="F46">
        <f t="shared" si="8"/>
        <v>29</v>
      </c>
      <c r="G46">
        <f t="shared" si="8"/>
        <v>15</v>
      </c>
      <c r="H46">
        <f t="shared" si="8"/>
        <v>0</v>
      </c>
      <c r="I46">
        <f t="shared" si="9"/>
        <v>100</v>
      </c>
    </row>
    <row r="47" spans="1:9" x14ac:dyDescent="0.25">
      <c r="A47">
        <v>4</v>
      </c>
      <c r="B47">
        <f t="shared" si="10"/>
        <v>38</v>
      </c>
      <c r="C47">
        <f t="shared" si="8"/>
        <v>79</v>
      </c>
      <c r="D47">
        <f t="shared" si="8"/>
        <v>69</v>
      </c>
      <c r="E47">
        <f t="shared" si="8"/>
        <v>1</v>
      </c>
      <c r="F47">
        <f t="shared" si="8"/>
        <v>32</v>
      </c>
      <c r="G47">
        <f t="shared" si="8"/>
        <v>17</v>
      </c>
      <c r="H47">
        <f t="shared" si="8"/>
        <v>0</v>
      </c>
      <c r="I47">
        <f t="shared" si="9"/>
        <v>100</v>
      </c>
    </row>
    <row r="48" spans="1:9" x14ac:dyDescent="0.25">
      <c r="A48">
        <v>5</v>
      </c>
      <c r="B48">
        <f t="shared" si="10"/>
        <v>41</v>
      </c>
      <c r="C48">
        <f t="shared" si="8"/>
        <v>81</v>
      </c>
      <c r="D48">
        <f t="shared" si="8"/>
        <v>73</v>
      </c>
      <c r="E48">
        <f t="shared" si="8"/>
        <v>1</v>
      </c>
      <c r="F48">
        <f t="shared" si="8"/>
        <v>34</v>
      </c>
      <c r="G48">
        <f t="shared" si="8"/>
        <v>19</v>
      </c>
      <c r="H48">
        <f t="shared" si="8"/>
        <v>0</v>
      </c>
      <c r="I48">
        <f t="shared" si="9"/>
        <v>100</v>
      </c>
    </row>
    <row r="49" spans="1:9" x14ac:dyDescent="0.25">
      <c r="A49">
        <v>6</v>
      </c>
      <c r="B49">
        <f t="shared" si="10"/>
        <v>44</v>
      </c>
      <c r="C49">
        <f t="shared" si="8"/>
        <v>83</v>
      </c>
      <c r="D49">
        <f t="shared" si="8"/>
        <v>75</v>
      </c>
      <c r="E49">
        <f t="shared" si="8"/>
        <v>1</v>
      </c>
      <c r="F49">
        <f t="shared" si="8"/>
        <v>36</v>
      </c>
      <c r="G49">
        <f t="shared" si="8"/>
        <v>21</v>
      </c>
      <c r="H49">
        <f t="shared" si="8"/>
        <v>0</v>
      </c>
      <c r="I49">
        <f t="shared" si="9"/>
        <v>100</v>
      </c>
    </row>
    <row r="50" spans="1:9" x14ac:dyDescent="0.25">
      <c r="A50">
        <v>7</v>
      </c>
      <c r="B50">
        <f t="shared" si="10"/>
        <v>46</v>
      </c>
      <c r="C50">
        <f t="shared" si="8"/>
        <v>85</v>
      </c>
      <c r="D50">
        <f t="shared" si="8"/>
        <v>77</v>
      </c>
      <c r="E50">
        <f t="shared" si="8"/>
        <v>1</v>
      </c>
      <c r="F50">
        <f t="shared" si="8"/>
        <v>37</v>
      </c>
      <c r="G50">
        <f t="shared" si="8"/>
        <v>23</v>
      </c>
      <c r="H50">
        <f t="shared" si="8"/>
        <v>0</v>
      </c>
      <c r="I50">
        <f t="shared" si="9"/>
        <v>100</v>
      </c>
    </row>
    <row r="51" spans="1:9" x14ac:dyDescent="0.25">
      <c r="A51">
        <v>8</v>
      </c>
      <c r="B51">
        <f t="shared" si="10"/>
        <v>48</v>
      </c>
      <c r="C51">
        <f t="shared" si="8"/>
        <v>87</v>
      </c>
      <c r="D51">
        <f t="shared" si="8"/>
        <v>79</v>
      </c>
      <c r="E51">
        <f t="shared" si="8"/>
        <v>1</v>
      </c>
      <c r="F51">
        <f t="shared" si="8"/>
        <v>39</v>
      </c>
      <c r="G51">
        <f t="shared" si="8"/>
        <v>25</v>
      </c>
      <c r="H51">
        <f t="shared" si="8"/>
        <v>0</v>
      </c>
      <c r="I51">
        <f t="shared" si="9"/>
        <v>100</v>
      </c>
    </row>
    <row r="52" spans="1:9" x14ac:dyDescent="0.25">
      <c r="A52">
        <v>9</v>
      </c>
      <c r="B52">
        <f t="shared" si="10"/>
        <v>49</v>
      </c>
      <c r="C52">
        <f t="shared" si="8"/>
        <v>88</v>
      </c>
      <c r="D52">
        <f t="shared" si="8"/>
        <v>80</v>
      </c>
      <c r="E52">
        <f t="shared" si="8"/>
        <v>1</v>
      </c>
      <c r="F52">
        <f t="shared" si="8"/>
        <v>39</v>
      </c>
      <c r="G52">
        <f t="shared" si="8"/>
        <v>28</v>
      </c>
      <c r="H52">
        <f t="shared" si="8"/>
        <v>0</v>
      </c>
      <c r="I52">
        <f t="shared" si="9"/>
        <v>100</v>
      </c>
    </row>
    <row r="53" spans="1:9" x14ac:dyDescent="0.25">
      <c r="A53">
        <v>10</v>
      </c>
      <c r="B53">
        <f t="shared" si="10"/>
        <v>50</v>
      </c>
      <c r="C53">
        <f t="shared" si="8"/>
        <v>90</v>
      </c>
      <c r="D53">
        <f t="shared" si="8"/>
        <v>80</v>
      </c>
      <c r="E53">
        <f t="shared" si="8"/>
        <v>1</v>
      </c>
      <c r="F53">
        <f t="shared" si="8"/>
        <v>40</v>
      </c>
      <c r="G53">
        <f t="shared" si="8"/>
        <v>30</v>
      </c>
      <c r="H53">
        <f t="shared" si="8"/>
        <v>0</v>
      </c>
      <c r="I53">
        <f t="shared" si="9"/>
        <v>100</v>
      </c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81</v>
      </c>
      <c r="C57" t="s">
        <v>43</v>
      </c>
      <c r="D57" t="s">
        <v>88</v>
      </c>
      <c r="E57" t="s">
        <v>42</v>
      </c>
      <c r="F57" t="s">
        <v>44</v>
      </c>
      <c r="G57" t="s">
        <v>89</v>
      </c>
      <c r="H57" t="s">
        <v>46</v>
      </c>
      <c r="I57" t="s">
        <v>193</v>
      </c>
    </row>
    <row r="58" spans="1:9" x14ac:dyDescent="0.25">
      <c r="A58" t="s">
        <v>79</v>
      </c>
      <c r="B58">
        <v>25</v>
      </c>
      <c r="C58">
        <v>65</v>
      </c>
      <c r="D58">
        <v>60</v>
      </c>
      <c r="E58">
        <v>1</v>
      </c>
      <c r="F58">
        <v>18</v>
      </c>
      <c r="G58">
        <v>10</v>
      </c>
      <c r="H58">
        <v>25</v>
      </c>
      <c r="I58">
        <f>I59*10</f>
        <v>1100</v>
      </c>
    </row>
    <row r="59" spans="1:9" x14ac:dyDescent="0.25">
      <c r="F59">
        <v>15</v>
      </c>
      <c r="I59">
        <v>110</v>
      </c>
    </row>
    <row r="60" spans="1:9" x14ac:dyDescent="0.25">
      <c r="A60" t="s">
        <v>80</v>
      </c>
      <c r="B60">
        <v>50</v>
      </c>
      <c r="C60">
        <v>90</v>
      </c>
      <c r="D60">
        <v>90</v>
      </c>
      <c r="E60">
        <v>2</v>
      </c>
      <c r="F60">
        <v>30</v>
      </c>
      <c r="G60">
        <v>30</v>
      </c>
      <c r="H60">
        <v>25</v>
      </c>
      <c r="I60">
        <f>I61*10</f>
        <v>6600</v>
      </c>
    </row>
    <row r="61" spans="1:9" x14ac:dyDescent="0.25">
      <c r="I61">
        <v>660</v>
      </c>
    </row>
    <row r="62" spans="1:9" x14ac:dyDescent="0.25">
      <c r="A62" t="s">
        <v>78</v>
      </c>
      <c r="B62">
        <f t="shared" ref="B62:I62" si="11">B58+((B60-B58)*(B$31))</f>
        <v>47.5</v>
      </c>
      <c r="C62">
        <f t="shared" si="11"/>
        <v>80</v>
      </c>
      <c r="D62">
        <f t="shared" si="11"/>
        <v>90</v>
      </c>
      <c r="E62">
        <f t="shared" si="11"/>
        <v>1.5</v>
      </c>
      <c r="F62">
        <f t="shared" si="11"/>
        <v>28.8</v>
      </c>
      <c r="G62">
        <f t="shared" si="11"/>
        <v>18</v>
      </c>
      <c r="H62">
        <f t="shared" si="11"/>
        <v>25</v>
      </c>
      <c r="I62">
        <f t="shared" si="11"/>
        <v>1100</v>
      </c>
    </row>
    <row r="64" spans="1:9" x14ac:dyDescent="0.25">
      <c r="A64" t="s">
        <v>91</v>
      </c>
      <c r="B64" t="s">
        <v>81</v>
      </c>
      <c r="C64" t="s">
        <v>43</v>
      </c>
      <c r="D64" t="s">
        <v>88</v>
      </c>
      <c r="E64" t="s">
        <v>42</v>
      </c>
      <c r="F64" t="s">
        <v>44</v>
      </c>
      <c r="G64" t="s">
        <v>89</v>
      </c>
      <c r="H64" t="s">
        <v>46</v>
      </c>
      <c r="I64" t="s">
        <v>193</v>
      </c>
    </row>
    <row r="65" spans="1:9" x14ac:dyDescent="0.25">
      <c r="A65">
        <v>1</v>
      </c>
      <c r="B65">
        <f t="shared" ref="B65:H74" si="12">ROUND((((1-(($A65-1)/($A$74-1)))^2)*B$58)+(2*(1-(($A65-1)/($A$53-1)))*(($A65-1)/($A$53-1))*B$62)+(((($A65-1)/($A$53-1))^2)*B$60),0)</f>
        <v>25</v>
      </c>
      <c r="C65">
        <f t="shared" si="12"/>
        <v>65</v>
      </c>
      <c r="D65">
        <f t="shared" si="12"/>
        <v>60</v>
      </c>
      <c r="E65">
        <f>ROUND((((1-(($A65-1)/($A$74-1)))^2)*E$58)+(2*(1-(($A65-1)/($A$53-1)))*(($A65-1)/($A$53-1))*E$62)+(((($A65-1)/($A$53-1))^2)*E$60),0)</f>
        <v>1</v>
      </c>
      <c r="F65">
        <f t="shared" si="12"/>
        <v>18</v>
      </c>
      <c r="G65">
        <f t="shared" si="12"/>
        <v>10</v>
      </c>
      <c r="H65">
        <f t="shared" si="12"/>
        <v>25</v>
      </c>
      <c r="I65">
        <f t="shared" ref="I65:I74" si="13">ROUND((((1-(($A65-1)/($A$74-1)))^2)*I$58)+(2*(1-(($A65-1)/($A$53-1)))*(($A65-1)/($A$53-1))*I$62)+(((($A65-1)/($A$53-1))^2)*I$60),-1)</f>
        <v>1100</v>
      </c>
    </row>
    <row r="66" spans="1:9" x14ac:dyDescent="0.25">
      <c r="A66">
        <v>2</v>
      </c>
      <c r="B66">
        <f t="shared" si="12"/>
        <v>30</v>
      </c>
      <c r="C66">
        <f t="shared" si="12"/>
        <v>68</v>
      </c>
      <c r="D66">
        <f t="shared" si="12"/>
        <v>66</v>
      </c>
      <c r="E66">
        <f t="shared" si="12"/>
        <v>1</v>
      </c>
      <c r="F66">
        <f t="shared" si="12"/>
        <v>20</v>
      </c>
      <c r="G66">
        <f t="shared" si="12"/>
        <v>12</v>
      </c>
      <c r="H66">
        <f t="shared" si="12"/>
        <v>25</v>
      </c>
      <c r="I66">
        <f t="shared" si="13"/>
        <v>1170</v>
      </c>
    </row>
    <row r="67" spans="1:9" x14ac:dyDescent="0.25">
      <c r="A67">
        <v>3</v>
      </c>
      <c r="B67">
        <f t="shared" si="12"/>
        <v>34</v>
      </c>
      <c r="C67">
        <f t="shared" si="12"/>
        <v>71</v>
      </c>
      <c r="D67">
        <f t="shared" si="12"/>
        <v>72</v>
      </c>
      <c r="E67">
        <f>ROUND((((1-(($A67-1)/($A$74-1)))^2)*E$58)+(2*(1-(($A67-1)/($A$53-1)))*(($A67-1)/($A$53-1))*E$62)+(((($A67-1)/($A$53-1))^2)*E$60),0)</f>
        <v>1</v>
      </c>
      <c r="F67">
        <f t="shared" si="12"/>
        <v>22</v>
      </c>
      <c r="G67">
        <f t="shared" si="12"/>
        <v>14</v>
      </c>
      <c r="H67">
        <f t="shared" si="12"/>
        <v>25</v>
      </c>
      <c r="I67">
        <f t="shared" si="13"/>
        <v>1370</v>
      </c>
    </row>
    <row r="68" spans="1:9" x14ac:dyDescent="0.25">
      <c r="A68">
        <v>4</v>
      </c>
      <c r="B68">
        <f t="shared" si="12"/>
        <v>38</v>
      </c>
      <c r="C68">
        <f t="shared" si="12"/>
        <v>74</v>
      </c>
      <c r="D68">
        <f t="shared" si="12"/>
        <v>77</v>
      </c>
      <c r="E68">
        <f t="shared" si="12"/>
        <v>1</v>
      </c>
      <c r="F68">
        <f t="shared" si="12"/>
        <v>24</v>
      </c>
      <c r="G68">
        <f t="shared" si="12"/>
        <v>16</v>
      </c>
      <c r="H68">
        <f t="shared" si="12"/>
        <v>25</v>
      </c>
      <c r="I68">
        <f t="shared" si="13"/>
        <v>1710</v>
      </c>
    </row>
    <row r="69" spans="1:9" x14ac:dyDescent="0.25">
      <c r="A69">
        <v>5</v>
      </c>
      <c r="B69">
        <f t="shared" si="12"/>
        <v>41</v>
      </c>
      <c r="C69">
        <f t="shared" si="12"/>
        <v>77</v>
      </c>
      <c r="D69">
        <f t="shared" si="12"/>
        <v>81</v>
      </c>
      <c r="E69">
        <f t="shared" si="12"/>
        <v>1</v>
      </c>
      <c r="F69">
        <f t="shared" si="12"/>
        <v>26</v>
      </c>
      <c r="G69">
        <f t="shared" si="12"/>
        <v>18</v>
      </c>
      <c r="H69">
        <f t="shared" si="12"/>
        <v>25</v>
      </c>
      <c r="I69">
        <f t="shared" si="13"/>
        <v>2190</v>
      </c>
    </row>
    <row r="70" spans="1:9" x14ac:dyDescent="0.25">
      <c r="A70">
        <v>6</v>
      </c>
      <c r="B70">
        <f t="shared" si="12"/>
        <v>44</v>
      </c>
      <c r="C70">
        <f t="shared" si="12"/>
        <v>80</v>
      </c>
      <c r="D70">
        <f t="shared" si="12"/>
        <v>84</v>
      </c>
      <c r="E70">
        <f t="shared" si="12"/>
        <v>2</v>
      </c>
      <c r="F70">
        <f t="shared" si="12"/>
        <v>27</v>
      </c>
      <c r="G70">
        <f t="shared" si="12"/>
        <v>20</v>
      </c>
      <c r="H70">
        <f t="shared" si="12"/>
        <v>25</v>
      </c>
      <c r="I70">
        <f t="shared" si="13"/>
        <v>2800</v>
      </c>
    </row>
    <row r="71" spans="1:9" x14ac:dyDescent="0.25">
      <c r="A71">
        <v>7</v>
      </c>
      <c r="B71">
        <f t="shared" si="12"/>
        <v>46</v>
      </c>
      <c r="C71">
        <f t="shared" si="12"/>
        <v>83</v>
      </c>
      <c r="D71">
        <f t="shared" si="12"/>
        <v>87</v>
      </c>
      <c r="E71">
        <f t="shared" si="12"/>
        <v>2</v>
      </c>
      <c r="F71">
        <f t="shared" si="12"/>
        <v>28</v>
      </c>
      <c r="G71">
        <f t="shared" si="12"/>
        <v>22</v>
      </c>
      <c r="H71">
        <f t="shared" si="12"/>
        <v>25</v>
      </c>
      <c r="I71">
        <f t="shared" si="13"/>
        <v>3540</v>
      </c>
    </row>
    <row r="72" spans="1:9" x14ac:dyDescent="0.25">
      <c r="A72">
        <v>8</v>
      </c>
      <c r="B72">
        <f t="shared" si="12"/>
        <v>48</v>
      </c>
      <c r="C72">
        <f t="shared" si="12"/>
        <v>85</v>
      </c>
      <c r="D72">
        <f t="shared" si="12"/>
        <v>89</v>
      </c>
      <c r="E72">
        <f t="shared" si="12"/>
        <v>2</v>
      </c>
      <c r="F72">
        <f t="shared" si="12"/>
        <v>29</v>
      </c>
      <c r="G72">
        <f t="shared" si="12"/>
        <v>25</v>
      </c>
      <c r="H72">
        <f t="shared" si="12"/>
        <v>25</v>
      </c>
      <c r="I72">
        <f t="shared" si="13"/>
        <v>4430</v>
      </c>
    </row>
    <row r="73" spans="1:9" x14ac:dyDescent="0.25">
      <c r="A73">
        <v>9</v>
      </c>
      <c r="B73">
        <f t="shared" si="12"/>
        <v>49</v>
      </c>
      <c r="C73">
        <f t="shared" si="12"/>
        <v>88</v>
      </c>
      <c r="D73">
        <f t="shared" si="12"/>
        <v>90</v>
      </c>
      <c r="E73">
        <f t="shared" si="12"/>
        <v>2</v>
      </c>
      <c r="F73">
        <f t="shared" si="12"/>
        <v>30</v>
      </c>
      <c r="G73">
        <f t="shared" si="12"/>
        <v>27</v>
      </c>
      <c r="H73">
        <f t="shared" si="12"/>
        <v>25</v>
      </c>
      <c r="I73">
        <f t="shared" si="13"/>
        <v>5450</v>
      </c>
    </row>
    <row r="74" spans="1:9" x14ac:dyDescent="0.25">
      <c r="A74">
        <v>10</v>
      </c>
      <c r="B74">
        <f t="shared" si="12"/>
        <v>50</v>
      </c>
      <c r="C74">
        <f t="shared" si="12"/>
        <v>90</v>
      </c>
      <c r="D74">
        <f t="shared" si="12"/>
        <v>90</v>
      </c>
      <c r="E74">
        <f t="shared" si="12"/>
        <v>2</v>
      </c>
      <c r="F74">
        <f t="shared" si="12"/>
        <v>30</v>
      </c>
      <c r="G74">
        <f t="shared" si="12"/>
        <v>30</v>
      </c>
      <c r="H74">
        <f t="shared" si="12"/>
        <v>25</v>
      </c>
      <c r="I74">
        <f t="shared" si="13"/>
        <v>6600</v>
      </c>
    </row>
    <row r="77" spans="1:9" x14ac:dyDescent="0.25">
      <c r="A77" t="s">
        <v>28</v>
      </c>
      <c r="B77" t="s">
        <v>30</v>
      </c>
      <c r="C77" t="s">
        <v>125</v>
      </c>
    </row>
    <row r="78" spans="1:9" x14ac:dyDescent="0.25">
      <c r="B78" t="s">
        <v>81</v>
      </c>
      <c r="C78" t="s">
        <v>43</v>
      </c>
      <c r="D78" t="s">
        <v>88</v>
      </c>
      <c r="E78" t="s">
        <v>42</v>
      </c>
      <c r="F78" t="s">
        <v>44</v>
      </c>
      <c r="G78" t="s">
        <v>89</v>
      </c>
      <c r="H78" t="s">
        <v>46</v>
      </c>
      <c r="I78" t="s">
        <v>193</v>
      </c>
    </row>
    <row r="79" spans="1:9" x14ac:dyDescent="0.25">
      <c r="A79" t="s">
        <v>79</v>
      </c>
      <c r="B79">
        <v>50</v>
      </c>
      <c r="C79">
        <v>60</v>
      </c>
      <c r="D79">
        <v>80</v>
      </c>
      <c r="E79">
        <v>1</v>
      </c>
      <c r="F79">
        <v>53</v>
      </c>
      <c r="G79">
        <v>15</v>
      </c>
      <c r="H79">
        <v>15</v>
      </c>
      <c r="I79">
        <f>I80*10</f>
        <v>1900</v>
      </c>
    </row>
    <row r="80" spans="1:9" x14ac:dyDescent="0.25">
      <c r="F80">
        <v>15</v>
      </c>
      <c r="I80">
        <v>190</v>
      </c>
    </row>
    <row r="81" spans="1:9" x14ac:dyDescent="0.25">
      <c r="A81" t="s">
        <v>80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  <c r="I81">
        <f>I82*10</f>
        <v>9100</v>
      </c>
    </row>
    <row r="82" spans="1:9" x14ac:dyDescent="0.25">
      <c r="I82">
        <v>910</v>
      </c>
    </row>
    <row r="83" spans="1:9" x14ac:dyDescent="0.25">
      <c r="A83" t="s">
        <v>78</v>
      </c>
      <c r="B83">
        <f t="shared" ref="B83:I83" si="14">B79+((B81-B79)*(B$31))</f>
        <v>95</v>
      </c>
      <c r="C83">
        <f t="shared" si="14"/>
        <v>72</v>
      </c>
      <c r="D83">
        <f t="shared" si="14"/>
        <v>100</v>
      </c>
      <c r="E83">
        <f t="shared" si="14"/>
        <v>1</v>
      </c>
      <c r="F83">
        <f t="shared" si="14"/>
        <v>68.3</v>
      </c>
      <c r="G83">
        <f t="shared" si="14"/>
        <v>21</v>
      </c>
      <c r="H83">
        <f t="shared" si="14"/>
        <v>15</v>
      </c>
      <c r="I83">
        <f t="shared" si="14"/>
        <v>1900</v>
      </c>
    </row>
    <row r="85" spans="1:9" x14ac:dyDescent="0.25">
      <c r="A85" t="s">
        <v>91</v>
      </c>
      <c r="B85" t="s">
        <v>81</v>
      </c>
      <c r="C85" t="s">
        <v>43</v>
      </c>
      <c r="D85" t="s">
        <v>88</v>
      </c>
      <c r="E85" t="s">
        <v>42</v>
      </c>
      <c r="F85" t="s">
        <v>44</v>
      </c>
      <c r="G85" t="s">
        <v>89</v>
      </c>
      <c r="H85" t="s">
        <v>46</v>
      </c>
      <c r="I85" t="s">
        <v>193</v>
      </c>
    </row>
    <row r="86" spans="1:9" x14ac:dyDescent="0.25">
      <c r="A86">
        <v>1</v>
      </c>
      <c r="B86">
        <f t="shared" ref="B86:H95" si="15">ROUND((((1-(($A86-1)/($A$95-1)))^2)*B$79)+(2*(1-(($A86-1)/($A$53-1)))*(($A86-1)/($A$53-1))*B$83)+(((($A86-1)/($A$53-1))^2)*B$81),0)</f>
        <v>50</v>
      </c>
      <c r="C86">
        <f t="shared" si="15"/>
        <v>60</v>
      </c>
      <c r="D86">
        <f t="shared" si="15"/>
        <v>80</v>
      </c>
      <c r="E86">
        <f t="shared" si="15"/>
        <v>1</v>
      </c>
      <c r="F86">
        <f t="shared" si="15"/>
        <v>53</v>
      </c>
      <c r="G86">
        <f t="shared" si="15"/>
        <v>15</v>
      </c>
      <c r="H86">
        <f t="shared" si="15"/>
        <v>15</v>
      </c>
      <c r="I86">
        <f t="shared" ref="I86:I95" si="16">ROUND((((1-(($A86-1)/($A$95-1)))^2)*I$79)+(2*(1-(($A86-1)/($A$53-1)))*(($A86-1)/($A$53-1))*I$83)+(((($A86-1)/($A$53-1))^2)*I$81),-1)</f>
        <v>1900</v>
      </c>
    </row>
    <row r="87" spans="1:9" x14ac:dyDescent="0.25">
      <c r="A87">
        <v>2</v>
      </c>
      <c r="B87">
        <f t="shared" si="15"/>
        <v>60</v>
      </c>
      <c r="C87">
        <f t="shared" si="15"/>
        <v>63</v>
      </c>
      <c r="D87">
        <f t="shared" si="15"/>
        <v>84</v>
      </c>
      <c r="E87">
        <f t="shared" si="15"/>
        <v>1</v>
      </c>
      <c r="F87">
        <f t="shared" si="15"/>
        <v>56</v>
      </c>
      <c r="G87">
        <f t="shared" si="15"/>
        <v>16</v>
      </c>
      <c r="H87">
        <f t="shared" si="15"/>
        <v>15</v>
      </c>
      <c r="I87">
        <f t="shared" si="16"/>
        <v>1990</v>
      </c>
    </row>
    <row r="88" spans="1:9" x14ac:dyDescent="0.25">
      <c r="A88">
        <v>3</v>
      </c>
      <c r="B88">
        <f t="shared" si="15"/>
        <v>68</v>
      </c>
      <c r="C88">
        <f t="shared" si="15"/>
        <v>65</v>
      </c>
      <c r="D88">
        <f t="shared" si="15"/>
        <v>88</v>
      </c>
      <c r="E88">
        <f t="shared" si="15"/>
        <v>1</v>
      </c>
      <c r="F88">
        <f t="shared" si="15"/>
        <v>59</v>
      </c>
      <c r="G88">
        <f t="shared" si="15"/>
        <v>18</v>
      </c>
      <c r="H88">
        <f t="shared" si="15"/>
        <v>15</v>
      </c>
      <c r="I88">
        <f t="shared" si="16"/>
        <v>2260</v>
      </c>
    </row>
    <row r="89" spans="1:9" x14ac:dyDescent="0.25">
      <c r="A89">
        <v>4</v>
      </c>
      <c r="B89">
        <f t="shared" si="15"/>
        <v>76</v>
      </c>
      <c r="C89">
        <f t="shared" si="15"/>
        <v>68</v>
      </c>
      <c r="D89">
        <f t="shared" si="15"/>
        <v>91</v>
      </c>
      <c r="E89">
        <f t="shared" si="15"/>
        <v>1</v>
      </c>
      <c r="F89">
        <f t="shared" si="15"/>
        <v>62</v>
      </c>
      <c r="G89">
        <f t="shared" si="15"/>
        <v>19</v>
      </c>
      <c r="H89">
        <f t="shared" si="15"/>
        <v>15</v>
      </c>
      <c r="I89">
        <f t="shared" si="16"/>
        <v>2700</v>
      </c>
    </row>
    <row r="90" spans="1:9" x14ac:dyDescent="0.25">
      <c r="A90">
        <v>5</v>
      </c>
      <c r="B90">
        <f t="shared" si="15"/>
        <v>82</v>
      </c>
      <c r="C90">
        <f t="shared" si="15"/>
        <v>70</v>
      </c>
      <c r="D90">
        <f t="shared" si="15"/>
        <v>94</v>
      </c>
      <c r="E90">
        <f t="shared" si="15"/>
        <v>1</v>
      </c>
      <c r="F90">
        <f t="shared" si="15"/>
        <v>64</v>
      </c>
      <c r="G90">
        <f t="shared" si="15"/>
        <v>21</v>
      </c>
      <c r="H90">
        <f t="shared" si="15"/>
        <v>15</v>
      </c>
      <c r="I90">
        <f t="shared" si="16"/>
        <v>3320</v>
      </c>
    </row>
    <row r="91" spans="1:9" x14ac:dyDescent="0.25">
      <c r="A91">
        <v>6</v>
      </c>
      <c r="B91">
        <f t="shared" si="15"/>
        <v>88</v>
      </c>
      <c r="C91">
        <f t="shared" si="15"/>
        <v>72</v>
      </c>
      <c r="D91">
        <f t="shared" si="15"/>
        <v>96</v>
      </c>
      <c r="E91">
        <f t="shared" si="15"/>
        <v>1</v>
      </c>
      <c r="F91">
        <f t="shared" si="15"/>
        <v>66</v>
      </c>
      <c r="G91">
        <f t="shared" si="15"/>
        <v>23</v>
      </c>
      <c r="H91">
        <f t="shared" si="15"/>
        <v>15</v>
      </c>
      <c r="I91">
        <f t="shared" si="16"/>
        <v>4120</v>
      </c>
    </row>
    <row r="92" spans="1:9" x14ac:dyDescent="0.25">
      <c r="A92">
        <v>7</v>
      </c>
      <c r="B92">
        <f t="shared" si="15"/>
        <v>92</v>
      </c>
      <c r="C92">
        <f t="shared" si="15"/>
        <v>74</v>
      </c>
      <c r="D92">
        <f t="shared" si="15"/>
        <v>98</v>
      </c>
      <c r="E92">
        <f t="shared" si="15"/>
        <v>1</v>
      </c>
      <c r="F92">
        <f t="shared" si="15"/>
        <v>67</v>
      </c>
      <c r="G92">
        <f t="shared" si="15"/>
        <v>24</v>
      </c>
      <c r="H92">
        <f t="shared" si="15"/>
        <v>15</v>
      </c>
      <c r="I92">
        <f t="shared" si="16"/>
        <v>5100</v>
      </c>
    </row>
    <row r="93" spans="1:9" x14ac:dyDescent="0.25">
      <c r="A93">
        <v>8</v>
      </c>
      <c r="B93">
        <f t="shared" si="15"/>
        <v>96</v>
      </c>
      <c r="C93">
        <f t="shared" si="15"/>
        <v>76</v>
      </c>
      <c r="D93">
        <f t="shared" si="15"/>
        <v>99</v>
      </c>
      <c r="E93">
        <f t="shared" si="15"/>
        <v>1</v>
      </c>
      <c r="F93">
        <f t="shared" si="15"/>
        <v>69</v>
      </c>
      <c r="G93">
        <f t="shared" si="15"/>
        <v>26</v>
      </c>
      <c r="H93">
        <f t="shared" si="15"/>
        <v>15</v>
      </c>
      <c r="I93">
        <f t="shared" si="16"/>
        <v>6260</v>
      </c>
    </row>
    <row r="94" spans="1:9" x14ac:dyDescent="0.25">
      <c r="A94">
        <v>9</v>
      </c>
      <c r="B94">
        <f t="shared" si="15"/>
        <v>98</v>
      </c>
      <c r="C94">
        <f t="shared" si="15"/>
        <v>78</v>
      </c>
      <c r="D94">
        <f t="shared" si="15"/>
        <v>100</v>
      </c>
      <c r="E94">
        <f t="shared" si="15"/>
        <v>1</v>
      </c>
      <c r="F94">
        <f t="shared" si="15"/>
        <v>69</v>
      </c>
      <c r="G94">
        <f t="shared" si="15"/>
        <v>28</v>
      </c>
      <c r="H94">
        <f t="shared" si="15"/>
        <v>15</v>
      </c>
      <c r="I94">
        <f t="shared" si="16"/>
        <v>7590</v>
      </c>
    </row>
    <row r="95" spans="1:9" x14ac:dyDescent="0.25">
      <c r="A95">
        <v>10</v>
      </c>
      <c r="B95">
        <f t="shared" si="15"/>
        <v>100</v>
      </c>
      <c r="C95">
        <f t="shared" si="15"/>
        <v>80</v>
      </c>
      <c r="D95">
        <f t="shared" si="15"/>
        <v>100</v>
      </c>
      <c r="E95">
        <f t="shared" si="15"/>
        <v>1</v>
      </c>
      <c r="F95">
        <f t="shared" si="15"/>
        <v>70</v>
      </c>
      <c r="G95">
        <f t="shared" si="15"/>
        <v>30</v>
      </c>
      <c r="H95">
        <f t="shared" si="15"/>
        <v>15</v>
      </c>
      <c r="I95">
        <f t="shared" si="16"/>
        <v>9100</v>
      </c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81</v>
      </c>
      <c r="C99" t="s">
        <v>43</v>
      </c>
      <c r="D99" t="s">
        <v>88</v>
      </c>
      <c r="E99" t="s">
        <v>42</v>
      </c>
      <c r="F99" t="s">
        <v>44</v>
      </c>
      <c r="G99" t="s">
        <v>89</v>
      </c>
      <c r="H99" t="s">
        <v>46</v>
      </c>
      <c r="I99" t="s">
        <v>193</v>
      </c>
    </row>
    <row r="100" spans="1:9" x14ac:dyDescent="0.25">
      <c r="A100" t="s">
        <v>79</v>
      </c>
      <c r="B100">
        <v>15</v>
      </c>
      <c r="C100">
        <v>45</v>
      </c>
      <c r="D100">
        <v>45</v>
      </c>
      <c r="E100">
        <v>2</v>
      </c>
      <c r="F100">
        <v>16</v>
      </c>
      <c r="G100">
        <v>11</v>
      </c>
      <c r="H100">
        <v>40</v>
      </c>
      <c r="I100">
        <f>I101*10</f>
        <v>1200</v>
      </c>
    </row>
    <row r="101" spans="1:9" x14ac:dyDescent="0.25">
      <c r="F101">
        <v>15</v>
      </c>
      <c r="I101">
        <v>120</v>
      </c>
    </row>
    <row r="102" spans="1:9" x14ac:dyDescent="0.25">
      <c r="A102" t="s">
        <v>80</v>
      </c>
      <c r="B102">
        <v>40</v>
      </c>
      <c r="C102">
        <v>70</v>
      </c>
      <c r="D102">
        <v>60</v>
      </c>
      <c r="E102">
        <v>4</v>
      </c>
      <c r="F102">
        <v>19</v>
      </c>
      <c r="G102">
        <v>25</v>
      </c>
      <c r="H102">
        <v>40</v>
      </c>
      <c r="I102">
        <f>I103*10</f>
        <v>7300</v>
      </c>
    </row>
    <row r="103" spans="1:9" x14ac:dyDescent="0.25">
      <c r="I103">
        <v>730</v>
      </c>
    </row>
    <row r="104" spans="1:9" x14ac:dyDescent="0.25">
      <c r="A104" t="s">
        <v>78</v>
      </c>
      <c r="B104">
        <f t="shared" ref="B104:I104" si="17">B100+((B102-B100)*(B$31))</f>
        <v>37.5</v>
      </c>
      <c r="C104">
        <f t="shared" si="17"/>
        <v>60</v>
      </c>
      <c r="D104">
        <f t="shared" si="17"/>
        <v>60</v>
      </c>
      <c r="E104">
        <f t="shared" si="17"/>
        <v>3</v>
      </c>
      <c r="F104">
        <f t="shared" si="17"/>
        <v>18.7</v>
      </c>
      <c r="G104">
        <f t="shared" si="17"/>
        <v>16.600000000000001</v>
      </c>
      <c r="H104">
        <f t="shared" si="17"/>
        <v>40</v>
      </c>
      <c r="I104">
        <f t="shared" si="17"/>
        <v>1200</v>
      </c>
    </row>
    <row r="106" spans="1:9" x14ac:dyDescent="0.25">
      <c r="A106" t="s">
        <v>91</v>
      </c>
      <c r="B106" t="s">
        <v>81</v>
      </c>
      <c r="C106" t="s">
        <v>43</v>
      </c>
      <c r="D106" t="s">
        <v>88</v>
      </c>
      <c r="E106" t="s">
        <v>42</v>
      </c>
      <c r="F106" t="s">
        <v>44</v>
      </c>
      <c r="G106" t="s">
        <v>89</v>
      </c>
      <c r="H106" t="s">
        <v>46</v>
      </c>
      <c r="I106" t="s">
        <v>193</v>
      </c>
    </row>
    <row r="107" spans="1:9" x14ac:dyDescent="0.25">
      <c r="A107">
        <v>1</v>
      </c>
      <c r="B107">
        <f>ROUND((((1-(($A107-1)/($A$116-1)))^2)*B$100)+(2*(1-(($A107-1)/($A$53-1)))*(($A107-1)/($A$53-1))*B$104)+(((($A107-1)/($A$53-1))^2)*B$102),0)</f>
        <v>15</v>
      </c>
      <c r="C107">
        <f t="shared" ref="B107:H116" si="18">ROUND((((1-(($A107-1)/($A$116-1)))^2)*C$100)+(2*(1-(($A107-1)/($A$53-1)))*(($A107-1)/($A$53-1))*C$104)+(((($A107-1)/($A$53-1))^2)*C$102),0)</f>
        <v>45</v>
      </c>
      <c r="D107">
        <f t="shared" si="18"/>
        <v>45</v>
      </c>
      <c r="E107">
        <f>ROUND((((1-(($A107-1)/($A$116-1)))^2)*E$100)+(2*(1-(($A107-1)/($A$53-1)))*(($A107-1)/($A$53-1))*E$104)+(((($A107-1)/($A$53-1))^2)*E$102),0)</f>
        <v>2</v>
      </c>
      <c r="F107">
        <f t="shared" si="18"/>
        <v>16</v>
      </c>
      <c r="G107">
        <f t="shared" si="18"/>
        <v>11</v>
      </c>
      <c r="H107">
        <f t="shared" si="18"/>
        <v>40</v>
      </c>
      <c r="I107">
        <f t="shared" ref="I107:I116" si="19">ROUND((((1-(($A107-1)/($A$116-1)))^2)*I$100)+(2*(1-(($A107-1)/($A$53-1)))*(($A107-1)/($A$53-1))*I$104)+(((($A107-1)/($A$53-1))^2)*I$102),-1)</f>
        <v>1200</v>
      </c>
    </row>
    <row r="108" spans="1:9" x14ac:dyDescent="0.25">
      <c r="A108">
        <v>2</v>
      </c>
      <c r="B108">
        <f t="shared" si="18"/>
        <v>20</v>
      </c>
      <c r="C108">
        <f t="shared" si="18"/>
        <v>48</v>
      </c>
      <c r="D108">
        <f t="shared" si="18"/>
        <v>48</v>
      </c>
      <c r="E108">
        <f t="shared" si="18"/>
        <v>2</v>
      </c>
      <c r="F108">
        <f t="shared" si="18"/>
        <v>17</v>
      </c>
      <c r="G108">
        <f t="shared" si="18"/>
        <v>12</v>
      </c>
      <c r="H108">
        <f t="shared" si="18"/>
        <v>40</v>
      </c>
      <c r="I108">
        <f t="shared" si="19"/>
        <v>1280</v>
      </c>
    </row>
    <row r="109" spans="1:9" x14ac:dyDescent="0.25">
      <c r="A109">
        <v>3</v>
      </c>
      <c r="B109">
        <f t="shared" si="18"/>
        <v>24</v>
      </c>
      <c r="C109">
        <f t="shared" si="18"/>
        <v>51</v>
      </c>
      <c r="D109">
        <f t="shared" si="18"/>
        <v>51</v>
      </c>
      <c r="E109">
        <f t="shared" si="18"/>
        <v>2</v>
      </c>
      <c r="F109">
        <f t="shared" si="18"/>
        <v>17</v>
      </c>
      <c r="G109">
        <f t="shared" si="18"/>
        <v>14</v>
      </c>
      <c r="H109">
        <f t="shared" si="18"/>
        <v>40</v>
      </c>
      <c r="I109">
        <f t="shared" si="19"/>
        <v>1500</v>
      </c>
    </row>
    <row r="110" spans="1:9" x14ac:dyDescent="0.25">
      <c r="A110">
        <v>4</v>
      </c>
      <c r="B110">
        <f t="shared" si="18"/>
        <v>28</v>
      </c>
      <c r="C110">
        <f t="shared" si="18"/>
        <v>54</v>
      </c>
      <c r="D110">
        <f t="shared" si="18"/>
        <v>53</v>
      </c>
      <c r="E110">
        <f t="shared" si="18"/>
        <v>3</v>
      </c>
      <c r="F110">
        <f t="shared" si="18"/>
        <v>18</v>
      </c>
      <c r="G110">
        <f t="shared" si="18"/>
        <v>15</v>
      </c>
      <c r="H110">
        <f t="shared" si="18"/>
        <v>40</v>
      </c>
      <c r="I110">
        <f t="shared" si="19"/>
        <v>1880</v>
      </c>
    </row>
    <row r="111" spans="1:9" x14ac:dyDescent="0.25">
      <c r="A111">
        <v>5</v>
      </c>
      <c r="B111">
        <f t="shared" si="18"/>
        <v>31</v>
      </c>
      <c r="C111">
        <f t="shared" si="18"/>
        <v>57</v>
      </c>
      <c r="D111">
        <f t="shared" si="18"/>
        <v>55</v>
      </c>
      <c r="E111">
        <f t="shared" si="18"/>
        <v>3</v>
      </c>
      <c r="F111">
        <f t="shared" si="18"/>
        <v>18</v>
      </c>
      <c r="G111">
        <f t="shared" si="18"/>
        <v>17</v>
      </c>
      <c r="H111">
        <f t="shared" si="18"/>
        <v>40</v>
      </c>
      <c r="I111">
        <f t="shared" si="19"/>
        <v>2400</v>
      </c>
    </row>
    <row r="112" spans="1:9" x14ac:dyDescent="0.25">
      <c r="A112">
        <v>6</v>
      </c>
      <c r="B112">
        <f t="shared" si="18"/>
        <v>34</v>
      </c>
      <c r="C112">
        <f t="shared" si="18"/>
        <v>60</v>
      </c>
      <c r="D112">
        <f t="shared" si="18"/>
        <v>57</v>
      </c>
      <c r="E112">
        <f t="shared" si="18"/>
        <v>3</v>
      </c>
      <c r="F112">
        <f t="shared" si="18"/>
        <v>18</v>
      </c>
      <c r="G112">
        <f t="shared" si="18"/>
        <v>18</v>
      </c>
      <c r="H112">
        <f t="shared" si="18"/>
        <v>40</v>
      </c>
      <c r="I112">
        <f t="shared" si="19"/>
        <v>3080</v>
      </c>
    </row>
    <row r="113" spans="1:9" x14ac:dyDescent="0.25">
      <c r="A113">
        <v>7</v>
      </c>
      <c r="B113">
        <f t="shared" si="18"/>
        <v>36</v>
      </c>
      <c r="C113">
        <f t="shared" si="18"/>
        <v>63</v>
      </c>
      <c r="D113">
        <f t="shared" si="18"/>
        <v>58</v>
      </c>
      <c r="E113">
        <f t="shared" si="18"/>
        <v>3</v>
      </c>
      <c r="F113">
        <f t="shared" si="18"/>
        <v>19</v>
      </c>
      <c r="G113">
        <f t="shared" si="18"/>
        <v>20</v>
      </c>
      <c r="H113">
        <f t="shared" si="18"/>
        <v>40</v>
      </c>
      <c r="I113">
        <f t="shared" si="19"/>
        <v>3910</v>
      </c>
    </row>
    <row r="114" spans="1:9" x14ac:dyDescent="0.25">
      <c r="A114">
        <v>8</v>
      </c>
      <c r="B114">
        <f t="shared" si="18"/>
        <v>38</v>
      </c>
      <c r="C114">
        <f t="shared" si="18"/>
        <v>65</v>
      </c>
      <c r="D114">
        <f t="shared" si="18"/>
        <v>59</v>
      </c>
      <c r="E114">
        <f t="shared" si="18"/>
        <v>4</v>
      </c>
      <c r="F114">
        <f t="shared" si="18"/>
        <v>19</v>
      </c>
      <c r="G114">
        <f t="shared" si="18"/>
        <v>21</v>
      </c>
      <c r="H114">
        <f t="shared" si="18"/>
        <v>40</v>
      </c>
      <c r="I114">
        <f t="shared" si="19"/>
        <v>4890</v>
      </c>
    </row>
    <row r="115" spans="1:9" x14ac:dyDescent="0.25">
      <c r="A115">
        <v>9</v>
      </c>
      <c r="B115">
        <f t="shared" si="18"/>
        <v>39</v>
      </c>
      <c r="C115">
        <f t="shared" si="18"/>
        <v>68</v>
      </c>
      <c r="D115">
        <f t="shared" si="18"/>
        <v>60</v>
      </c>
      <c r="E115">
        <f t="shared" si="18"/>
        <v>4</v>
      </c>
      <c r="F115">
        <f t="shared" si="18"/>
        <v>19</v>
      </c>
      <c r="G115">
        <f t="shared" si="18"/>
        <v>23</v>
      </c>
      <c r="H115">
        <f t="shared" si="18"/>
        <v>40</v>
      </c>
      <c r="I115">
        <f t="shared" si="19"/>
        <v>6020</v>
      </c>
    </row>
    <row r="116" spans="1:9" x14ac:dyDescent="0.25">
      <c r="A116">
        <v>10</v>
      </c>
      <c r="B116">
        <f t="shared" si="18"/>
        <v>40</v>
      </c>
      <c r="C116">
        <f t="shared" si="18"/>
        <v>70</v>
      </c>
      <c r="D116">
        <f t="shared" si="18"/>
        <v>60</v>
      </c>
      <c r="E116">
        <f t="shared" si="18"/>
        <v>4</v>
      </c>
      <c r="F116">
        <f t="shared" si="18"/>
        <v>19</v>
      </c>
      <c r="G116">
        <f t="shared" si="18"/>
        <v>25</v>
      </c>
      <c r="H116">
        <f t="shared" si="18"/>
        <v>40</v>
      </c>
      <c r="I116">
        <f t="shared" si="19"/>
        <v>7300</v>
      </c>
    </row>
    <row r="119" spans="1:9" x14ac:dyDescent="0.25">
      <c r="A119" t="s">
        <v>28</v>
      </c>
      <c r="B119" t="s">
        <v>34</v>
      </c>
      <c r="C119" t="s">
        <v>124</v>
      </c>
    </row>
    <row r="120" spans="1:9" x14ac:dyDescent="0.25">
      <c r="B120" t="s">
        <v>81</v>
      </c>
      <c r="C120" t="s">
        <v>43</v>
      </c>
      <c r="D120" t="s">
        <v>88</v>
      </c>
      <c r="E120" t="s">
        <v>42</v>
      </c>
      <c r="F120" t="s">
        <v>44</v>
      </c>
      <c r="G120" t="s">
        <v>89</v>
      </c>
      <c r="H120" t="s">
        <v>46</v>
      </c>
      <c r="I120" t="s">
        <v>193</v>
      </c>
    </row>
    <row r="121" spans="1:9" x14ac:dyDescent="0.25">
      <c r="A121" t="s">
        <v>79</v>
      </c>
      <c r="B121">
        <v>30</v>
      </c>
      <c r="C121">
        <v>70</v>
      </c>
      <c r="D121">
        <v>10</v>
      </c>
      <c r="E121">
        <v>1</v>
      </c>
      <c r="F121">
        <v>21</v>
      </c>
      <c r="G121">
        <v>10</v>
      </c>
      <c r="H121">
        <v>20</v>
      </c>
      <c r="I121">
        <f>I122*10</f>
        <v>1500</v>
      </c>
    </row>
    <row r="122" spans="1:9" x14ac:dyDescent="0.25">
      <c r="F122">
        <v>15</v>
      </c>
      <c r="I122">
        <v>150</v>
      </c>
    </row>
    <row r="123" spans="1:9" x14ac:dyDescent="0.25">
      <c r="A123" t="s">
        <v>80</v>
      </c>
      <c r="B123">
        <v>45</v>
      </c>
      <c r="C123">
        <v>85</v>
      </c>
      <c r="D123">
        <v>20</v>
      </c>
      <c r="E123">
        <v>3</v>
      </c>
      <c r="F123">
        <v>24</v>
      </c>
      <c r="G123">
        <v>20</v>
      </c>
      <c r="H123">
        <v>20</v>
      </c>
      <c r="I123">
        <f>I124*10</f>
        <v>8100</v>
      </c>
    </row>
    <row r="124" spans="1:9" x14ac:dyDescent="0.25">
      <c r="I124">
        <v>810</v>
      </c>
    </row>
    <row r="125" spans="1:9" x14ac:dyDescent="0.25">
      <c r="A125" t="s">
        <v>78</v>
      </c>
      <c r="B125">
        <f t="shared" ref="B125:I125" si="20">B121+((B123-B121)*(B$31))</f>
        <v>43.5</v>
      </c>
      <c r="C125">
        <f t="shared" si="20"/>
        <v>79</v>
      </c>
      <c r="D125">
        <f t="shared" si="20"/>
        <v>20</v>
      </c>
      <c r="E125">
        <f t="shared" si="20"/>
        <v>2</v>
      </c>
      <c r="F125">
        <f t="shared" si="20"/>
        <v>23.7</v>
      </c>
      <c r="G125">
        <f t="shared" si="20"/>
        <v>14</v>
      </c>
      <c r="H125">
        <f t="shared" si="20"/>
        <v>20</v>
      </c>
      <c r="I125">
        <f t="shared" si="20"/>
        <v>1500</v>
      </c>
    </row>
    <row r="127" spans="1:9" x14ac:dyDescent="0.25">
      <c r="A127" t="s">
        <v>91</v>
      </c>
      <c r="B127" t="s">
        <v>81</v>
      </c>
      <c r="C127" t="s">
        <v>43</v>
      </c>
      <c r="D127" t="s">
        <v>88</v>
      </c>
      <c r="E127" t="s">
        <v>42</v>
      </c>
      <c r="F127" t="s">
        <v>44</v>
      </c>
      <c r="G127" t="s">
        <v>89</v>
      </c>
      <c r="H127" t="s">
        <v>46</v>
      </c>
      <c r="I127" t="s">
        <v>193</v>
      </c>
    </row>
    <row r="128" spans="1:9" x14ac:dyDescent="0.25">
      <c r="A128">
        <v>1</v>
      </c>
      <c r="B128">
        <f t="shared" ref="B128:H137" si="21">ROUND((((1-(($A128-1)/($A$137-1)))^2)*B$121)+(2*(1-(($A128-1)/($A$53-1)))*(($A128-1)/($A$53-1))*B$125)+(((($A128-1)/($A$53-1))^2)*B$123),0)</f>
        <v>30</v>
      </c>
      <c r="C128">
        <f t="shared" ref="C128:H128" si="22">ROUND((((1-(($A128-1)/($A$137-1)))^2)*C$121)+(2*(1-(($A128-1)/($A$53-1)))*(($A128-1)/($A$53-1))*C$125)+(((($A128-1)/($A$53-1))^2)*C$123),0)</f>
        <v>70</v>
      </c>
      <c r="D128">
        <f t="shared" si="22"/>
        <v>10</v>
      </c>
      <c r="E128">
        <f t="shared" si="22"/>
        <v>1</v>
      </c>
      <c r="F128">
        <f t="shared" si="22"/>
        <v>21</v>
      </c>
      <c r="G128">
        <f t="shared" si="22"/>
        <v>10</v>
      </c>
      <c r="H128">
        <f t="shared" si="22"/>
        <v>20</v>
      </c>
      <c r="I128">
        <f t="shared" ref="I128:I137" si="23">ROUND((((1-(($A128-1)/($A$137-1)))^2)*I$121)+(2*(1-(($A128-1)/($A$53-1)))*(($A128-1)/($A$53-1))*I$125)+(((($A128-1)/($A$53-1))^2)*I$123),-1)</f>
        <v>1500</v>
      </c>
    </row>
    <row r="129" spans="1:9" x14ac:dyDescent="0.25">
      <c r="A129">
        <v>2</v>
      </c>
      <c r="B129">
        <f t="shared" si="21"/>
        <v>33</v>
      </c>
      <c r="C129">
        <f t="shared" si="21"/>
        <v>72</v>
      </c>
      <c r="D129">
        <f t="shared" si="21"/>
        <v>12</v>
      </c>
      <c r="E129">
        <f t="shared" si="21"/>
        <v>1</v>
      </c>
      <c r="F129">
        <f t="shared" si="21"/>
        <v>22</v>
      </c>
      <c r="G129">
        <f t="shared" si="21"/>
        <v>11</v>
      </c>
      <c r="H129">
        <f t="shared" si="21"/>
        <v>20</v>
      </c>
      <c r="I129">
        <f t="shared" si="23"/>
        <v>1580</v>
      </c>
    </row>
    <row r="130" spans="1:9" x14ac:dyDescent="0.25">
      <c r="A130">
        <v>3</v>
      </c>
      <c r="B130">
        <f t="shared" si="21"/>
        <v>35</v>
      </c>
      <c r="C130">
        <f t="shared" si="21"/>
        <v>74</v>
      </c>
      <c r="D130">
        <f t="shared" si="21"/>
        <v>14</v>
      </c>
      <c r="E130">
        <f t="shared" si="21"/>
        <v>1</v>
      </c>
      <c r="F130">
        <f t="shared" si="21"/>
        <v>22</v>
      </c>
      <c r="G130">
        <f t="shared" si="21"/>
        <v>12</v>
      </c>
      <c r="H130">
        <f t="shared" si="21"/>
        <v>20</v>
      </c>
      <c r="I130">
        <f t="shared" si="23"/>
        <v>1830</v>
      </c>
    </row>
    <row r="131" spans="1:9" x14ac:dyDescent="0.25">
      <c r="A131">
        <v>4</v>
      </c>
      <c r="B131">
        <f t="shared" si="21"/>
        <v>38</v>
      </c>
      <c r="C131">
        <f t="shared" si="21"/>
        <v>76</v>
      </c>
      <c r="D131">
        <f t="shared" si="21"/>
        <v>16</v>
      </c>
      <c r="E131">
        <f t="shared" si="21"/>
        <v>2</v>
      </c>
      <c r="F131">
        <f t="shared" si="21"/>
        <v>23</v>
      </c>
      <c r="G131">
        <f t="shared" si="21"/>
        <v>13</v>
      </c>
      <c r="H131">
        <f t="shared" si="21"/>
        <v>20</v>
      </c>
      <c r="I131">
        <f t="shared" si="23"/>
        <v>2230</v>
      </c>
    </row>
    <row r="132" spans="1:9" x14ac:dyDescent="0.25">
      <c r="A132">
        <v>5</v>
      </c>
      <c r="B132">
        <f t="shared" si="21"/>
        <v>40</v>
      </c>
      <c r="C132">
        <f t="shared" si="21"/>
        <v>77</v>
      </c>
      <c r="D132">
        <f t="shared" si="21"/>
        <v>17</v>
      </c>
      <c r="E132">
        <f t="shared" si="21"/>
        <v>2</v>
      </c>
      <c r="F132">
        <f t="shared" si="21"/>
        <v>23</v>
      </c>
      <c r="G132">
        <f t="shared" si="21"/>
        <v>14</v>
      </c>
      <c r="H132">
        <f>ROUND((((1-(($A132-1)/($A$137-1)))^2)*H$121)+(2*(1-(($A132-1)/($A$53-1)))*(($A132-1)/($A$53-1))*H$125)+(((($A132-1)/($A$53-1))^2)*H$123),0)</f>
        <v>20</v>
      </c>
      <c r="I132">
        <f t="shared" si="23"/>
        <v>2800</v>
      </c>
    </row>
    <row r="133" spans="1:9" x14ac:dyDescent="0.25">
      <c r="A133">
        <v>6</v>
      </c>
      <c r="B133">
        <f t="shared" si="21"/>
        <v>41</v>
      </c>
      <c r="C133">
        <f t="shared" si="21"/>
        <v>79</v>
      </c>
      <c r="D133">
        <f t="shared" si="21"/>
        <v>18</v>
      </c>
      <c r="E133">
        <f t="shared" si="21"/>
        <v>2</v>
      </c>
      <c r="F133">
        <f t="shared" si="21"/>
        <v>23</v>
      </c>
      <c r="G133">
        <f t="shared" si="21"/>
        <v>15</v>
      </c>
      <c r="H133">
        <f t="shared" si="21"/>
        <v>20</v>
      </c>
      <c r="I133">
        <f t="shared" si="23"/>
        <v>3540</v>
      </c>
    </row>
    <row r="134" spans="1:9" x14ac:dyDescent="0.25">
      <c r="A134">
        <v>7</v>
      </c>
      <c r="B134">
        <f t="shared" si="21"/>
        <v>43</v>
      </c>
      <c r="C134">
        <f t="shared" si="21"/>
        <v>81</v>
      </c>
      <c r="D134">
        <f t="shared" si="21"/>
        <v>19</v>
      </c>
      <c r="E134">
        <f t="shared" si="21"/>
        <v>2</v>
      </c>
      <c r="F134">
        <f t="shared" si="21"/>
        <v>24</v>
      </c>
      <c r="G134">
        <f t="shared" si="21"/>
        <v>16</v>
      </c>
      <c r="H134">
        <f t="shared" si="21"/>
        <v>20</v>
      </c>
      <c r="I134">
        <f t="shared" si="23"/>
        <v>4430</v>
      </c>
    </row>
    <row r="135" spans="1:9" x14ac:dyDescent="0.25">
      <c r="A135">
        <v>8</v>
      </c>
      <c r="B135">
        <f t="shared" si="21"/>
        <v>44</v>
      </c>
      <c r="C135">
        <f t="shared" si="21"/>
        <v>82</v>
      </c>
      <c r="D135">
        <f t="shared" si="21"/>
        <v>20</v>
      </c>
      <c r="E135">
        <f t="shared" si="21"/>
        <v>3</v>
      </c>
      <c r="F135">
        <f t="shared" si="21"/>
        <v>24</v>
      </c>
      <c r="G135">
        <f t="shared" si="21"/>
        <v>17</v>
      </c>
      <c r="H135">
        <f t="shared" si="21"/>
        <v>20</v>
      </c>
      <c r="I135">
        <f t="shared" si="23"/>
        <v>5490</v>
      </c>
    </row>
    <row r="136" spans="1:9" x14ac:dyDescent="0.25">
      <c r="A136">
        <v>9</v>
      </c>
      <c r="B136">
        <f t="shared" si="21"/>
        <v>45</v>
      </c>
      <c r="C136">
        <f t="shared" si="21"/>
        <v>84</v>
      </c>
      <c r="D136">
        <f t="shared" si="21"/>
        <v>20</v>
      </c>
      <c r="E136">
        <f t="shared" si="21"/>
        <v>3</v>
      </c>
      <c r="F136">
        <f t="shared" si="21"/>
        <v>24</v>
      </c>
      <c r="G136">
        <f t="shared" si="21"/>
        <v>19</v>
      </c>
      <c r="H136">
        <f t="shared" si="21"/>
        <v>20</v>
      </c>
      <c r="I136">
        <f t="shared" si="23"/>
        <v>6710</v>
      </c>
    </row>
    <row r="137" spans="1:9" x14ac:dyDescent="0.25">
      <c r="A137">
        <v>10</v>
      </c>
      <c r="B137">
        <f t="shared" si="21"/>
        <v>45</v>
      </c>
      <c r="C137">
        <f t="shared" si="21"/>
        <v>85</v>
      </c>
      <c r="D137">
        <f t="shared" si="21"/>
        <v>20</v>
      </c>
      <c r="E137">
        <f t="shared" si="21"/>
        <v>3</v>
      </c>
      <c r="F137">
        <f t="shared" si="21"/>
        <v>24</v>
      </c>
      <c r="G137">
        <f t="shared" si="21"/>
        <v>20</v>
      </c>
      <c r="H137">
        <f t="shared" si="21"/>
        <v>20</v>
      </c>
      <c r="I137">
        <f t="shared" si="23"/>
        <v>8100</v>
      </c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81</v>
      </c>
      <c r="C141" t="s">
        <v>43</v>
      </c>
      <c r="D141" t="s">
        <v>88</v>
      </c>
      <c r="E141" t="s">
        <v>42</v>
      </c>
      <c r="F141" t="s">
        <v>44</v>
      </c>
      <c r="G141" t="s">
        <v>89</v>
      </c>
      <c r="H141" t="s">
        <v>46</v>
      </c>
      <c r="I141" t="s">
        <v>193</v>
      </c>
    </row>
    <row r="142" spans="1:9" x14ac:dyDescent="0.25">
      <c r="A142" t="s">
        <v>79</v>
      </c>
      <c r="B142">
        <v>20</v>
      </c>
      <c r="C142">
        <v>75</v>
      </c>
      <c r="D142">
        <v>3</v>
      </c>
      <c r="E142">
        <v>1</v>
      </c>
      <c r="F142">
        <v>10</v>
      </c>
      <c r="G142">
        <v>5</v>
      </c>
      <c r="H142">
        <v>0</v>
      </c>
      <c r="I142">
        <f>I143*10</f>
        <v>1100</v>
      </c>
    </row>
    <row r="143" spans="1:9" x14ac:dyDescent="0.25">
      <c r="F143">
        <v>15</v>
      </c>
      <c r="I143">
        <v>110</v>
      </c>
    </row>
    <row r="144" spans="1:9" x14ac:dyDescent="0.25">
      <c r="A144" t="s">
        <v>80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10</v>
      </c>
      <c r="H144">
        <v>0</v>
      </c>
      <c r="I144">
        <f>I145*10</f>
        <v>6800</v>
      </c>
    </row>
    <row r="145" spans="1:9" x14ac:dyDescent="0.25">
      <c r="I145">
        <v>680</v>
      </c>
    </row>
    <row r="146" spans="1:9" x14ac:dyDescent="0.25">
      <c r="A146" t="s">
        <v>78</v>
      </c>
      <c r="B146">
        <f t="shared" ref="B146:I146" si="24">B142+((B144-B142)*(B$31))</f>
        <v>47</v>
      </c>
      <c r="C146">
        <f t="shared" si="24"/>
        <v>84</v>
      </c>
      <c r="D146">
        <f t="shared" si="24"/>
        <v>3</v>
      </c>
      <c r="E146">
        <f t="shared" si="24"/>
        <v>1.5</v>
      </c>
      <c r="F146">
        <f t="shared" si="24"/>
        <v>13.6</v>
      </c>
      <c r="G146">
        <f t="shared" si="24"/>
        <v>7</v>
      </c>
      <c r="H146">
        <f t="shared" si="24"/>
        <v>0</v>
      </c>
      <c r="I146">
        <f t="shared" si="24"/>
        <v>1100</v>
      </c>
    </row>
    <row r="148" spans="1:9" x14ac:dyDescent="0.25">
      <c r="A148" t="s">
        <v>91</v>
      </c>
      <c r="B148" t="s">
        <v>81</v>
      </c>
      <c r="C148" t="s">
        <v>43</v>
      </c>
      <c r="D148" t="s">
        <v>88</v>
      </c>
      <c r="E148" t="s">
        <v>42</v>
      </c>
      <c r="F148" t="s">
        <v>44</v>
      </c>
      <c r="G148" t="s">
        <v>89</v>
      </c>
      <c r="H148" t="s">
        <v>46</v>
      </c>
      <c r="I148" t="s">
        <v>193</v>
      </c>
    </row>
    <row r="149" spans="1:9" x14ac:dyDescent="0.25">
      <c r="A149">
        <v>1</v>
      </c>
      <c r="B149">
        <f>ROUND((((1-(($A149-1)/($A$158-1)))^2)*B$142)+(2*(1-(($A149-1)/($A$53-1)))*(($A149-1)/($A$53-1))*B$146)+(((($A149-1)/($A$53-1))^2)*B$144),0)</f>
        <v>20</v>
      </c>
      <c r="C149">
        <f t="shared" ref="C149:H158" si="25">ROUND((((1-(($A149-1)/($A$158-1)))^2)*C$142)+(2*(1-(($A149-1)/($A$53-1)))*(($A149-1)/($A$53-1))*C$146)+(((($A149-1)/($A$53-1))^2)*C$144),0)</f>
        <v>75</v>
      </c>
      <c r="D149">
        <f t="shared" si="25"/>
        <v>3</v>
      </c>
      <c r="E149">
        <f t="shared" si="25"/>
        <v>1</v>
      </c>
      <c r="F149">
        <f t="shared" si="25"/>
        <v>10</v>
      </c>
      <c r="G149">
        <f t="shared" si="25"/>
        <v>5</v>
      </c>
      <c r="H149">
        <f t="shared" si="25"/>
        <v>0</v>
      </c>
      <c r="I149">
        <f t="shared" ref="I149:I158" si="26">ROUND((((1-(($A149-1)/($A$158-1)))^2)*I$142)+(2*(1-(($A149-1)/($A$53-1)))*(($A149-1)/($A$53-1))*I$146)+(((($A149-1)/($A$53-1))^2)*I$144),-1)</f>
        <v>1100</v>
      </c>
    </row>
    <row r="150" spans="1:9" x14ac:dyDescent="0.25">
      <c r="A150">
        <v>2</v>
      </c>
      <c r="B150">
        <f t="shared" ref="B150:B158" si="27">ROUND((((1-(($A150-1)/($A$158-1)))^2)*B$142)+(2*(1-(($A150-1)/($A$53-1)))*(($A150-1)/($A$53-1))*B$146)+(((($A150-1)/($A$53-1))^2)*B$144),0)</f>
        <v>26</v>
      </c>
      <c r="C150">
        <f t="shared" si="25"/>
        <v>77</v>
      </c>
      <c r="D150">
        <f t="shared" si="25"/>
        <v>3</v>
      </c>
      <c r="E150">
        <f t="shared" si="25"/>
        <v>1</v>
      </c>
      <c r="F150">
        <f t="shared" si="25"/>
        <v>11</v>
      </c>
      <c r="G150">
        <f t="shared" si="25"/>
        <v>5</v>
      </c>
      <c r="H150">
        <f t="shared" si="25"/>
        <v>0</v>
      </c>
      <c r="I150">
        <f t="shared" si="26"/>
        <v>1170</v>
      </c>
    </row>
    <row r="151" spans="1:9" x14ac:dyDescent="0.25">
      <c r="A151">
        <v>3</v>
      </c>
      <c r="B151">
        <f t="shared" si="27"/>
        <v>31</v>
      </c>
      <c r="C151">
        <f t="shared" si="25"/>
        <v>79</v>
      </c>
      <c r="D151">
        <f t="shared" si="25"/>
        <v>3</v>
      </c>
      <c r="E151">
        <f t="shared" si="25"/>
        <v>1</v>
      </c>
      <c r="F151">
        <f t="shared" si="25"/>
        <v>11</v>
      </c>
      <c r="G151">
        <f t="shared" si="25"/>
        <v>6</v>
      </c>
      <c r="H151">
        <f t="shared" si="25"/>
        <v>0</v>
      </c>
      <c r="I151">
        <f t="shared" si="26"/>
        <v>1380</v>
      </c>
    </row>
    <row r="152" spans="1:9" x14ac:dyDescent="0.25">
      <c r="A152">
        <v>4</v>
      </c>
      <c r="B152">
        <f t="shared" si="27"/>
        <v>35</v>
      </c>
      <c r="C152">
        <f t="shared" si="25"/>
        <v>81</v>
      </c>
      <c r="D152">
        <f t="shared" si="25"/>
        <v>3</v>
      </c>
      <c r="E152">
        <f t="shared" si="25"/>
        <v>1</v>
      </c>
      <c r="F152">
        <f t="shared" si="25"/>
        <v>12</v>
      </c>
      <c r="G152">
        <f t="shared" si="25"/>
        <v>6</v>
      </c>
      <c r="H152">
        <f t="shared" si="25"/>
        <v>0</v>
      </c>
      <c r="I152">
        <f t="shared" si="26"/>
        <v>1730</v>
      </c>
    </row>
    <row r="153" spans="1:9" x14ac:dyDescent="0.25">
      <c r="A153">
        <v>5</v>
      </c>
      <c r="B153">
        <f t="shared" si="27"/>
        <v>39</v>
      </c>
      <c r="C153">
        <f t="shared" si="25"/>
        <v>82</v>
      </c>
      <c r="D153">
        <f t="shared" si="25"/>
        <v>3</v>
      </c>
      <c r="E153">
        <f t="shared" si="25"/>
        <v>1</v>
      </c>
      <c r="F153">
        <f t="shared" si="25"/>
        <v>13</v>
      </c>
      <c r="G153">
        <f t="shared" si="25"/>
        <v>7</v>
      </c>
      <c r="H153">
        <f t="shared" si="25"/>
        <v>0</v>
      </c>
      <c r="I153">
        <f t="shared" si="26"/>
        <v>2230</v>
      </c>
    </row>
    <row r="154" spans="1:9" x14ac:dyDescent="0.25">
      <c r="A154">
        <v>6</v>
      </c>
      <c r="B154">
        <f t="shared" si="27"/>
        <v>43</v>
      </c>
      <c r="C154">
        <f t="shared" si="25"/>
        <v>84</v>
      </c>
      <c r="D154">
        <f t="shared" si="25"/>
        <v>3</v>
      </c>
      <c r="E154">
        <f t="shared" si="25"/>
        <v>2</v>
      </c>
      <c r="F154">
        <f t="shared" si="25"/>
        <v>13</v>
      </c>
      <c r="G154">
        <f t="shared" si="25"/>
        <v>8</v>
      </c>
      <c r="H154">
        <f t="shared" si="25"/>
        <v>0</v>
      </c>
      <c r="I154">
        <f t="shared" si="26"/>
        <v>2860</v>
      </c>
    </row>
    <row r="155" spans="1:9" x14ac:dyDescent="0.25">
      <c r="A155">
        <v>7</v>
      </c>
      <c r="B155">
        <f t="shared" si="27"/>
        <v>45</v>
      </c>
      <c r="C155">
        <f t="shared" si="25"/>
        <v>86</v>
      </c>
      <c r="D155">
        <f t="shared" si="25"/>
        <v>3</v>
      </c>
      <c r="E155">
        <f t="shared" si="25"/>
        <v>2</v>
      </c>
      <c r="F155">
        <f t="shared" si="25"/>
        <v>13</v>
      </c>
      <c r="G155">
        <f t="shared" si="25"/>
        <v>8</v>
      </c>
      <c r="H155">
        <f t="shared" si="25"/>
        <v>0</v>
      </c>
      <c r="I155">
        <f t="shared" si="26"/>
        <v>3630</v>
      </c>
    </row>
    <row r="156" spans="1:9" x14ac:dyDescent="0.25">
      <c r="A156">
        <v>8</v>
      </c>
      <c r="B156">
        <f t="shared" si="27"/>
        <v>47</v>
      </c>
      <c r="C156">
        <f t="shared" si="25"/>
        <v>87</v>
      </c>
      <c r="D156">
        <f t="shared" si="25"/>
        <v>3</v>
      </c>
      <c r="E156">
        <f t="shared" si="25"/>
        <v>2</v>
      </c>
      <c r="F156">
        <f t="shared" si="25"/>
        <v>14</v>
      </c>
      <c r="G156">
        <f t="shared" si="25"/>
        <v>9</v>
      </c>
      <c r="H156">
        <f t="shared" si="25"/>
        <v>0</v>
      </c>
      <c r="I156">
        <f t="shared" si="26"/>
        <v>4550</v>
      </c>
    </row>
    <row r="157" spans="1:9" x14ac:dyDescent="0.25">
      <c r="A157">
        <v>9</v>
      </c>
      <c r="B157">
        <f t="shared" si="27"/>
        <v>49</v>
      </c>
      <c r="C157">
        <f t="shared" si="25"/>
        <v>89</v>
      </c>
      <c r="D157">
        <f t="shared" si="25"/>
        <v>3</v>
      </c>
      <c r="E157">
        <f t="shared" si="25"/>
        <v>2</v>
      </c>
      <c r="F157">
        <f t="shared" si="25"/>
        <v>14</v>
      </c>
      <c r="G157">
        <f>ROUND((((1-(($A157-1)/($A$158-1)))^2)*G$142)+(2*(1-(($A157-1)/($A$53-1)))*(($A157-1)/($A$53-1))*G$146)+(((($A157-1)/($A$53-1))^2)*G$144),0)</f>
        <v>9</v>
      </c>
      <c r="H157">
        <f t="shared" si="25"/>
        <v>0</v>
      </c>
      <c r="I157">
        <f t="shared" si="26"/>
        <v>5600</v>
      </c>
    </row>
    <row r="158" spans="1:9" x14ac:dyDescent="0.25">
      <c r="A158">
        <v>10</v>
      </c>
      <c r="B158">
        <f t="shared" si="27"/>
        <v>50</v>
      </c>
      <c r="C158">
        <f t="shared" si="25"/>
        <v>90</v>
      </c>
      <c r="D158">
        <f t="shared" si="25"/>
        <v>3</v>
      </c>
      <c r="E158">
        <f t="shared" si="25"/>
        <v>2</v>
      </c>
      <c r="F158">
        <f t="shared" si="25"/>
        <v>14</v>
      </c>
      <c r="G158">
        <f t="shared" si="25"/>
        <v>10</v>
      </c>
      <c r="H158">
        <f t="shared" si="25"/>
        <v>0</v>
      </c>
      <c r="I158">
        <f t="shared" si="26"/>
        <v>6800</v>
      </c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81</v>
      </c>
      <c r="C162" t="s">
        <v>43</v>
      </c>
      <c r="D162" t="s">
        <v>88</v>
      </c>
      <c r="E162" t="s">
        <v>42</v>
      </c>
      <c r="F162" t="s">
        <v>44</v>
      </c>
      <c r="G162" t="s">
        <v>89</v>
      </c>
      <c r="H162" t="s">
        <v>46</v>
      </c>
      <c r="I162" t="s">
        <v>193</v>
      </c>
    </row>
    <row r="163" spans="1:9" x14ac:dyDescent="0.25">
      <c r="A163" t="s">
        <v>79</v>
      </c>
      <c r="B163">
        <v>45</v>
      </c>
      <c r="C163">
        <v>55</v>
      </c>
      <c r="D163">
        <v>75</v>
      </c>
      <c r="E163">
        <v>1</v>
      </c>
      <c r="F163">
        <v>30</v>
      </c>
      <c r="G163">
        <v>12</v>
      </c>
      <c r="H163">
        <v>10</v>
      </c>
      <c r="I163">
        <f>I164*10</f>
        <v>2000</v>
      </c>
    </row>
    <row r="164" spans="1:9" x14ac:dyDescent="0.25">
      <c r="F164">
        <v>15</v>
      </c>
      <c r="I164">
        <v>200</v>
      </c>
    </row>
    <row r="165" spans="1:9" x14ac:dyDescent="0.25">
      <c r="A165" t="s">
        <v>80</v>
      </c>
      <c r="B165">
        <v>90</v>
      </c>
      <c r="C165">
        <v>90</v>
      </c>
      <c r="D165">
        <v>90</v>
      </c>
      <c r="E165">
        <v>3</v>
      </c>
      <c r="F165">
        <v>30</v>
      </c>
      <c r="G165">
        <v>30</v>
      </c>
      <c r="H165">
        <v>10</v>
      </c>
      <c r="I165">
        <f>I166*10</f>
        <v>9600</v>
      </c>
    </row>
    <row r="166" spans="1:9" x14ac:dyDescent="0.25">
      <c r="I166">
        <v>960</v>
      </c>
    </row>
    <row r="167" spans="1:9" x14ac:dyDescent="0.25">
      <c r="A167" t="s">
        <v>78</v>
      </c>
      <c r="B167">
        <f>B163+((B165-B163)*(B$31))</f>
        <v>85.5</v>
      </c>
      <c r="C167">
        <f>C163+((C165-C163)*(C$31))</f>
        <v>76</v>
      </c>
      <c r="D167">
        <f t="shared" ref="D167:I167" si="28">D163+((D165-D163)*(D$31))</f>
        <v>90</v>
      </c>
      <c r="E167">
        <f t="shared" si="28"/>
        <v>2</v>
      </c>
      <c r="F167">
        <f t="shared" si="28"/>
        <v>30</v>
      </c>
      <c r="G167">
        <f t="shared" si="28"/>
        <v>19.2</v>
      </c>
      <c r="H167">
        <f t="shared" si="28"/>
        <v>10</v>
      </c>
      <c r="I167">
        <f t="shared" si="28"/>
        <v>2000</v>
      </c>
    </row>
    <row r="169" spans="1:9" x14ac:dyDescent="0.25">
      <c r="A169" t="s">
        <v>91</v>
      </c>
      <c r="B169" t="s">
        <v>81</v>
      </c>
      <c r="C169" t="s">
        <v>43</v>
      </c>
      <c r="D169" t="s">
        <v>88</v>
      </c>
      <c r="E169" t="s">
        <v>42</v>
      </c>
      <c r="F169" t="s">
        <v>44</v>
      </c>
      <c r="G169" t="s">
        <v>89</v>
      </c>
      <c r="H169" t="s">
        <v>46</v>
      </c>
      <c r="I169" t="s">
        <v>193</v>
      </c>
    </row>
    <row r="170" spans="1:9" x14ac:dyDescent="0.25">
      <c r="A170">
        <v>1</v>
      </c>
      <c r="B170">
        <f>ROUND((((1-(($A170-1)/($A$179-1)))^2)*B$163)+(2*(1-(($A170-1)/($A$53-1)))*(($A170-1)/($A$53-1))*B$167)+(((($A170-1)/($A$53-1))^2)*B$165),0)</f>
        <v>45</v>
      </c>
      <c r="C170">
        <f t="shared" ref="B170:H179" si="29">ROUND((((1-(($A170-1)/($A$179-1)))^2)*C$163)+(2*(1-(($A170-1)/($A$53-1)))*(($A170-1)/($A$53-1))*C$167)+(((($A170-1)/($A$53-1))^2)*C$165),0)</f>
        <v>55</v>
      </c>
      <c r="D170">
        <f t="shared" si="29"/>
        <v>75</v>
      </c>
      <c r="E170">
        <f t="shared" si="29"/>
        <v>1</v>
      </c>
      <c r="F170">
        <f t="shared" si="29"/>
        <v>30</v>
      </c>
      <c r="G170">
        <f t="shared" si="29"/>
        <v>12</v>
      </c>
      <c r="H170">
        <f t="shared" si="29"/>
        <v>10</v>
      </c>
      <c r="I170">
        <f t="shared" ref="I170:I179" si="30">ROUND((((1-(($A170-1)/($A$179-1)))^2)*I$163)+(2*(1-(($A170-1)/($A$53-1)))*(($A170-1)/($A$53-1))*I$167)+(((($A170-1)/($A$53-1))^2)*I$165),-1)</f>
        <v>2000</v>
      </c>
    </row>
    <row r="171" spans="1:9" x14ac:dyDescent="0.25">
      <c r="A171">
        <v>2</v>
      </c>
      <c r="B171">
        <f t="shared" si="29"/>
        <v>54</v>
      </c>
      <c r="C171">
        <f t="shared" si="29"/>
        <v>60</v>
      </c>
      <c r="D171">
        <f t="shared" si="29"/>
        <v>78</v>
      </c>
      <c r="E171">
        <f t="shared" si="29"/>
        <v>1</v>
      </c>
      <c r="F171">
        <f t="shared" si="29"/>
        <v>30</v>
      </c>
      <c r="G171">
        <f t="shared" si="29"/>
        <v>14</v>
      </c>
      <c r="H171">
        <f t="shared" si="29"/>
        <v>10</v>
      </c>
      <c r="I171">
        <f t="shared" si="30"/>
        <v>2090</v>
      </c>
    </row>
    <row r="172" spans="1:9" x14ac:dyDescent="0.25">
      <c r="A172">
        <v>3</v>
      </c>
      <c r="B172">
        <f t="shared" si="29"/>
        <v>61</v>
      </c>
      <c r="C172">
        <f t="shared" si="29"/>
        <v>64</v>
      </c>
      <c r="D172">
        <f t="shared" si="29"/>
        <v>81</v>
      </c>
      <c r="E172">
        <f t="shared" si="29"/>
        <v>1</v>
      </c>
      <c r="F172">
        <f t="shared" si="29"/>
        <v>30</v>
      </c>
      <c r="G172">
        <f t="shared" si="29"/>
        <v>15</v>
      </c>
      <c r="H172">
        <f t="shared" si="29"/>
        <v>10</v>
      </c>
      <c r="I172">
        <f t="shared" si="30"/>
        <v>2380</v>
      </c>
    </row>
    <row r="173" spans="1:9" x14ac:dyDescent="0.25">
      <c r="A173">
        <v>4</v>
      </c>
      <c r="B173">
        <f t="shared" si="29"/>
        <v>68</v>
      </c>
      <c r="C173">
        <f t="shared" si="29"/>
        <v>68</v>
      </c>
      <c r="D173">
        <f t="shared" si="29"/>
        <v>83</v>
      </c>
      <c r="E173">
        <f t="shared" si="29"/>
        <v>2</v>
      </c>
      <c r="F173">
        <f t="shared" si="29"/>
        <v>30</v>
      </c>
      <c r="G173">
        <f t="shared" si="29"/>
        <v>17</v>
      </c>
      <c r="H173">
        <f t="shared" si="29"/>
        <v>10</v>
      </c>
      <c r="I173">
        <f t="shared" si="30"/>
        <v>2840</v>
      </c>
    </row>
    <row r="174" spans="1:9" x14ac:dyDescent="0.25">
      <c r="A174">
        <v>5</v>
      </c>
      <c r="B174">
        <f t="shared" si="29"/>
        <v>74</v>
      </c>
      <c r="C174">
        <f t="shared" si="29"/>
        <v>72</v>
      </c>
      <c r="D174">
        <f t="shared" si="29"/>
        <v>85</v>
      </c>
      <c r="E174">
        <f t="shared" si="29"/>
        <v>2</v>
      </c>
      <c r="F174">
        <f t="shared" si="29"/>
        <v>30</v>
      </c>
      <c r="G174">
        <f t="shared" si="29"/>
        <v>19</v>
      </c>
      <c r="H174">
        <f t="shared" si="29"/>
        <v>10</v>
      </c>
      <c r="I174">
        <f t="shared" si="30"/>
        <v>3500</v>
      </c>
    </row>
    <row r="175" spans="1:9" x14ac:dyDescent="0.25">
      <c r="A175">
        <v>6</v>
      </c>
      <c r="B175">
        <f t="shared" si="29"/>
        <v>79</v>
      </c>
      <c r="C175">
        <f t="shared" si="29"/>
        <v>76</v>
      </c>
      <c r="D175">
        <f t="shared" si="29"/>
        <v>87</v>
      </c>
      <c r="E175">
        <f t="shared" si="29"/>
        <v>2</v>
      </c>
      <c r="F175">
        <f t="shared" si="29"/>
        <v>30</v>
      </c>
      <c r="G175">
        <f t="shared" si="29"/>
        <v>21</v>
      </c>
      <c r="H175">
        <f t="shared" si="29"/>
        <v>10</v>
      </c>
      <c r="I175">
        <f t="shared" si="30"/>
        <v>4350</v>
      </c>
    </row>
    <row r="176" spans="1:9" x14ac:dyDescent="0.25">
      <c r="A176">
        <v>7</v>
      </c>
      <c r="B176">
        <f t="shared" si="29"/>
        <v>83</v>
      </c>
      <c r="C176">
        <f t="shared" si="29"/>
        <v>80</v>
      </c>
      <c r="D176">
        <f t="shared" si="29"/>
        <v>88</v>
      </c>
      <c r="E176">
        <f t="shared" si="29"/>
        <v>2</v>
      </c>
      <c r="F176">
        <f t="shared" si="29"/>
        <v>30</v>
      </c>
      <c r="G176">
        <f t="shared" si="29"/>
        <v>23</v>
      </c>
      <c r="H176">
        <f t="shared" si="29"/>
        <v>10</v>
      </c>
      <c r="I176">
        <f t="shared" si="30"/>
        <v>5380</v>
      </c>
    </row>
    <row r="177" spans="1:12" x14ac:dyDescent="0.25">
      <c r="A177">
        <v>8</v>
      </c>
      <c r="B177">
        <f t="shared" si="29"/>
        <v>86</v>
      </c>
      <c r="C177">
        <f t="shared" si="29"/>
        <v>83</v>
      </c>
      <c r="D177">
        <f t="shared" si="29"/>
        <v>89</v>
      </c>
      <c r="E177">
        <f t="shared" si="29"/>
        <v>3</v>
      </c>
      <c r="F177">
        <f t="shared" si="29"/>
        <v>30</v>
      </c>
      <c r="G177">
        <f t="shared" si="29"/>
        <v>25</v>
      </c>
      <c r="H177">
        <f t="shared" si="29"/>
        <v>10</v>
      </c>
      <c r="I177">
        <f t="shared" si="30"/>
        <v>6600</v>
      </c>
    </row>
    <row r="178" spans="1:12" x14ac:dyDescent="0.25">
      <c r="A178">
        <v>9</v>
      </c>
      <c r="B178">
        <f t="shared" si="29"/>
        <v>89</v>
      </c>
      <c r="C178">
        <f t="shared" si="29"/>
        <v>87</v>
      </c>
      <c r="D178">
        <f t="shared" si="29"/>
        <v>90</v>
      </c>
      <c r="E178">
        <f t="shared" si="29"/>
        <v>3</v>
      </c>
      <c r="F178">
        <f t="shared" si="29"/>
        <v>30</v>
      </c>
      <c r="G178">
        <f t="shared" si="29"/>
        <v>28</v>
      </c>
      <c r="H178">
        <f t="shared" si="29"/>
        <v>10</v>
      </c>
      <c r="I178">
        <f t="shared" si="30"/>
        <v>8000</v>
      </c>
    </row>
    <row r="179" spans="1:12" x14ac:dyDescent="0.25">
      <c r="A179">
        <v>10</v>
      </c>
      <c r="B179">
        <f t="shared" si="29"/>
        <v>90</v>
      </c>
      <c r="C179">
        <f t="shared" si="29"/>
        <v>90</v>
      </c>
      <c r="D179">
        <f t="shared" si="29"/>
        <v>90</v>
      </c>
      <c r="E179">
        <f t="shared" si="29"/>
        <v>3</v>
      </c>
      <c r="F179">
        <f t="shared" si="29"/>
        <v>30</v>
      </c>
      <c r="G179">
        <f t="shared" si="29"/>
        <v>30</v>
      </c>
      <c r="H179">
        <f t="shared" si="29"/>
        <v>10</v>
      </c>
      <c r="I179">
        <f t="shared" si="30"/>
        <v>9600</v>
      </c>
    </row>
    <row r="183" spans="1:12" x14ac:dyDescent="0.25">
      <c r="A183" t="s">
        <v>178</v>
      </c>
      <c r="C183" t="s">
        <v>181</v>
      </c>
      <c r="D183">
        <f>E183/100</f>
        <v>0.5</v>
      </c>
      <c r="E183">
        <v>50</v>
      </c>
    </row>
    <row r="185" spans="1:12" x14ac:dyDescent="0.25">
      <c r="A185" t="s">
        <v>179</v>
      </c>
      <c r="B185" t="s">
        <v>170</v>
      </c>
      <c r="K185" t="s">
        <v>179</v>
      </c>
      <c r="L185" t="s">
        <v>169</v>
      </c>
    </row>
    <row r="187" spans="1:12" x14ac:dyDescent="0.25">
      <c r="A187" t="s">
        <v>180</v>
      </c>
      <c r="B187">
        <v>2</v>
      </c>
      <c r="K187" t="s">
        <v>180</v>
      </c>
      <c r="L187">
        <v>5</v>
      </c>
    </row>
    <row r="189" spans="1:12" x14ac:dyDescent="0.25">
      <c r="A189" t="s">
        <v>80</v>
      </c>
      <c r="B189">
        <v>6</v>
      </c>
      <c r="K189" t="s">
        <v>80</v>
      </c>
      <c r="L189">
        <v>20</v>
      </c>
    </row>
    <row r="191" spans="1:12" x14ac:dyDescent="0.25">
      <c r="A191" t="s">
        <v>78</v>
      </c>
      <c r="B191">
        <f>B187+((B189-B187)*$D$183)</f>
        <v>4</v>
      </c>
      <c r="K191" t="s">
        <v>78</v>
      </c>
      <c r="L191">
        <f>L187+((L189-L187)*$D$183)</f>
        <v>12.5</v>
      </c>
    </row>
    <row r="193" spans="1:12" x14ac:dyDescent="0.25">
      <c r="A193" t="s">
        <v>182</v>
      </c>
      <c r="B193" t="s">
        <v>183</v>
      </c>
      <c r="K193" t="s">
        <v>182</v>
      </c>
      <c r="L193" t="s">
        <v>43</v>
      </c>
    </row>
    <row r="194" spans="1:12" x14ac:dyDescent="0.25">
      <c r="A194">
        <v>1</v>
      </c>
      <c r="B194">
        <f>ROUND((((1-(($A194-1)/($A$198-1)))^2)*B$187)+(2*(1-(($A194-1)/($A$198-1)))*(($A194-1)/($A$198-1))*B$191)+(((($A194-1)/($A$198-1))^2)*B$189),0)</f>
        <v>2</v>
      </c>
      <c r="K194">
        <v>1</v>
      </c>
      <c r="L194">
        <f>ROUND((((1-(($K194-1)/($A$198-1)))^2)*L$187)+(2*(1-(($A194-1)/($A$198-1)))*(($A194-1)/($A$198-1))*L$191)+(((($A194-1)/($A$198-1))^2)*L$189),0)</f>
        <v>5</v>
      </c>
    </row>
    <row r="195" spans="1:12" x14ac:dyDescent="0.25">
      <c r="A195">
        <v>2</v>
      </c>
      <c r="B195">
        <f t="shared" ref="B195" si="31">ROUND((((1-(($A195-1)/($A$198-1)))^2)*B$187)+(2*(1-(($A195-1)/($A$198-1)))*(($A195-1)/($A$198-1))*B$191)+(((($A195-1)/($A$198-1))^2)*B$189),0)</f>
        <v>3</v>
      </c>
      <c r="K195">
        <v>2</v>
      </c>
      <c r="L195">
        <f t="shared" ref="L195:L197" si="32">ROUND((((1-(($K195-1)/($A$198-1)))^2)*L$187)+(2*(1-(($A195-1)/($A$198-1)))*(($A195-1)/($A$198-1))*L$191)+(((($A195-1)/($A$198-1))^2)*L$189),0)</f>
        <v>9</v>
      </c>
    </row>
    <row r="196" spans="1:12" x14ac:dyDescent="0.25">
      <c r="A196">
        <v>3</v>
      </c>
      <c r="B196">
        <f>ROUND((((1-(($A196-1)/($A$198-1)))^2)*B$187)+(2*(1-(($A196-1)/($A$198-1)))*(($A196-1)/($A$198-1))*B$191)+(((($A196-1)/($A$198-1))^2)*B$189),0)</f>
        <v>4</v>
      </c>
      <c r="K196">
        <v>3</v>
      </c>
      <c r="L196">
        <f t="shared" si="32"/>
        <v>13</v>
      </c>
    </row>
    <row r="197" spans="1:12" x14ac:dyDescent="0.25">
      <c r="A197">
        <v>4</v>
      </c>
      <c r="B197">
        <f>ROUND((((1-(($A197-1)/($A$198-1)))^2)*B$187)+(2*(1-(($A197-1)/($A$198-1)))*(($A197-1)/($A$198-1))*B$191)+(((($A197-1)/($A$198-1))^2)*B$189),0)</f>
        <v>5</v>
      </c>
      <c r="K197">
        <v>4</v>
      </c>
      <c r="L197">
        <f t="shared" si="32"/>
        <v>16</v>
      </c>
    </row>
    <row r="198" spans="1:12" x14ac:dyDescent="0.25">
      <c r="A198">
        <v>5</v>
      </c>
      <c r="B198">
        <f>ROUND((((1-(($A198-1)/($A$198-1)))^2)*B$187)+(2*(1-(($A198-1)/($A$198-1)))*(($A198-1)/($A$198-1))*B$191)+(((($A198-1)/($A$198-1))^2)*B$189),0)</f>
        <v>6</v>
      </c>
      <c r="K198">
        <v>5</v>
      </c>
      <c r="L198">
        <f>ROUND((((1-(($K198-1)/($A$198-1)))^2)*L$187)+(2*(1-(($A198-1)/($A$198-1)))*(($A198-1)/($A$198-1))*L$191)+(((($A198-1)/($A$198-1))^2)*L$189),0)</f>
        <v>20</v>
      </c>
    </row>
    <row r="200" spans="1:12" x14ac:dyDescent="0.25">
      <c r="A200" t="s">
        <v>179</v>
      </c>
      <c r="B200" t="s">
        <v>172</v>
      </c>
      <c r="K200" t="s">
        <v>179</v>
      </c>
      <c r="L200" t="s">
        <v>199</v>
      </c>
    </row>
    <row r="202" spans="1:12" x14ac:dyDescent="0.25">
      <c r="A202" t="s">
        <v>180</v>
      </c>
      <c r="B202">
        <v>5</v>
      </c>
      <c r="K202" t="s">
        <v>180</v>
      </c>
      <c r="L202">
        <v>5</v>
      </c>
    </row>
    <row r="204" spans="1:12" x14ac:dyDescent="0.25">
      <c r="A204" t="s">
        <v>80</v>
      </c>
      <c r="B204">
        <v>20</v>
      </c>
      <c r="K204" t="s">
        <v>80</v>
      </c>
      <c r="L204">
        <v>15</v>
      </c>
    </row>
    <row r="206" spans="1:12" x14ac:dyDescent="0.25">
      <c r="A206" t="s">
        <v>78</v>
      </c>
      <c r="B206">
        <f>B202+((B204-B202)*$D$183)</f>
        <v>12.5</v>
      </c>
      <c r="K206" t="s">
        <v>78</v>
      </c>
      <c r="L206">
        <f>L202+((L204-L202)*$D$183)</f>
        <v>10</v>
      </c>
    </row>
    <row r="208" spans="1:12" x14ac:dyDescent="0.25">
      <c r="A208" t="s">
        <v>182</v>
      </c>
      <c r="B208" t="s">
        <v>196</v>
      </c>
      <c r="K208" t="s">
        <v>182</v>
      </c>
      <c r="L208" t="s">
        <v>198</v>
      </c>
    </row>
    <row r="209" spans="1:12" x14ac:dyDescent="0.25">
      <c r="A209">
        <v>1</v>
      </c>
      <c r="B209">
        <f>ROUND((((1-(($A209-1)/($A$198-1)))^2)*B$202)+(2*(1-(($A209-1)/($A$198-1)))*(($A209-1)/($A$198-1))*B$206)+(((($A209-1)/($A$198-1))^2)*B$204),0)</f>
        <v>5</v>
      </c>
      <c r="K209">
        <v>1</v>
      </c>
      <c r="L209">
        <f>ROUND((((1-(($K209-1)/($A$198-1)))^2)*L$202)+(2*(1-(($A209-1)/($A$198-1)))*(($A209-1)/($A$198-1))*L$206)+(((($A209-1)/($A$198-1))^2)*L$204),0)</f>
        <v>5</v>
      </c>
    </row>
    <row r="210" spans="1:12" x14ac:dyDescent="0.25">
      <c r="A210">
        <v>2</v>
      </c>
      <c r="B210">
        <f t="shared" ref="B210:B212" si="33">ROUND((((1-(($A210-1)/($A$198-1)))^2)*B$202)+(2*(1-(($A210-1)/($A$198-1)))*(($A210-1)/($A$198-1))*B$206)+(((($A210-1)/($A$198-1))^2)*B$204),0)</f>
        <v>9</v>
      </c>
      <c r="K210">
        <v>2</v>
      </c>
      <c r="L210">
        <f t="shared" ref="L210:L213" si="34">ROUND((((1-(($K210-1)/($A$198-1)))^2)*L$202)+(2*(1-(($A210-1)/($A$198-1)))*(($A210-1)/($A$198-1))*L$206)+(((($A210-1)/($A$198-1))^2)*L$204),0)</f>
        <v>8</v>
      </c>
    </row>
    <row r="211" spans="1:12" x14ac:dyDescent="0.25">
      <c r="A211">
        <v>3</v>
      </c>
      <c r="B211">
        <f t="shared" si="33"/>
        <v>13</v>
      </c>
      <c r="K211">
        <v>3</v>
      </c>
      <c r="L211">
        <f t="shared" si="34"/>
        <v>10</v>
      </c>
    </row>
    <row r="212" spans="1:12" x14ac:dyDescent="0.25">
      <c r="A212">
        <v>4</v>
      </c>
      <c r="B212">
        <f t="shared" si="33"/>
        <v>16</v>
      </c>
      <c r="K212">
        <v>4</v>
      </c>
      <c r="L212">
        <f t="shared" si="34"/>
        <v>13</v>
      </c>
    </row>
    <row r="213" spans="1:12" x14ac:dyDescent="0.25">
      <c r="A213">
        <v>5</v>
      </c>
      <c r="B213">
        <f>ROUND((((1-(($A213-1)/($A$198-1)))^2)*B$202)+(2*(1-(($A213-1)/($A$198-1)))*(($A213-1)/($A$198-1))*B$206)+(((($A213-1)/($A$198-1))^2)*B$204),0)</f>
        <v>20</v>
      </c>
      <c r="K213">
        <v>5</v>
      </c>
      <c r="L213">
        <f t="shared" si="34"/>
        <v>15</v>
      </c>
    </row>
    <row r="215" spans="1:12" x14ac:dyDescent="0.25">
      <c r="A215" t="s">
        <v>179</v>
      </c>
      <c r="B215" t="s">
        <v>174</v>
      </c>
      <c r="K215" t="s">
        <v>179</v>
      </c>
      <c r="L215" t="s">
        <v>191</v>
      </c>
    </row>
    <row r="217" spans="1:12" x14ac:dyDescent="0.25">
      <c r="A217" t="s">
        <v>180</v>
      </c>
      <c r="B217">
        <v>10</v>
      </c>
      <c r="K217" t="s">
        <v>180</v>
      </c>
      <c r="L217">
        <v>5</v>
      </c>
    </row>
    <row r="219" spans="1:12" x14ac:dyDescent="0.25">
      <c r="A219" t="s">
        <v>80</v>
      </c>
      <c r="B219">
        <v>25</v>
      </c>
      <c r="K219" t="s">
        <v>80</v>
      </c>
      <c r="L219">
        <v>10</v>
      </c>
    </row>
    <row r="221" spans="1:12" x14ac:dyDescent="0.25">
      <c r="A221" t="s">
        <v>78</v>
      </c>
      <c r="B221">
        <f>B217+((B219-B217)*$D$183)</f>
        <v>17.5</v>
      </c>
      <c r="K221" t="s">
        <v>78</v>
      </c>
      <c r="L221">
        <f>L217+((L219-L217)*$D$183)</f>
        <v>7.5</v>
      </c>
    </row>
    <row r="223" spans="1:12" x14ac:dyDescent="0.25">
      <c r="A223" t="s">
        <v>182</v>
      </c>
      <c r="B223" t="s">
        <v>184</v>
      </c>
      <c r="K223" t="s">
        <v>182</v>
      </c>
      <c r="L223" t="s">
        <v>197</v>
      </c>
    </row>
    <row r="224" spans="1:12" x14ac:dyDescent="0.25">
      <c r="A224">
        <v>1</v>
      </c>
      <c r="B224">
        <f>ROUND((((1-(($A224-1)/($A$198-1)))^2)*B$217)+(2*(1-(($A224-1)/($A$198-1)))*(($A224-1)/($A$198-1))*B$221)+(((($A224-1)/($A$198-1))^2)*B$219),0)</f>
        <v>10</v>
      </c>
      <c r="K224">
        <v>1</v>
      </c>
      <c r="L224">
        <f>ROUND((((1-(($K224-1)/($A$198-1)))^2)*L$217)+(2*(1-(($A224-1)/($A$198-1)))*(($A224-1)/($A$198-1))*L$221)+(((($A224-1)/($A$198-1))^2)*L$219),0)</f>
        <v>5</v>
      </c>
    </row>
    <row r="225" spans="1:12" x14ac:dyDescent="0.25">
      <c r="A225">
        <v>2</v>
      </c>
      <c r="B225">
        <f t="shared" ref="B225:B228" si="35">ROUND((((1-(($A225-1)/($A$198-1)))^2)*B$217)+(2*(1-(($A225-1)/($A$198-1)))*(($A225-1)/($A$198-1))*B$221)+(((($A225-1)/($A$198-1))^2)*B$219),0)</f>
        <v>14</v>
      </c>
      <c r="K225">
        <v>2</v>
      </c>
      <c r="L225">
        <f t="shared" ref="L225:L228" si="36">ROUND((((1-(($K225-1)/($A$198-1)))^2)*L$217)+(2*(1-(($A225-1)/($A$198-1)))*(($A225-1)/($A$198-1))*L$221)+(((($A225-1)/($A$198-1))^2)*L$219),0)</f>
        <v>6</v>
      </c>
    </row>
    <row r="226" spans="1:12" x14ac:dyDescent="0.25">
      <c r="A226">
        <v>3</v>
      </c>
      <c r="B226">
        <f t="shared" si="35"/>
        <v>18</v>
      </c>
      <c r="K226">
        <v>3</v>
      </c>
      <c r="L226">
        <f t="shared" si="36"/>
        <v>8</v>
      </c>
    </row>
    <row r="227" spans="1:12" x14ac:dyDescent="0.25">
      <c r="A227">
        <v>4</v>
      </c>
      <c r="B227">
        <f t="shared" si="35"/>
        <v>21</v>
      </c>
      <c r="K227">
        <v>4</v>
      </c>
      <c r="L227">
        <f t="shared" si="36"/>
        <v>9</v>
      </c>
    </row>
    <row r="228" spans="1:12" x14ac:dyDescent="0.25">
      <c r="A228">
        <v>5</v>
      </c>
      <c r="B228">
        <f t="shared" si="35"/>
        <v>25</v>
      </c>
      <c r="K228">
        <v>5</v>
      </c>
      <c r="L228">
        <f t="shared" si="36"/>
        <v>10</v>
      </c>
    </row>
    <row r="230" spans="1:12" x14ac:dyDescent="0.25">
      <c r="A230" t="s">
        <v>179</v>
      </c>
      <c r="B230" t="s">
        <v>283</v>
      </c>
    </row>
    <row r="232" spans="1:12" x14ac:dyDescent="0.25">
      <c r="A232" t="s">
        <v>180</v>
      </c>
      <c r="B232">
        <v>10</v>
      </c>
    </row>
    <row r="234" spans="1:12" x14ac:dyDescent="0.25">
      <c r="A234" t="s">
        <v>80</v>
      </c>
      <c r="B234">
        <v>50</v>
      </c>
    </row>
    <row r="236" spans="1:12" x14ac:dyDescent="0.25">
      <c r="A236" t="s">
        <v>78</v>
      </c>
      <c r="B236">
        <f>B232+((B234-B232)*$D$183)</f>
        <v>30</v>
      </c>
    </row>
    <row r="238" spans="1:12" x14ac:dyDescent="0.25">
      <c r="A238" t="s">
        <v>182</v>
      </c>
      <c r="B238" t="s">
        <v>284</v>
      </c>
    </row>
    <row r="239" spans="1:12" x14ac:dyDescent="0.25">
      <c r="A239">
        <v>1</v>
      </c>
      <c r="B239">
        <f>ROUND((((1-(($A239-1)/($A$198-1)))^2)*B$232)+(2*(1-(($A239-1)/($A$198-1)))*(($A239-1)/($A$198-1))*B$236)+(((($A239-1)/($A$198-1))^2)*B$234),0)</f>
        <v>10</v>
      </c>
    </row>
    <row r="240" spans="1:12" x14ac:dyDescent="0.25">
      <c r="A240">
        <v>2</v>
      </c>
      <c r="B240">
        <f t="shared" ref="B240:B243" si="37">ROUND((((1-(($A240-1)/($A$198-1)))^2)*B$232)+(2*(1-(($A240-1)/($A$198-1)))*(($A240-1)/($A$198-1))*B$236)+(((($A240-1)/($A$198-1))^2)*B$234),0)</f>
        <v>20</v>
      </c>
    </row>
    <row r="241" spans="1:2" x14ac:dyDescent="0.25">
      <c r="A241">
        <v>3</v>
      </c>
      <c r="B241">
        <f t="shared" si="37"/>
        <v>30</v>
      </c>
    </row>
    <row r="242" spans="1:2" x14ac:dyDescent="0.25">
      <c r="A242">
        <v>4</v>
      </c>
      <c r="B242">
        <f t="shared" si="37"/>
        <v>40</v>
      </c>
    </row>
    <row r="243" spans="1:2" x14ac:dyDescent="0.25">
      <c r="A243">
        <v>5</v>
      </c>
      <c r="B243">
        <f t="shared" si="37"/>
        <v>50</v>
      </c>
    </row>
  </sheetData>
  <conditionalFormatting sqref="B18:B27">
    <cfRule type="dataBar" priority="5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I53">
    <cfRule type="dataBar" priority="5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5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5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5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58:H60">
    <cfRule type="dataBar" priority="4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79:H81">
    <cfRule type="dataBar" priority="4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0:H102">
    <cfRule type="dataBar" priority="4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1:H123">
    <cfRule type="dataBar" priority="3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2:H144">
    <cfRule type="dataBar" priority="3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63:H165">
    <cfRule type="dataBar" priority="3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64 F75:F85 F96:F106 F117:F127 F138:F148 F159:F169">
    <cfRule type="dataBar" priority="31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64 E75:E85 E96:E106 E117:E127 E138:E148 E159:E169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B65:I74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{846BAC6F-414B-419E-9E74-D9CA97050526}</x14:id>
        </ext>
      </extLst>
    </cfRule>
  </conditionalFormatting>
  <conditionalFormatting sqref="B86:I95">
    <cfRule type="dataBar" priority="2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{B71426FA-2CDA-4481-B4BA-EC30F7437C9B}</x14:id>
        </ext>
      </extLst>
    </cfRule>
  </conditionalFormatting>
  <conditionalFormatting sqref="B107:I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{334A5D9D-2E57-4603-BFE3-AA06F105765A}</x14:id>
        </ext>
      </extLst>
    </cfRule>
  </conditionalFormatting>
  <conditionalFormatting sqref="B128:I137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{B177A479-E63F-4918-83E4-F143B6AA2476}</x14:id>
        </ext>
      </extLst>
    </cfRule>
  </conditionalFormatting>
  <conditionalFormatting sqref="B149:I158">
    <cfRule type="dataBar" priority="1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{AF43740E-92C6-4212-85CF-DD32D23FA068}</x14:id>
        </ext>
      </extLst>
    </cfRule>
  </conditionalFormatting>
  <conditionalFormatting sqref="B170:I179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{9BACBCC5-62BA-40B4-9418-2D1DE97473E0}</x14:id>
        </ext>
      </extLst>
    </cfRule>
  </conditionalFormatting>
  <conditionalFormatting sqref="B209:B21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{3D2AAB7A-3318-4AF9-AB9D-73D1789219C4}</x14:id>
        </ext>
      </extLst>
    </cfRule>
  </conditionalFormatting>
  <conditionalFormatting sqref="B224:B22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{FECFAE08-0789-4B48-AA25-A01092972C10}</x14:id>
        </ext>
      </extLst>
    </cfRule>
  </conditionalFormatting>
  <conditionalFormatting sqref="L194:L19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{1399B731-BA5C-4F19-B9A3-068E28A26240}</x14:id>
        </ext>
      </extLst>
    </cfRule>
  </conditionalFormatting>
  <conditionalFormatting sqref="L209:L2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{6278D212-40BD-4C72-BF31-AB77FDB0DA67}</x14:id>
        </ext>
      </extLst>
    </cfRule>
  </conditionalFormatting>
  <conditionalFormatting sqref="L224:L2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{B24F1F42-7D86-4EE0-A90D-9289E5BA3B88}</x14:id>
        </ext>
      </extLst>
    </cfRule>
  </conditionalFormatting>
  <conditionalFormatting sqref="B239:B24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{70D9FDBB-0A2F-412A-B21A-DF586EE9742F}</x14:id>
        </ext>
      </extLst>
    </cfRule>
  </conditionalFormatting>
  <conditionalFormatting sqref="I170:I17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{BD3F5069-F79B-4F0B-8729-21287B64693E}</x14:id>
        </ext>
      </extLst>
    </cfRule>
  </conditionalFormatting>
  <conditionalFormatting sqref="I149:I1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{77D3738A-D93A-48F4-97B3-178DA6F4D7B1}</x14:id>
        </ext>
      </extLst>
    </cfRule>
  </conditionalFormatting>
  <conditionalFormatting sqref="I128:I13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{BFCAA401-3E4D-451A-87E9-9C60A81BED79}</x14:id>
        </ext>
      </extLst>
    </cfRule>
  </conditionalFormatting>
  <conditionalFormatting sqref="I107:I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{20E72860-7B26-4CCF-8817-FBE0BFE85EF2}</x14:id>
        </ext>
      </extLst>
    </cfRule>
  </conditionalFormatting>
  <conditionalFormatting sqref="I86:I9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{7F62FCD2-F288-4897-A612-96ADFD001798}</x14:id>
        </ext>
      </extLst>
    </cfRule>
  </conditionalFormatting>
  <conditionalFormatting sqref="I65:I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{7C37677E-DDEC-4BA7-A21B-A1AE03ED4602}</x14:id>
        </ext>
      </extLst>
    </cfRule>
  </conditionalFormatting>
  <conditionalFormatting sqref="I44:I5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{86AF71D0-DFDA-4C0B-AA4E-82A4F1CB323F}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34" name="Scroll Bar 143">
              <controlPr defaultSize="0" autoPict="0">
                <anchor moveWithCells="1">
                  <from>
                    <xdr:col>1</xdr:col>
                    <xdr:colOff>0</xdr:colOff>
                    <xdr:row>232</xdr:row>
                    <xdr:rowOff>0</xdr:rowOff>
                  </from>
                  <to>
                    <xdr:col>2</xdr:col>
                    <xdr:colOff>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35" name="Scroll Bar 144">
              <controlPr defaultSize="0" autoPict="0">
                <anchor moveWithCells="1">
                  <from>
                    <xdr:col>1</xdr:col>
                    <xdr:colOff>0</xdr:colOff>
                    <xdr:row>234</xdr:row>
                    <xdr:rowOff>0</xdr:rowOff>
                  </from>
                  <to>
                    <xdr:col>2</xdr:col>
                    <xdr:colOff>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36" name="Scroll Bar 145">
              <controlPr defaultSize="0" autoPict="0">
                <anchor moveWithCells="1">
                  <from>
                    <xdr:col>8</xdr:col>
                    <xdr:colOff>0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37" name="Scroll Bar 166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38" name="Scroll Bar 167">
              <controlPr defaultSize="0" autoPict="0">
                <anchor moveWithCells="1">
                  <from>
                    <xdr:col>8</xdr:col>
                    <xdr:colOff>0</xdr:colOff>
                    <xdr:row>58</xdr:row>
                    <xdr:rowOff>0</xdr:rowOff>
                  </from>
                  <to>
                    <xdr:col>9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39" name="Scroll Bar 168">
              <controlPr defaultSize="0" autoPict="0">
                <anchor moveWithCells="1">
                  <from>
                    <xdr:col>8</xdr:col>
                    <xdr:colOff>0</xdr:colOff>
                    <xdr:row>60</xdr:row>
                    <xdr:rowOff>0</xdr:rowOff>
                  </from>
                  <to>
                    <xdr:col>9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40" name="Scroll Bar 169">
              <controlPr defaultSize="0" autoPict="0">
                <anchor moveWithCells="1">
                  <from>
                    <xdr:col>8</xdr:col>
                    <xdr:colOff>0</xdr:colOff>
                    <xdr:row>79</xdr:row>
                    <xdr:rowOff>0</xdr:rowOff>
                  </from>
                  <to>
                    <xdr:col>9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41" name="Scroll Bar 170">
              <controlPr defaultSize="0" autoPict="0">
                <anchor moveWithCells="1">
                  <from>
                    <xdr:col>8</xdr:col>
                    <xdr:colOff>0</xdr:colOff>
                    <xdr:row>81</xdr:row>
                    <xdr:rowOff>0</xdr:rowOff>
                  </from>
                  <to>
                    <xdr:col>9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42" name="Scroll Bar 171">
              <controlPr defaultSize="0" autoPict="0">
                <anchor moveWithCells="1">
                  <from>
                    <xdr:col>8</xdr:col>
                    <xdr:colOff>0</xdr:colOff>
                    <xdr:row>100</xdr:row>
                    <xdr:rowOff>0</xdr:rowOff>
                  </from>
                  <to>
                    <xdr:col>9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43" name="Scroll Bar 172">
              <controlPr defaultSize="0" autoPict="0">
                <anchor moveWithCells="1">
                  <from>
                    <xdr:col>8</xdr:col>
                    <xdr:colOff>0</xdr:colOff>
                    <xdr:row>102</xdr:row>
                    <xdr:rowOff>0</xdr:rowOff>
                  </from>
                  <to>
                    <xdr:col>9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44" name="Scroll Bar 173">
              <controlPr defaultSize="0" autoPict="0">
                <anchor moveWithCells="1">
                  <from>
                    <xdr:col>8</xdr:col>
                    <xdr:colOff>0</xdr:colOff>
                    <xdr:row>121</xdr:row>
                    <xdr:rowOff>0</xdr:rowOff>
                  </from>
                  <to>
                    <xdr:col>9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45" name="Scroll Bar 174">
              <controlPr defaultSize="0" autoPict="0">
                <anchor moveWithCells="1">
                  <from>
                    <xdr:col>8</xdr:col>
                    <xdr:colOff>0</xdr:colOff>
                    <xdr:row>123</xdr:row>
                    <xdr:rowOff>0</xdr:rowOff>
                  </from>
                  <to>
                    <xdr:col>9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46" name="Scroll Bar 175">
              <controlPr defaultSize="0" autoPict="0">
                <anchor moveWithCells="1">
                  <from>
                    <xdr:col>8</xdr:col>
                    <xdr:colOff>0</xdr:colOff>
                    <xdr:row>142</xdr:row>
                    <xdr:rowOff>0</xdr:rowOff>
                  </from>
                  <to>
                    <xdr:col>9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47" name="Scroll Bar 176">
              <controlPr defaultSize="0" autoPict="0">
                <anchor moveWithCells="1">
                  <from>
                    <xdr:col>8</xdr:col>
                    <xdr:colOff>0</xdr:colOff>
                    <xdr:row>144</xdr:row>
                    <xdr:rowOff>0</xdr:rowOff>
                  </from>
                  <to>
                    <xdr:col>9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48" name="Scroll Bar 177">
              <controlPr defaultSize="0" autoPict="0">
                <anchor moveWithCells="1">
                  <from>
                    <xdr:col>8</xdr:col>
                    <xdr:colOff>0</xdr:colOff>
                    <xdr:row>163</xdr:row>
                    <xdr:rowOff>0</xdr:rowOff>
                  </from>
                  <to>
                    <xdr:col>9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49" name="Scroll Bar 178">
              <controlPr defaultSize="0" autoPict="0">
                <anchor moveWithCells="1">
                  <from>
                    <xdr:col>8</xdr:col>
                    <xdr:colOff>0</xdr:colOff>
                    <xdr:row>165</xdr:row>
                    <xdr:rowOff>0</xdr:rowOff>
                  </from>
                  <to>
                    <xdr:col>9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50"/>
    <tablePart r:id="rId151"/>
    <tablePart r:id="rId152"/>
    <tablePart r:id="rId153"/>
    <tablePart r:id="rId154"/>
    <tablePart r:id="rId155"/>
    <tablePart r:id="rId15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B44:I53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F37:F64 F75:F85 F96:F106 F117:F127 F138:F148 F159:F169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E37:E64 E75:E85 E96:E106 E117:E127 E138:E148 E159:E169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46BAC6F-414B-419E-9E74-D9CA9705052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B65:I74</xm:sqref>
        </x14:conditionalFormatting>
        <x14:conditionalFormatting xmlns:xm="http://schemas.microsoft.com/office/excel/2006/main">
          <x14:cfRule type="dataBar" id="{B71426FA-2CDA-4481-B4BA-EC30F7437C9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B86:I95</xm:sqref>
        </x14:conditionalFormatting>
        <x14:conditionalFormatting xmlns:xm="http://schemas.microsoft.com/office/excel/2006/main">
          <x14:cfRule type="dataBar" id="{334A5D9D-2E57-4603-BFE3-AA06F105765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B107:I116</xm:sqref>
        </x14:conditionalFormatting>
        <x14:conditionalFormatting xmlns:xm="http://schemas.microsoft.com/office/excel/2006/main">
          <x14:cfRule type="dataBar" id="{B177A479-E63F-4918-83E4-F143B6AA247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B128:I137</xm:sqref>
        </x14:conditionalFormatting>
        <x14:conditionalFormatting xmlns:xm="http://schemas.microsoft.com/office/excel/2006/main">
          <x14:cfRule type="dataBar" id="{AF43740E-92C6-4212-85CF-DD32D23FA06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B149:I158</xm:sqref>
        </x14:conditionalFormatting>
        <x14:conditionalFormatting xmlns:xm="http://schemas.microsoft.com/office/excel/2006/main">
          <x14:cfRule type="dataBar" id="{9BACBCC5-62BA-40B4-9418-2D1DE97473E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B170:I179</xm:sqref>
        </x14:conditionalFormatting>
        <x14:conditionalFormatting xmlns:xm="http://schemas.microsoft.com/office/excel/2006/main">
          <x14:cfRule type="dataBar" id="{3D2AAB7A-3318-4AF9-AB9D-73D1789219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FECFAE08-0789-4B48-AA25-A01092972C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1399B731-BA5C-4F19-B9A3-068E28A262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6278D212-40BD-4C72-BF31-AB77FDB0DA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B24F1F42-7D86-4EE0-A90D-9289E5BA3B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  <x14:conditionalFormatting xmlns:xm="http://schemas.microsoft.com/office/excel/2006/main">
          <x14:cfRule type="dataBar" id="{70D9FDBB-0A2F-412A-B21A-DF586EE97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B239:B243</xm:sqref>
        </x14:conditionalFormatting>
        <x14:conditionalFormatting xmlns:xm="http://schemas.microsoft.com/office/excel/2006/main">
          <x14:cfRule type="dataBar" id="{BD3F5069-F79B-4F0B-8729-21287B646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I170:I179</xm:sqref>
        </x14:conditionalFormatting>
        <x14:conditionalFormatting xmlns:xm="http://schemas.microsoft.com/office/excel/2006/main">
          <x14:cfRule type="dataBar" id="{77D3738A-D93A-48F4-97B3-178DA6F4D7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I149:I158</xm:sqref>
        </x14:conditionalFormatting>
        <x14:conditionalFormatting xmlns:xm="http://schemas.microsoft.com/office/excel/2006/main">
          <x14:cfRule type="dataBar" id="{BFCAA401-3E4D-451A-87E9-9C60A81BED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I128:I137</xm:sqref>
        </x14:conditionalFormatting>
        <x14:conditionalFormatting xmlns:xm="http://schemas.microsoft.com/office/excel/2006/main">
          <x14:cfRule type="dataBar" id="{20E72860-7B26-4CCF-8817-FBE0BFE85E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I107:I116</xm:sqref>
        </x14:conditionalFormatting>
        <x14:conditionalFormatting xmlns:xm="http://schemas.microsoft.com/office/excel/2006/main">
          <x14:cfRule type="dataBar" id="{7F62FCD2-F288-4897-A612-96ADFD0017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I86:I95</xm:sqref>
        </x14:conditionalFormatting>
        <x14:conditionalFormatting xmlns:xm="http://schemas.microsoft.com/office/excel/2006/main">
          <x14:cfRule type="dataBar" id="{7C37677E-DDEC-4BA7-A21B-A1AE03ED46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I65:I74</xm:sqref>
        </x14:conditionalFormatting>
        <x14:conditionalFormatting xmlns:xm="http://schemas.microsoft.com/office/excel/2006/main">
          <x14:cfRule type="dataBar" id="{86AF71D0-DFDA-4C0B-AA4E-82A4F1CB32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I44:I53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workbookViewId="0">
      <selection activeCell="C32" sqref="C32"/>
    </sheetView>
  </sheetViews>
  <sheetFormatPr defaultColWidth="10.7109375" defaultRowHeight="15" x14ac:dyDescent="0.25"/>
  <sheetData>
    <row r="1" spans="1:8" x14ac:dyDescent="0.25">
      <c r="B1" t="s">
        <v>146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122</v>
      </c>
    </row>
    <row r="3" spans="1:8" x14ac:dyDescent="0.25">
      <c r="A3" t="s">
        <v>123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30</v>
      </c>
      <c r="F4">
        <f>'ITEM STATS'!$B128*'ITEM STATS'!$E128</f>
        <v>30</v>
      </c>
      <c r="G4">
        <f>'ITEM STATS'!$B149*'ITEM STATS'!$E149</f>
        <v>20</v>
      </c>
      <c r="H4">
        <f>'ITEM STATS'!$B170*'ITEM STATS'!$E170</f>
        <v>45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40</v>
      </c>
      <c r="F5">
        <f>'ITEM STATS'!$B129*'ITEM STATS'!$E129</f>
        <v>33</v>
      </c>
      <c r="G5">
        <f>'ITEM STATS'!$B150*'ITEM STATS'!$E150</f>
        <v>26</v>
      </c>
      <c r="H5">
        <f>'ITEM STATS'!$B171*'ITEM STATS'!$E171</f>
        <v>54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48</v>
      </c>
      <c r="F6">
        <f>'ITEM STATS'!$B130*'ITEM STATS'!$E130</f>
        <v>35</v>
      </c>
      <c r="G6">
        <f>'ITEM STATS'!$B151*'ITEM STATS'!$E151</f>
        <v>31</v>
      </c>
      <c r="H6">
        <f>'ITEM STATS'!$B172*'ITEM STATS'!$E172</f>
        <v>61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84</v>
      </c>
      <c r="F7">
        <f>'ITEM STATS'!$B131*'ITEM STATS'!$E131</f>
        <v>76</v>
      </c>
      <c r="G7">
        <f>'ITEM STATS'!$B152*'ITEM STATS'!$E152</f>
        <v>35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41</v>
      </c>
      <c r="D8">
        <f>'ITEM STATS'!$B90*'ITEM STATS'!$E90</f>
        <v>82</v>
      </c>
      <c r="E8">
        <f>'ITEM STATS'!$B111*'ITEM STATS'!$E111</f>
        <v>93</v>
      </c>
      <c r="F8">
        <f>'ITEM STATS'!$B132*'ITEM STATS'!$E132</f>
        <v>80</v>
      </c>
      <c r="G8">
        <f>'ITEM STATS'!$B153*'ITEM STATS'!$E153</f>
        <v>39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102</v>
      </c>
      <c r="F9">
        <f>'ITEM STATS'!$B133*'ITEM STATS'!$E133</f>
        <v>82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108</v>
      </c>
      <c r="F10">
        <f>'ITEM STATS'!$B134*'ITEM STATS'!$E134</f>
        <v>86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152</v>
      </c>
      <c r="F11">
        <f>'ITEM STATS'!$B135*'ITEM STATS'!$E135</f>
        <v>132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156</v>
      </c>
      <c r="F12">
        <f>'ITEM STATS'!$B136*'ITEM STATS'!$E136</f>
        <v>135</v>
      </c>
      <c r="G12">
        <f>'ITEM STATS'!$B157*'ITEM STATS'!$E157</f>
        <v>98</v>
      </c>
      <c r="H12">
        <f>'ITEM STATS'!$B178*'ITEM STATS'!$E178</f>
        <v>267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160</v>
      </c>
      <c r="F13">
        <f>'ITEM STATS'!$B137*'ITEM STATS'!$E137</f>
        <v>135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127</v>
      </c>
    </row>
    <row r="16" spans="1:8" x14ac:dyDescent="0.25">
      <c r="A16" t="s">
        <v>123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32</v>
      </c>
      <c r="F17">
        <f>'ITEM STATS'!$F128*'ITEM STATS'!$E128</f>
        <v>21</v>
      </c>
      <c r="G17">
        <f>'ITEM STATS'!$F149*'ITEM STATS'!$E149</f>
        <v>10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26</v>
      </c>
      <c r="C18">
        <f>'ITEM STATS'!$F66*'ITEM STATS'!$E66</f>
        <v>20</v>
      </c>
      <c r="D18">
        <f>'ITEM STATS'!$F87*'ITEM STATS'!$E87</f>
        <v>56</v>
      </c>
      <c r="E18">
        <f>'ITEM STATS'!$F108*'ITEM STATS'!$E108</f>
        <v>34</v>
      </c>
      <c r="F18">
        <f>'ITEM STATS'!$F129*'ITEM STATS'!$E129</f>
        <v>22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34</v>
      </c>
      <c r="F19">
        <f>'ITEM STATS'!$F130*'ITEM STATS'!$E130</f>
        <v>22</v>
      </c>
      <c r="G19">
        <f>'ITEM STATS'!$F151*'ITEM STATS'!$E151</f>
        <v>11</v>
      </c>
      <c r="H19">
        <f>'ITEM STATS'!$F172*'ITEM STATS'!$E172</f>
        <v>30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54</v>
      </c>
      <c r="F20">
        <f>'ITEM STATS'!$F131*'ITEM STATS'!$E131</f>
        <v>46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26</v>
      </c>
      <c r="D21">
        <f>'ITEM STATS'!$F90*'ITEM STATS'!$E90</f>
        <v>64</v>
      </c>
      <c r="E21">
        <f>'ITEM STATS'!$F111*'ITEM STATS'!$E111</f>
        <v>54</v>
      </c>
      <c r="F21">
        <f>'ITEM STATS'!$F132*'ITEM STATS'!$E132</f>
        <v>46</v>
      </c>
      <c r="G21">
        <f>'ITEM STATS'!$F153*'ITEM STATS'!$E153</f>
        <v>13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54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57</v>
      </c>
      <c r="F23">
        <f>'ITEM STATS'!$F134*'ITEM STATS'!$E134</f>
        <v>48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76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76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76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113</v>
      </c>
    </row>
    <row r="29" spans="1:8" x14ac:dyDescent="0.25">
      <c r="A29" t="s">
        <v>123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0.94</v>
      </c>
      <c r="F30">
        <f>ROUND('ITEM STATS'!B128/'ITEM STATS'!F128, 2)</f>
        <v>1.43</v>
      </c>
      <c r="G30">
        <f>ROUND('ITEM STATS'!B149/'ITEM STATS'!F149, 2)</f>
        <v>2</v>
      </c>
      <c r="H30">
        <f>ROUND('ITEM STATS'!B170/'ITEM STATS'!F170, 2)</f>
        <v>1.5</v>
      </c>
    </row>
    <row r="31" spans="1:8" x14ac:dyDescent="0.25">
      <c r="A31">
        <v>2</v>
      </c>
      <c r="B31">
        <f>ROUND('ITEM STATS'!B45/'ITEM STATS'!F45, 2)</f>
        <v>1.1499999999999999</v>
      </c>
      <c r="C31">
        <f>ROUND('ITEM STATS'!B66/'ITEM STATS'!F66, 2)</f>
        <v>1.5</v>
      </c>
      <c r="D31">
        <f>ROUND('ITEM STATS'!B87/'ITEM STATS'!F87, 2)</f>
        <v>1.07</v>
      </c>
      <c r="E31">
        <f>ROUND('ITEM STATS'!B108/'ITEM STATS'!F108, 2)</f>
        <v>1.18</v>
      </c>
      <c r="F31">
        <f>ROUND('ITEM STATS'!B129/'ITEM STATS'!F129, 2)</f>
        <v>1.5</v>
      </c>
      <c r="G31">
        <f>ROUND('ITEM STATS'!B150/'ITEM STATS'!F150, 2)</f>
        <v>2.36</v>
      </c>
      <c r="H31">
        <f>ROUND('ITEM STATS'!B171/'ITEM STATS'!F171, 2)</f>
        <v>1.8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1.41</v>
      </c>
      <c r="F32">
        <f>ROUND('ITEM STATS'!B130/'ITEM STATS'!F130, 2)</f>
        <v>1.59</v>
      </c>
      <c r="G32">
        <f>ROUND('ITEM STATS'!B151/'ITEM STATS'!F151, 2)</f>
        <v>2.82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1.56</v>
      </c>
      <c r="F33">
        <f>ROUND('ITEM STATS'!B131/'ITEM STATS'!F131, 2)</f>
        <v>1.65</v>
      </c>
      <c r="G33">
        <f>ROUND('ITEM STATS'!B152/'ITEM STATS'!F152, 2)</f>
        <v>2.92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1.72</v>
      </c>
      <c r="F34">
        <f>ROUND('ITEM STATS'!B132/'ITEM STATS'!F132, 2)</f>
        <v>1.74</v>
      </c>
      <c r="G34">
        <f>ROUND('ITEM STATS'!B153/'ITEM STATS'!F153, 2)</f>
        <v>3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1.89</v>
      </c>
      <c r="F35">
        <f>ROUND('ITEM STATS'!B133/'ITEM STATS'!F133, 2)</f>
        <v>1.78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1.89</v>
      </c>
      <c r="F36">
        <f>ROUND('ITEM STATS'!B134/'ITEM STATS'!F134, 2)</f>
        <v>1.79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2</v>
      </c>
      <c r="F37">
        <f>ROUND('ITEM STATS'!B135/'ITEM STATS'!F135, 2)</f>
        <v>1.83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2.0499999999999998</v>
      </c>
      <c r="F38">
        <f>ROUND('ITEM STATS'!B136/'ITEM STATS'!F136, 2)</f>
        <v>1.88</v>
      </c>
      <c r="G38">
        <f>ROUND('ITEM STATS'!B157/'ITEM STATS'!F157, 2)</f>
        <v>3.5</v>
      </c>
      <c r="H38">
        <f>ROUND('ITEM STATS'!B178/'ITEM STATS'!F178, 2)</f>
        <v>2.97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2.11</v>
      </c>
      <c r="F39">
        <f>ROUND('ITEM STATS'!B137/'ITEM STATS'!F137, 2)</f>
        <v>1.88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128</v>
      </c>
    </row>
    <row r="42" spans="1:8" x14ac:dyDescent="0.25">
      <c r="A42" t="s">
        <v>123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1.88</v>
      </c>
      <c r="F43">
        <f>F30*'ITEM STATS'!$E128</f>
        <v>1.43</v>
      </c>
      <c r="G43">
        <f>G30*'ITEM STATS'!$E149</f>
        <v>2</v>
      </c>
      <c r="H43">
        <f>H30*'ITEM STATS'!$E170</f>
        <v>1.5</v>
      </c>
    </row>
    <row r="44" spans="1:8" x14ac:dyDescent="0.25">
      <c r="A44">
        <v>2</v>
      </c>
      <c r="B44">
        <f>B31*'ITEM STATS'!$E45</f>
        <v>1.1499999999999999</v>
      </c>
      <c r="C44">
        <f>C31*'ITEM STATS'!$E66</f>
        <v>1.5</v>
      </c>
      <c r="D44">
        <f>D31*'ITEM STATS'!$E87</f>
        <v>1.07</v>
      </c>
      <c r="E44">
        <f>E31*'ITEM STATS'!$E108</f>
        <v>2.36</v>
      </c>
      <c r="F44">
        <f>F31*'ITEM STATS'!$E129</f>
        <v>1.5</v>
      </c>
      <c r="G44">
        <f>G31*'ITEM STATS'!$E150</f>
        <v>2.36</v>
      </c>
      <c r="H44">
        <f>H31*'ITEM STATS'!$E171</f>
        <v>1.8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2.82</v>
      </c>
      <c r="F45">
        <f>F32*'ITEM STATS'!$E130</f>
        <v>1.59</v>
      </c>
      <c r="G45">
        <f>G32*'ITEM STATS'!$E151</f>
        <v>2.82</v>
      </c>
      <c r="H45">
        <f>H32*'ITEM STATS'!$E172</f>
        <v>2.0299999999999998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4.68</v>
      </c>
      <c r="F46">
        <f>F33*'ITEM STATS'!$E131</f>
        <v>3.3</v>
      </c>
      <c r="G46">
        <f>G33*'ITEM STATS'!$E152</f>
        <v>2.92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1.58</v>
      </c>
      <c r="D47">
        <f>D34*'ITEM STATS'!$E90</f>
        <v>1.28</v>
      </c>
      <c r="E47">
        <f>E34*'ITEM STATS'!$E111</f>
        <v>5.16</v>
      </c>
      <c r="F47">
        <f>F34*'ITEM STATS'!$E132</f>
        <v>3.48</v>
      </c>
      <c r="G47">
        <f>G34*'ITEM STATS'!$E153</f>
        <v>3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5.67</v>
      </c>
      <c r="F48">
        <f>F35*'ITEM STATS'!$E133</f>
        <v>3.56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5.67</v>
      </c>
      <c r="F49">
        <f>F36*'ITEM STATS'!$E134</f>
        <v>3.58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8</v>
      </c>
      <c r="F50">
        <f>F37*'ITEM STATS'!$E135</f>
        <v>5.49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8.1999999999999993</v>
      </c>
      <c r="F51">
        <f>F38*'ITEM STATS'!$E136</f>
        <v>5.64</v>
      </c>
      <c r="G51">
        <f>G38*'ITEM STATS'!$E157</f>
        <v>7</v>
      </c>
      <c r="H51">
        <f>H38*'ITEM STATS'!$E178</f>
        <v>8.91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8.44</v>
      </c>
      <c r="F52">
        <f>F39*'ITEM STATS'!$E137</f>
        <v>5.64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114</v>
      </c>
    </row>
    <row r="55" spans="1:9" x14ac:dyDescent="0.25">
      <c r="A55" t="s">
        <v>123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131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105</v>
      </c>
      <c r="F56">
        <f>ROUND(ROUNDUP(100/'ITEM STATS'!$F128, 0)*'ITEM STATS'!$B128, 2)</f>
        <v>150</v>
      </c>
      <c r="G56">
        <f>ROUND(ROUNDUP(100/'ITEM STATS'!$F149, 0)*'ITEM STATS'!$B149, 2)</f>
        <v>200</v>
      </c>
      <c r="H56">
        <f>ROUND(ROUNDUP(100/'ITEM STATS'!$F170, 0)*'ITEM STATS'!$B170, 2)</f>
        <v>180</v>
      </c>
      <c r="I56">
        <f>ROUND(AVERAGE(C56:H56), 0)</f>
        <v>148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120</v>
      </c>
      <c r="F57">
        <f>ROUND(ROUNDUP(100/'ITEM STATS'!$F129, 0)*'ITEM STATS'!$B129, 2)</f>
        <v>165</v>
      </c>
      <c r="G57">
        <f>ROUND(ROUNDUP(100/'ITEM STATS'!$F150, 0)*'ITEM STATS'!$B150, 2)</f>
        <v>260</v>
      </c>
      <c r="H57">
        <f>ROUND(ROUNDUP(100/'ITEM STATS'!$F171, 0)*'ITEM STATS'!$B171, 2)</f>
        <v>216</v>
      </c>
      <c r="I57">
        <f t="shared" ref="I57:I65" si="0">ROUND(AVERAGE(C57:H57), 0)</f>
        <v>172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144</v>
      </c>
      <c r="F58">
        <f>ROUND(ROUNDUP(100/'ITEM STATS'!$F130, 0)*'ITEM STATS'!$B130, 2)</f>
        <v>175</v>
      </c>
      <c r="G58">
        <f>ROUND(ROUNDUP(100/'ITEM STATS'!$F151, 0)*'ITEM STATS'!$B151, 2)</f>
        <v>310</v>
      </c>
      <c r="H58">
        <f>ROUND(ROUNDUP(100/'ITEM STATS'!$F172, 0)*'ITEM STATS'!$B172, 2)</f>
        <v>244</v>
      </c>
      <c r="I58">
        <f t="shared" si="0"/>
        <v>197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168</v>
      </c>
      <c r="F59">
        <f>ROUND(ROUNDUP(100/'ITEM STATS'!$F131, 0)*'ITEM STATS'!$B131, 2)</f>
        <v>190</v>
      </c>
      <c r="G59">
        <f>ROUND(ROUNDUP(100/'ITEM STATS'!$F152, 0)*'ITEM STATS'!$B152, 2)</f>
        <v>315</v>
      </c>
      <c r="H59">
        <f>ROUND(ROUNDUP(100/'ITEM STATS'!$F173, 0)*'ITEM STATS'!$B173, 2)</f>
        <v>272</v>
      </c>
      <c r="I59">
        <f t="shared" si="0"/>
        <v>215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186</v>
      </c>
      <c r="F60">
        <f>ROUND(ROUNDUP(100/'ITEM STATS'!$F132, 0)*'ITEM STATS'!$B132, 2)</f>
        <v>200</v>
      </c>
      <c r="G60">
        <f>ROUND(ROUNDUP(100/'ITEM STATS'!$F153, 0)*'ITEM STATS'!$B153, 2)</f>
        <v>312</v>
      </c>
      <c r="H60">
        <f>ROUND(ROUNDUP(100/'ITEM STATS'!$F174, 0)*'ITEM STATS'!$B174, 2)</f>
        <v>296</v>
      </c>
      <c r="I60">
        <f t="shared" si="0"/>
        <v>220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204</v>
      </c>
      <c r="F61">
        <f>ROUND(ROUNDUP(100/'ITEM STATS'!$F133, 0)*'ITEM STATS'!$B133, 2)</f>
        <v>205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237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216</v>
      </c>
      <c r="F62">
        <f>ROUND(ROUNDUP(100/'ITEM STATS'!$F134, 0)*'ITEM STATS'!$B134, 2)</f>
        <v>215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249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228</v>
      </c>
      <c r="F63">
        <f>ROUND(ROUNDUP(100/'ITEM STATS'!$F135, 0)*'ITEM STATS'!$B135, 2)</f>
        <v>220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259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234</v>
      </c>
      <c r="F64">
        <f>ROUND(ROUNDUP(100/'ITEM STATS'!$F136, 0)*'ITEM STATS'!$B136, 2)</f>
        <v>225</v>
      </c>
      <c r="G64">
        <f>ROUND(ROUNDUP(100/'ITEM STATS'!$F157, 0)*'ITEM STATS'!$B157, 2)</f>
        <v>392</v>
      </c>
      <c r="H64">
        <f>ROUND(ROUNDUP(100/'ITEM STATS'!$F178, 0)*'ITEM STATS'!$B178, 2)</f>
        <v>356</v>
      </c>
      <c r="I64">
        <f t="shared" si="0"/>
        <v>267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240</v>
      </c>
      <c r="F65">
        <f>ROUND(ROUNDUP(100/'ITEM STATS'!$F137, 0)*'ITEM STATS'!$B137, 2)</f>
        <v>225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271</v>
      </c>
    </row>
    <row r="67" spans="1:9" x14ac:dyDescent="0.25">
      <c r="A67" t="s">
        <v>129</v>
      </c>
      <c r="D67" t="s">
        <v>88</v>
      </c>
      <c r="E67">
        <v>1</v>
      </c>
    </row>
    <row r="68" spans="1:9" x14ac:dyDescent="0.25">
      <c r="A68" t="s">
        <v>123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131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30</v>
      </c>
      <c r="E69">
        <f>ROUND(E4*(('ITEM STATS'!$C107-((($E$67*3)-3)/('ITEM STATS'!$D107/100)))/100), 0)</f>
        <v>14</v>
      </c>
      <c r="F69">
        <f>ROUND(F4*(('ITEM STATS'!$C128-((($E$67*3)-3)/('ITEM STATS'!$D128/100)))/100), 0)</f>
        <v>21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25</v>
      </c>
      <c r="I69">
        <f>ROUND(AVERAGE(C69:H69), 0)</f>
        <v>20</v>
      </c>
    </row>
    <row r="70" spans="1:9" x14ac:dyDescent="0.25">
      <c r="A70">
        <v>2</v>
      </c>
      <c r="B70">
        <f>ROUND(B5*(('ITEM STATS'!$C45-((($E$67*3)-3)/('ITEM STATS'!$D45/100)))/100), 0)</f>
        <v>22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38</v>
      </c>
      <c r="E70">
        <f>ROUND(E5*(('ITEM STATS'!$C108-((($E$67*3)-3)/('ITEM STATS'!$D108/100)))/100), 0)</f>
        <v>19</v>
      </c>
      <c r="F70">
        <f>ROUND(F5*(('ITEM STATS'!$C129-((($E$67*3)-3)/('ITEM STATS'!$D129/100)))/100), 0)</f>
        <v>24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32</v>
      </c>
      <c r="I70">
        <f t="shared" ref="I70:I78" si="1">ROUND(AVERAGE(C70:H70), 0)</f>
        <v>26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24</v>
      </c>
      <c r="F71">
        <f>ROUND(F6*(('ITEM STATS'!$C130-((($E$67*3)-3)/('ITEM STATS'!$D130/100)))/100), 0)</f>
        <v>26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39</v>
      </c>
      <c r="I71">
        <f t="shared" si="1"/>
        <v>30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52</v>
      </c>
      <c r="E72">
        <f>ROUND(E7*(('ITEM STATS'!$C110-((($E$67*3)-3)/('ITEM STATS'!$D110/100)))/100), 0)</f>
        <v>45</v>
      </c>
      <c r="F72">
        <f>ROUND(F7*(('ITEM STATS'!$C131-((($E$67*3)-3)/('ITEM STATS'!$D131/100)))/100), 0)</f>
        <v>58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51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32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53</v>
      </c>
      <c r="F73">
        <f>ROUND(F8*(('ITEM STATS'!$C132-((($E$67*3)-3)/('ITEM STATS'!$D132/100)))/100), 0)</f>
        <v>62</v>
      </c>
      <c r="G73">
        <f>IF($E$67 &gt; 1, 0, ROUND(G8*(('ITEM STATS'!$C153-((($E$67*3)-3)/('ITEM STATS'!$D153/100)))/100), 0))</f>
        <v>32</v>
      </c>
      <c r="H73">
        <f>ROUND(H8*(('ITEM STATS'!$C174-((($E$67*3)-3)/('ITEM STATS'!$D174/100)))/100), 0)</f>
        <v>107</v>
      </c>
      <c r="I73">
        <f t="shared" si="1"/>
        <v>57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63</v>
      </c>
      <c r="E74">
        <f>ROUND(E9*(('ITEM STATS'!$C112-((($E$67*3)-3)/('ITEM STATS'!$D112/100)))/100), 0)</f>
        <v>61</v>
      </c>
      <c r="F74">
        <f>ROUND(F9*(('ITEM STATS'!$C133-((($E$67*3)-3)/('ITEM STATS'!$D133/100)))/100), 0)</f>
        <v>65</v>
      </c>
      <c r="G74">
        <f>IF($E$67 &gt; 1, 0, ROUND(G9*(('ITEM STATS'!$C154-((($E$67*3)-3)/('ITEM STATS'!$D154/100)))/100), 0))</f>
        <v>72</v>
      </c>
      <c r="H74">
        <f>ROUND(H9*(('ITEM STATS'!$C175-((($E$67*3)-3)/('ITEM STATS'!$D175/100)))/100), 0)</f>
        <v>120</v>
      </c>
      <c r="I74">
        <f t="shared" si="1"/>
        <v>75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76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68</v>
      </c>
      <c r="F75">
        <f>ROUND(F10*(('ITEM STATS'!$C134-((($E$67*3)-3)/('ITEM STATS'!$D134/100)))/100), 0)</f>
        <v>70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82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99</v>
      </c>
      <c r="F76">
        <f>ROUND(F11*(('ITEM STATS'!$C135-((($E$67*3)-3)/('ITEM STATS'!$D135/100)))/100), 0)</f>
        <v>108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110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106</v>
      </c>
      <c r="F77">
        <f>ROUND(F12*(('ITEM STATS'!$C136-((($E$67*3)-3)/('ITEM STATS'!$D136/100)))/100), 0)</f>
        <v>113</v>
      </c>
      <c r="G77">
        <f>IF($E$67 &gt; 1, 0, ROUND(G12*(('ITEM STATS'!$C157-((($E$67*3)-3)/('ITEM STATS'!$D157/100)))/100), 0))</f>
        <v>87</v>
      </c>
      <c r="H77">
        <f>ROUND(H12*(('ITEM STATS'!$C178-((($E$67*3)-3)/('ITEM STATS'!$D178/100)))/100), 0)</f>
        <v>232</v>
      </c>
      <c r="I77">
        <f t="shared" si="1"/>
        <v>117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112</v>
      </c>
      <c r="F78">
        <f>ROUND(F13*(('ITEM STATS'!$C137-((($E$67*3)-3)/('ITEM STATS'!$D137/100)))/100), 0)</f>
        <v>115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122</v>
      </c>
    </row>
    <row r="80" spans="1:9" x14ac:dyDescent="0.25">
      <c r="A80" t="s">
        <v>130</v>
      </c>
      <c r="D80" t="s">
        <v>88</v>
      </c>
      <c r="E80">
        <f>$E$67</f>
        <v>1</v>
      </c>
    </row>
    <row r="81" spans="1:9" x14ac:dyDescent="0.25">
      <c r="A81" t="s">
        <v>123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131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0.56999999999999995</v>
      </c>
      <c r="E82">
        <f t="shared" si="2"/>
        <v>0.44</v>
      </c>
      <c r="F82">
        <f t="shared" si="2"/>
        <v>1</v>
      </c>
      <c r="G82">
        <f t="shared" si="2"/>
        <v>1.5</v>
      </c>
      <c r="H82">
        <f t="shared" si="2"/>
        <v>0.83</v>
      </c>
      <c r="I82">
        <f>ROUND(AVERAGE(C82:H82), 2)</f>
        <v>0.87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0.68</v>
      </c>
      <c r="E83">
        <f t="shared" si="2"/>
        <v>0.56000000000000005</v>
      </c>
      <c r="F83">
        <f t="shared" si="2"/>
        <v>1.0900000000000001</v>
      </c>
      <c r="G83">
        <f t="shared" si="2"/>
        <v>1.82</v>
      </c>
      <c r="H83">
        <f t="shared" si="2"/>
        <v>1.07</v>
      </c>
      <c r="I83">
        <f t="shared" ref="I83:I91" si="3">ROUND(AVERAGE(C83:H83), 2)</f>
        <v>1.04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0.71</v>
      </c>
      <c r="F84">
        <f t="shared" si="4"/>
        <v>1.18</v>
      </c>
      <c r="G84">
        <f t="shared" si="4"/>
        <v>2.1800000000000002</v>
      </c>
      <c r="H84">
        <f t="shared" si="4"/>
        <v>1.3</v>
      </c>
      <c r="I84">
        <f t="shared" si="3"/>
        <v>1.2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0.84</v>
      </c>
      <c r="E85">
        <f t="shared" si="5"/>
        <v>0.83</v>
      </c>
      <c r="F85">
        <f t="shared" si="5"/>
        <v>1.26</v>
      </c>
      <c r="G85">
        <f t="shared" si="5"/>
        <v>2.33</v>
      </c>
      <c r="H85">
        <f t="shared" si="5"/>
        <v>1.53</v>
      </c>
      <c r="I85">
        <f t="shared" si="3"/>
        <v>1.33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1.23</v>
      </c>
      <c r="D86">
        <f t="shared" si="6"/>
        <v>0.89</v>
      </c>
      <c r="E86">
        <f t="shared" si="6"/>
        <v>0.98</v>
      </c>
      <c r="F86">
        <f t="shared" si="6"/>
        <v>1.35</v>
      </c>
      <c r="G86">
        <f t="shared" si="6"/>
        <v>2.46</v>
      </c>
      <c r="H86">
        <f t="shared" si="6"/>
        <v>1.78</v>
      </c>
      <c r="I86">
        <f t="shared" si="3"/>
        <v>1.45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0.95</v>
      </c>
      <c r="E87">
        <f t="shared" si="7"/>
        <v>1.1299999999999999</v>
      </c>
      <c r="F87">
        <f t="shared" si="7"/>
        <v>1.41</v>
      </c>
      <c r="G87">
        <f t="shared" si="7"/>
        <v>2.77</v>
      </c>
      <c r="H87">
        <f t="shared" si="7"/>
        <v>2</v>
      </c>
      <c r="I87">
        <f t="shared" si="3"/>
        <v>1.59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1.36</v>
      </c>
      <c r="D88">
        <f t="shared" si="8"/>
        <v>1.01</v>
      </c>
      <c r="E88">
        <f t="shared" si="8"/>
        <v>1.19</v>
      </c>
      <c r="F88">
        <f t="shared" si="8"/>
        <v>1.46</v>
      </c>
      <c r="G88">
        <f t="shared" si="8"/>
        <v>2.96</v>
      </c>
      <c r="H88">
        <f t="shared" si="8"/>
        <v>2.2200000000000002</v>
      </c>
      <c r="I88">
        <f t="shared" si="3"/>
        <v>1.7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1.3</v>
      </c>
      <c r="F89">
        <f t="shared" si="9"/>
        <v>1.5</v>
      </c>
      <c r="G89">
        <f t="shared" si="9"/>
        <v>2.93</v>
      </c>
      <c r="H89">
        <f t="shared" si="9"/>
        <v>2.38</v>
      </c>
      <c r="I89">
        <f t="shared" si="3"/>
        <v>1.76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1.39</v>
      </c>
      <c r="F90">
        <f t="shared" si="10"/>
        <v>1.57</v>
      </c>
      <c r="G90">
        <f t="shared" si="10"/>
        <v>3.11</v>
      </c>
      <c r="H90">
        <f t="shared" si="10"/>
        <v>2.58</v>
      </c>
      <c r="I90">
        <f t="shared" si="3"/>
        <v>1.86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1.47</v>
      </c>
      <c r="F91">
        <f t="shared" si="11"/>
        <v>1.6</v>
      </c>
      <c r="G91">
        <f t="shared" si="11"/>
        <v>3.21</v>
      </c>
      <c r="H91">
        <f t="shared" si="11"/>
        <v>2.7</v>
      </c>
      <c r="I91">
        <f t="shared" si="3"/>
        <v>1.94</v>
      </c>
    </row>
    <row r="93" spans="1:9" x14ac:dyDescent="0.25">
      <c r="A93" t="s">
        <v>140</v>
      </c>
      <c r="D93" t="s">
        <v>88</v>
      </c>
      <c r="E93">
        <f>$E$67</f>
        <v>1</v>
      </c>
    </row>
    <row r="94" spans="1:9" x14ac:dyDescent="0.25">
      <c r="A94" t="s">
        <v>123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30</v>
      </c>
      <c r="E95">
        <f>ROUND(E69/'ITEM STATS'!$E107, 1)</f>
        <v>7</v>
      </c>
      <c r="F95">
        <f>ROUND(F69/'ITEM STATS'!$E128, 1)</f>
        <v>21</v>
      </c>
      <c r="G95">
        <f>ROUND(G69/'ITEM STATS'!$E149, 1)</f>
        <v>15</v>
      </c>
      <c r="H95">
        <f>ROUND(H69/'ITEM STATS'!$E170, 1)</f>
        <v>25</v>
      </c>
    </row>
    <row r="96" spans="1:9" x14ac:dyDescent="0.25">
      <c r="A96">
        <v>2</v>
      </c>
      <c r="B96">
        <f>ROUND(B70/'ITEM STATS'!$E45, 1)</f>
        <v>22</v>
      </c>
      <c r="C96">
        <f>ROUND(C70/'ITEM STATS'!$E66, 1)</f>
        <v>20</v>
      </c>
      <c r="D96">
        <f>ROUND(D70/'ITEM STATS'!$E87, 1)</f>
        <v>38</v>
      </c>
      <c r="E96">
        <f>ROUND(E70/'ITEM STATS'!$E108, 1)</f>
        <v>9.5</v>
      </c>
      <c r="F96">
        <f>ROUND(F70/'ITEM STATS'!$E129, 1)</f>
        <v>24</v>
      </c>
      <c r="G96">
        <f>ROUND(G70/'ITEM STATS'!$E150, 1)</f>
        <v>20</v>
      </c>
      <c r="H96">
        <f>ROUND(H70/'ITEM STATS'!$E171, 1)</f>
        <v>32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12</v>
      </c>
      <c r="F97">
        <f>ROUND(F71/'ITEM STATS'!$E130, 1)</f>
        <v>26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52</v>
      </c>
      <c r="E98">
        <f>ROUND(E72/'ITEM STATS'!$E110, 1)</f>
        <v>15</v>
      </c>
      <c r="F98">
        <f>ROUND(F72/'ITEM STATS'!$E131, 1)</f>
        <v>29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32</v>
      </c>
      <c r="D99">
        <f>ROUND(D73/'ITEM STATS'!$E90, 1)</f>
        <v>57</v>
      </c>
      <c r="E99">
        <f>ROUND(E73/'ITEM STATS'!$E111, 1)</f>
        <v>17.7</v>
      </c>
      <c r="F99">
        <f>ROUND(F73/'ITEM STATS'!$E132, 1)</f>
        <v>31</v>
      </c>
      <c r="G99">
        <f>ROUND(G73/'ITEM STATS'!$E153, 1)</f>
        <v>32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63</v>
      </c>
      <c r="E100">
        <f>ROUND(E74/'ITEM STATS'!$E112, 1)</f>
        <v>20.3</v>
      </c>
      <c r="F100">
        <f>ROUND(F74/'ITEM STATS'!$E133, 1)</f>
        <v>32.5</v>
      </c>
      <c r="G100">
        <f>ROUND(G74/'ITEM STATS'!$E154, 1)</f>
        <v>36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38</v>
      </c>
      <c r="D101">
        <f>ROUND(D75/'ITEM STATS'!$E92, 1)</f>
        <v>68</v>
      </c>
      <c r="E101">
        <f>ROUND(E75/'ITEM STATS'!$E113, 1)</f>
        <v>22.7</v>
      </c>
      <c r="F101">
        <f>ROUND(F75/'ITEM STATS'!$E134, 1)</f>
        <v>35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24.8</v>
      </c>
      <c r="F102">
        <f>ROUND(F76/'ITEM STATS'!$E135, 1)</f>
        <v>36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26.5</v>
      </c>
      <c r="F103">
        <f>ROUND(F77/'ITEM STATS'!$E136, 1)</f>
        <v>37.700000000000003</v>
      </c>
      <c r="G103">
        <f>ROUND(G77/'ITEM STATS'!$E157, 1)</f>
        <v>43.5</v>
      </c>
      <c r="H103">
        <f>ROUND(H77/'ITEM STATS'!$E178, 1)</f>
        <v>77.3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28</v>
      </c>
      <c r="F104">
        <f>ROUND(F78/'ITEM STATS'!$E137, 1)</f>
        <v>38.299999999999997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166</v>
      </c>
      <c r="D106" t="s">
        <v>88</v>
      </c>
      <c r="E106">
        <f>$E$67</f>
        <v>1</v>
      </c>
    </row>
    <row r="107" spans="1:8" x14ac:dyDescent="0.25">
      <c r="A107" t="s">
        <v>123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60</v>
      </c>
      <c r="E108">
        <f>ROUNDUP(100/'ITEM STATS'!$F107, 0)*E95</f>
        <v>49</v>
      </c>
      <c r="F108">
        <f>ROUNDUP(100/'ITEM STATS'!$F128, 0)*F95</f>
        <v>105</v>
      </c>
      <c r="G108">
        <f>ROUNDUP(100/'ITEM STATS'!$F149, 0)*G95</f>
        <v>150</v>
      </c>
      <c r="H108">
        <f>ROUNDUP(100/'ITEM STATS'!$F170, 0)*H95</f>
        <v>100</v>
      </c>
    </row>
    <row r="109" spans="1:8" x14ac:dyDescent="0.25">
      <c r="A109">
        <v>2</v>
      </c>
      <c r="B109">
        <f>ROUNDUP(100/'ITEM STATS'!$F45, 0)*B96</f>
        <v>88</v>
      </c>
      <c r="C109">
        <f>ROUNDUP(100/'ITEM STATS'!$F66, 0)*C96</f>
        <v>100</v>
      </c>
      <c r="D109">
        <f>ROUNDUP(100/'ITEM STATS'!$F87, 0)*D96</f>
        <v>76</v>
      </c>
      <c r="E109">
        <f>ROUNDUP(100/'ITEM STATS'!$F108, 0)*E96</f>
        <v>57</v>
      </c>
      <c r="F109">
        <f>ROUNDUP(100/'ITEM STATS'!$F129, 0)*F96</f>
        <v>120</v>
      </c>
      <c r="G109">
        <f>ROUNDUP(100/'ITEM STATS'!$F150, 0)*G96</f>
        <v>200</v>
      </c>
      <c r="H109">
        <f>ROUNDUP(100/'ITEM STATS'!$F171, 0)*H96</f>
        <v>128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72</v>
      </c>
      <c r="F110">
        <f>ROUNDUP(100/'ITEM STATS'!$F130, 0)*F97</f>
        <v>130</v>
      </c>
      <c r="G110">
        <f>ROUNDUP(100/'ITEM STATS'!$F151, 0)*G97</f>
        <v>240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104</v>
      </c>
      <c r="E111">
        <f>ROUNDUP(100/'ITEM STATS'!$F110, 0)*E98</f>
        <v>90</v>
      </c>
      <c r="F111">
        <f>ROUNDUP(100/'ITEM STATS'!$F131, 0)*F98</f>
        <v>145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128</v>
      </c>
      <c r="D112">
        <f>ROUNDUP(100/'ITEM STATS'!$F90, 0)*D99</f>
        <v>114</v>
      </c>
      <c r="E112">
        <f>ROUNDUP(100/'ITEM STATS'!$F111, 0)*E99</f>
        <v>106.19999999999999</v>
      </c>
      <c r="F112">
        <f>ROUNDUP(100/'ITEM STATS'!$F132, 0)*F99</f>
        <v>155</v>
      </c>
      <c r="G112">
        <f>ROUNDUP(100/'ITEM STATS'!$F153, 0)*G99</f>
        <v>256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126</v>
      </c>
      <c r="E113">
        <f>ROUNDUP(100/'ITEM STATS'!$F112, 0)*E100</f>
        <v>121.80000000000001</v>
      </c>
      <c r="F113">
        <f>ROUNDUP(100/'ITEM STATS'!$F133, 0)*F100</f>
        <v>162.5</v>
      </c>
      <c r="G113">
        <f>ROUNDUP(100/'ITEM STATS'!$F154, 0)*G100</f>
        <v>288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152</v>
      </c>
      <c r="D114">
        <f>ROUNDUP(100/'ITEM STATS'!$F92, 0)*D101</f>
        <v>136</v>
      </c>
      <c r="E114">
        <f>ROUNDUP(100/'ITEM STATS'!$F113, 0)*E101</f>
        <v>136.19999999999999</v>
      </c>
      <c r="F114">
        <f>ROUNDUP(100/'ITEM STATS'!$F134, 0)*F101</f>
        <v>175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148.80000000000001</v>
      </c>
      <c r="F115">
        <f>ROUNDUP(100/'ITEM STATS'!$F135, 0)*F102</f>
        <v>180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159</v>
      </c>
      <c r="F116">
        <f>ROUNDUP(100/'ITEM STATS'!$F136, 0)*F103</f>
        <v>188.5</v>
      </c>
      <c r="G116">
        <f>ROUNDUP(100/'ITEM STATS'!$F157, 0)*G103</f>
        <v>348</v>
      </c>
      <c r="H116">
        <f>ROUNDUP(100/'ITEM STATS'!$F178, 0)*H103</f>
        <v>309.2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168</v>
      </c>
      <c r="F117">
        <f>ROUNDUP(100/'ITEM STATS'!$F137, 0)*F104</f>
        <v>191.5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47" priority="42">
      <formula>B31&lt;B30</formula>
    </cfRule>
  </conditionalFormatting>
  <conditionalFormatting sqref="C31:C39">
    <cfRule type="expression" dxfId="46" priority="41">
      <formula>C31&lt;C30</formula>
    </cfRule>
  </conditionalFormatting>
  <conditionalFormatting sqref="D31:D39">
    <cfRule type="expression" dxfId="45" priority="40">
      <formula>D31&lt;D30</formula>
    </cfRule>
  </conditionalFormatting>
  <conditionalFormatting sqref="E31:E39">
    <cfRule type="expression" dxfId="44" priority="39">
      <formula>E31&lt;E30</formula>
    </cfRule>
  </conditionalFormatting>
  <conditionalFormatting sqref="F31:F39">
    <cfRule type="expression" dxfId="43" priority="38">
      <formula>F31&lt;F30</formula>
    </cfRule>
  </conditionalFormatting>
  <conditionalFormatting sqref="G31:G39">
    <cfRule type="expression" dxfId="42" priority="37">
      <formula>G31&lt;G30</formula>
    </cfRule>
  </conditionalFormatting>
  <conditionalFormatting sqref="H31:H39">
    <cfRule type="expression" dxfId="41" priority="36">
      <formula>H31&lt;H30</formula>
    </cfRule>
  </conditionalFormatting>
  <conditionalFormatting sqref="B44:B52">
    <cfRule type="expression" dxfId="40" priority="35">
      <formula>B44&lt;B43</formula>
    </cfRule>
  </conditionalFormatting>
  <conditionalFormatting sqref="C44:C52">
    <cfRule type="expression" dxfId="39" priority="34">
      <formula>C44&lt;C43</formula>
    </cfRule>
  </conditionalFormatting>
  <conditionalFormatting sqref="D44:D52">
    <cfRule type="expression" dxfId="38" priority="33">
      <formula>D44&lt;D43</formula>
    </cfRule>
  </conditionalFormatting>
  <conditionalFormatting sqref="E44:E52">
    <cfRule type="expression" dxfId="37" priority="32">
      <formula>E44&lt;E43</formula>
    </cfRule>
  </conditionalFormatting>
  <conditionalFormatting sqref="F44:F52">
    <cfRule type="expression" dxfId="36" priority="31">
      <formula>F44&lt;F43</formula>
    </cfRule>
  </conditionalFormatting>
  <conditionalFormatting sqref="G44:G52">
    <cfRule type="expression" dxfId="35" priority="30">
      <formula>G44&lt;G43</formula>
    </cfRule>
  </conditionalFormatting>
  <conditionalFormatting sqref="H44:H52">
    <cfRule type="expression" dxfId="34" priority="29">
      <formula>H44&lt;H43</formula>
    </cfRule>
  </conditionalFormatting>
  <conditionalFormatting sqref="B57:B65">
    <cfRule type="expression" dxfId="33" priority="28">
      <formula>B57&lt;B56</formula>
    </cfRule>
  </conditionalFormatting>
  <conditionalFormatting sqref="C57:C65">
    <cfRule type="expression" dxfId="32" priority="27">
      <formula>C57&lt;C56</formula>
    </cfRule>
  </conditionalFormatting>
  <conditionalFormatting sqref="D57:D65">
    <cfRule type="expression" dxfId="31" priority="26">
      <formula>D57&lt;D56</formula>
    </cfRule>
  </conditionalFormatting>
  <conditionalFormatting sqref="E57:E65">
    <cfRule type="expression" dxfId="30" priority="25">
      <formula>E57&lt;E56</formula>
    </cfRule>
  </conditionalFormatting>
  <conditionalFormatting sqref="F57:F65">
    <cfRule type="expression" dxfId="29" priority="24">
      <formula>F57&lt;F56</formula>
    </cfRule>
  </conditionalFormatting>
  <conditionalFormatting sqref="G57:G65">
    <cfRule type="expression" dxfId="28" priority="23">
      <formula>G57&lt;G56</formula>
    </cfRule>
  </conditionalFormatting>
  <conditionalFormatting sqref="H57:H65">
    <cfRule type="expression" dxfId="27" priority="22">
      <formula>H57&lt;H56</formula>
    </cfRule>
  </conditionalFormatting>
  <conditionalFormatting sqref="B70:B78">
    <cfRule type="expression" dxfId="26" priority="21">
      <formula>B70&lt;B69</formula>
    </cfRule>
  </conditionalFormatting>
  <conditionalFormatting sqref="C70:C78">
    <cfRule type="expression" dxfId="25" priority="20">
      <formula>C70&lt;C69</formula>
    </cfRule>
  </conditionalFormatting>
  <conditionalFormatting sqref="D70:D78">
    <cfRule type="expression" dxfId="24" priority="19">
      <formula>D70&lt;D69</formula>
    </cfRule>
  </conditionalFormatting>
  <conditionalFormatting sqref="E70:E78">
    <cfRule type="expression" dxfId="23" priority="18">
      <formula>E70&lt;E69</formula>
    </cfRule>
  </conditionalFormatting>
  <conditionalFormatting sqref="F70:F78">
    <cfRule type="expression" dxfId="22" priority="17">
      <formula>F70&lt;F69</formula>
    </cfRule>
  </conditionalFormatting>
  <conditionalFormatting sqref="G70:G78">
    <cfRule type="expression" dxfId="21" priority="16">
      <formula>G70&lt;G69</formula>
    </cfRule>
  </conditionalFormatting>
  <conditionalFormatting sqref="H70:H78">
    <cfRule type="expression" dxfId="20" priority="15">
      <formula>H70&lt;H69</formula>
    </cfRule>
  </conditionalFormatting>
  <conditionalFormatting sqref="B83:B91">
    <cfRule type="expression" dxfId="19" priority="14">
      <formula>B83&lt;B82</formula>
    </cfRule>
  </conditionalFormatting>
  <conditionalFormatting sqref="C83:C91">
    <cfRule type="expression" dxfId="18" priority="13">
      <formula>C83&lt;C82</formula>
    </cfRule>
  </conditionalFormatting>
  <conditionalFormatting sqref="D83:D91">
    <cfRule type="expression" dxfId="17" priority="12">
      <formula>D83&lt;D82</formula>
    </cfRule>
  </conditionalFormatting>
  <conditionalFormatting sqref="E83:E91">
    <cfRule type="expression" dxfId="16" priority="11">
      <formula>E83&lt;E82</formula>
    </cfRule>
  </conditionalFormatting>
  <conditionalFormatting sqref="F83:F91">
    <cfRule type="expression" dxfId="15" priority="10">
      <formula>F83&lt;F82</formula>
    </cfRule>
  </conditionalFormatting>
  <conditionalFormatting sqref="G83:G91">
    <cfRule type="expression" dxfId="14" priority="9">
      <formula>G83&lt;G82</formula>
    </cfRule>
  </conditionalFormatting>
  <conditionalFormatting sqref="H83:H91">
    <cfRule type="expression" dxfId="13" priority="8">
      <formula>H83&lt;H82</formula>
    </cfRule>
  </conditionalFormatting>
  <conditionalFormatting sqref="B109:B117">
    <cfRule type="expression" dxfId="12" priority="7">
      <formula>B109&lt;B108</formula>
    </cfRule>
  </conditionalFormatting>
  <conditionalFormatting sqref="C109:C117">
    <cfRule type="expression" dxfId="11" priority="6">
      <formula>C109&lt;C108</formula>
    </cfRule>
  </conditionalFormatting>
  <conditionalFormatting sqref="D109:D117">
    <cfRule type="expression" dxfId="10" priority="5">
      <formula>D109&lt;D108</formula>
    </cfRule>
  </conditionalFormatting>
  <conditionalFormatting sqref="E109:E117">
    <cfRule type="expression" dxfId="9" priority="4">
      <formula>E109&lt;E108</formula>
    </cfRule>
  </conditionalFormatting>
  <conditionalFormatting sqref="F109:F117">
    <cfRule type="expression" dxfId="8" priority="3">
      <formula>F109&lt;F108</formula>
    </cfRule>
  </conditionalFormatting>
  <conditionalFormatting sqref="G109:G117">
    <cfRule type="expression" dxfId="7" priority="2">
      <formula>G109&lt;G108</formula>
    </cfRule>
  </conditionalFormatting>
  <conditionalFormatting sqref="H109:H117">
    <cfRule type="expression" dxfId="6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G30" sqref="G30"/>
    </sheetView>
  </sheetViews>
  <sheetFormatPr defaultRowHeight="15" x14ac:dyDescent="0.25"/>
  <sheetData>
    <row r="2" spans="1:4" x14ac:dyDescent="0.25">
      <c r="A2" t="s">
        <v>87</v>
      </c>
      <c r="B2">
        <v>3</v>
      </c>
    </row>
    <row r="4" spans="1:4" x14ac:dyDescent="0.25">
      <c r="A4" t="s">
        <v>82</v>
      </c>
      <c r="B4">
        <v>85</v>
      </c>
    </row>
    <row r="5" spans="1:4" x14ac:dyDescent="0.25">
      <c r="A5" t="s">
        <v>85</v>
      </c>
      <c r="B5">
        <f>C5/10</f>
        <v>0</v>
      </c>
      <c r="C5">
        <v>0</v>
      </c>
    </row>
    <row r="6" spans="1:4" x14ac:dyDescent="0.25">
      <c r="A6" t="s">
        <v>0</v>
      </c>
      <c r="B6">
        <v>20</v>
      </c>
    </row>
    <row r="7" spans="1:4" x14ac:dyDescent="0.25">
      <c r="A7" t="s">
        <v>83</v>
      </c>
      <c r="B7" t="s">
        <v>84</v>
      </c>
      <c r="D7" t="s">
        <v>86</v>
      </c>
    </row>
    <row r="8" spans="1:4" x14ac:dyDescent="0.25">
      <c r="A8">
        <v>1</v>
      </c>
      <c r="B8">
        <f>$B$4-((A8-$B$2)/($B$6/100))</f>
        <v>95</v>
      </c>
    </row>
    <row r="9" spans="1:4" x14ac:dyDescent="0.25">
      <c r="A9">
        <v>2</v>
      </c>
      <c r="B9">
        <f>$B$4-((A9-$B$2)/($B$6/100))</f>
        <v>90</v>
      </c>
    </row>
    <row r="10" spans="1:4" x14ac:dyDescent="0.25">
      <c r="A10">
        <v>3</v>
      </c>
      <c r="B10">
        <f>$B$4-((A10-$B$2)/($B$6/100))</f>
        <v>85</v>
      </c>
      <c r="C10">
        <f>ROUNDUP(B10,0)</f>
        <v>85</v>
      </c>
      <c r="D10">
        <v>1</v>
      </c>
    </row>
    <row r="11" spans="1:4" x14ac:dyDescent="0.25">
      <c r="A11">
        <v>4</v>
      </c>
      <c r="B11">
        <f t="shared" ref="B11:B27" si="0">$B$4-((A11-$B$2)/($B$6/100))</f>
        <v>80</v>
      </c>
    </row>
    <row r="12" spans="1:4" x14ac:dyDescent="0.25">
      <c r="A12">
        <v>5</v>
      </c>
      <c r="B12">
        <f t="shared" si="0"/>
        <v>75</v>
      </c>
    </row>
    <row r="13" spans="1:4" x14ac:dyDescent="0.25">
      <c r="A13">
        <v>6</v>
      </c>
      <c r="B13">
        <f t="shared" si="0"/>
        <v>70</v>
      </c>
      <c r="C13">
        <f>ROUNDUP(B13,0)</f>
        <v>70</v>
      </c>
      <c r="D13">
        <v>2</v>
      </c>
    </row>
    <row r="14" spans="1:4" x14ac:dyDescent="0.25">
      <c r="A14">
        <v>7</v>
      </c>
      <c r="B14">
        <f t="shared" si="0"/>
        <v>65</v>
      </c>
    </row>
    <row r="15" spans="1:4" x14ac:dyDescent="0.25">
      <c r="A15">
        <v>8</v>
      </c>
      <c r="B15">
        <f t="shared" si="0"/>
        <v>60</v>
      </c>
    </row>
    <row r="16" spans="1:4" x14ac:dyDescent="0.25">
      <c r="A16">
        <v>9</v>
      </c>
      <c r="B16">
        <f t="shared" si="0"/>
        <v>55</v>
      </c>
      <c r="C16">
        <f>ROUNDUP(B16,0)</f>
        <v>55</v>
      </c>
      <c r="D16">
        <v>3</v>
      </c>
    </row>
    <row r="17" spans="1:4" x14ac:dyDescent="0.25">
      <c r="A17">
        <v>10</v>
      </c>
      <c r="B17">
        <f t="shared" si="0"/>
        <v>50</v>
      </c>
    </row>
    <row r="18" spans="1:4" x14ac:dyDescent="0.25">
      <c r="A18">
        <v>11</v>
      </c>
      <c r="B18">
        <f t="shared" si="0"/>
        <v>45</v>
      </c>
    </row>
    <row r="19" spans="1:4" x14ac:dyDescent="0.25">
      <c r="A19">
        <v>12</v>
      </c>
      <c r="B19">
        <f t="shared" si="0"/>
        <v>40</v>
      </c>
      <c r="C19">
        <f>ROUNDUP(B19,0)</f>
        <v>40</v>
      </c>
      <c r="D19">
        <v>4</v>
      </c>
    </row>
    <row r="20" spans="1:4" x14ac:dyDescent="0.25">
      <c r="A20">
        <v>13</v>
      </c>
      <c r="B20">
        <f t="shared" si="0"/>
        <v>35</v>
      </c>
    </row>
    <row r="21" spans="1:4" x14ac:dyDescent="0.25">
      <c r="A21">
        <v>14</v>
      </c>
      <c r="B21">
        <f t="shared" si="0"/>
        <v>30</v>
      </c>
    </row>
    <row r="22" spans="1:4" x14ac:dyDescent="0.25">
      <c r="A22">
        <v>15</v>
      </c>
      <c r="B22">
        <f t="shared" si="0"/>
        <v>25</v>
      </c>
      <c r="C22">
        <f>ROUNDUP(B22,0)</f>
        <v>25</v>
      </c>
      <c r="D22">
        <v>5</v>
      </c>
    </row>
    <row r="23" spans="1:4" x14ac:dyDescent="0.25">
      <c r="A23">
        <v>16</v>
      </c>
      <c r="B23">
        <f t="shared" si="0"/>
        <v>20</v>
      </c>
    </row>
    <row r="24" spans="1:4" x14ac:dyDescent="0.25">
      <c r="A24">
        <v>17</v>
      </c>
      <c r="B24">
        <f t="shared" si="0"/>
        <v>15</v>
      </c>
    </row>
    <row r="25" spans="1:4" x14ac:dyDescent="0.25">
      <c r="A25">
        <v>18</v>
      </c>
      <c r="B25">
        <f t="shared" si="0"/>
        <v>10</v>
      </c>
      <c r="C25">
        <f>ROUNDUP(B25,0)</f>
        <v>10</v>
      </c>
      <c r="D25">
        <v>6</v>
      </c>
    </row>
    <row r="26" spans="1:4" x14ac:dyDescent="0.25">
      <c r="A26">
        <v>19</v>
      </c>
      <c r="B26">
        <f t="shared" si="0"/>
        <v>5</v>
      </c>
    </row>
    <row r="27" spans="1:4" x14ac:dyDescent="0.25">
      <c r="A27">
        <v>20</v>
      </c>
      <c r="B27">
        <f t="shared" si="0"/>
        <v>0</v>
      </c>
    </row>
    <row r="28" spans="1:4" x14ac:dyDescent="0.25">
      <c r="A28">
        <v>21</v>
      </c>
      <c r="B28">
        <f t="shared" ref="B28:B39" si="1">$B$4-((A28-$B$2)/($B$6/100))</f>
        <v>-5</v>
      </c>
      <c r="C28">
        <f>ROUNDUP(B28,0)</f>
        <v>-5</v>
      </c>
      <c r="D28">
        <v>7</v>
      </c>
    </row>
    <row r="29" spans="1:4" x14ac:dyDescent="0.25">
      <c r="A29">
        <v>22</v>
      </c>
      <c r="B29">
        <f t="shared" si="1"/>
        <v>-10</v>
      </c>
    </row>
    <row r="30" spans="1:4" x14ac:dyDescent="0.25">
      <c r="A30">
        <v>23</v>
      </c>
      <c r="B30">
        <f t="shared" si="1"/>
        <v>-15</v>
      </c>
    </row>
    <row r="31" spans="1:4" x14ac:dyDescent="0.25">
      <c r="A31">
        <v>24</v>
      </c>
      <c r="B31">
        <f t="shared" si="1"/>
        <v>-20</v>
      </c>
      <c r="C31">
        <f>ROUNDUP(B31,0)</f>
        <v>-20</v>
      </c>
      <c r="D31">
        <v>8</v>
      </c>
    </row>
    <row r="32" spans="1:4" x14ac:dyDescent="0.25">
      <c r="A32">
        <v>25</v>
      </c>
      <c r="B32">
        <f t="shared" si="1"/>
        <v>-25</v>
      </c>
    </row>
    <row r="33" spans="1:4" x14ac:dyDescent="0.25">
      <c r="A33">
        <v>26</v>
      </c>
      <c r="B33">
        <f t="shared" si="1"/>
        <v>-30</v>
      </c>
    </row>
    <row r="34" spans="1:4" x14ac:dyDescent="0.25">
      <c r="A34">
        <v>27</v>
      </c>
      <c r="B34">
        <f t="shared" si="1"/>
        <v>-35</v>
      </c>
      <c r="C34">
        <f>ROUNDUP(B34,0)</f>
        <v>-35</v>
      </c>
      <c r="D34">
        <v>9</v>
      </c>
    </row>
    <row r="35" spans="1:4" x14ac:dyDescent="0.25">
      <c r="A35">
        <v>28</v>
      </c>
      <c r="B35">
        <f t="shared" si="1"/>
        <v>-40</v>
      </c>
    </row>
    <row r="36" spans="1:4" x14ac:dyDescent="0.25">
      <c r="A36">
        <v>29</v>
      </c>
      <c r="B36">
        <f t="shared" si="1"/>
        <v>-45</v>
      </c>
    </row>
    <row r="37" spans="1:4" x14ac:dyDescent="0.25">
      <c r="A37">
        <v>30</v>
      </c>
      <c r="B37">
        <f t="shared" si="1"/>
        <v>-50</v>
      </c>
      <c r="C37">
        <f>ROUNDUP(B37,0)</f>
        <v>-50</v>
      </c>
      <c r="D37">
        <v>10</v>
      </c>
    </row>
    <row r="38" spans="1:4" x14ac:dyDescent="0.25">
      <c r="A38">
        <v>31</v>
      </c>
      <c r="B38">
        <f t="shared" si="1"/>
        <v>-55</v>
      </c>
    </row>
    <row r="39" spans="1:4" x14ac:dyDescent="0.25">
      <c r="A39">
        <v>32</v>
      </c>
      <c r="B39">
        <f t="shared" si="1"/>
        <v>-60</v>
      </c>
    </row>
    <row r="40" spans="1:4" x14ac:dyDescent="0.25">
      <c r="A40">
        <v>33</v>
      </c>
      <c r="B40">
        <f>$B$4-((A40-$B$2)/($B$6/100))</f>
        <v>-65</v>
      </c>
      <c r="C40">
        <f>ROUNDUP(B40,0)</f>
        <v>-65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G31" sqref="G31"/>
    </sheetView>
  </sheetViews>
  <sheetFormatPr defaultColWidth="11.28515625" defaultRowHeight="15" x14ac:dyDescent="0.25"/>
  <sheetData>
    <row r="1" spans="1:18" x14ac:dyDescent="0.25">
      <c r="A1" t="s">
        <v>148</v>
      </c>
    </row>
    <row r="2" spans="1:18" x14ac:dyDescent="0.25">
      <c r="A2" t="s">
        <v>147</v>
      </c>
      <c r="B2" t="s">
        <v>123</v>
      </c>
      <c r="D2" t="s">
        <v>81</v>
      </c>
      <c r="E2" t="s">
        <v>43</v>
      </c>
      <c r="F2" t="s">
        <v>88</v>
      </c>
      <c r="G2" t="s">
        <v>42</v>
      </c>
      <c r="H2" t="s">
        <v>44</v>
      </c>
      <c r="I2" t="s">
        <v>89</v>
      </c>
      <c r="J2" t="s">
        <v>46</v>
      </c>
      <c r="L2" t="s">
        <v>165</v>
      </c>
      <c r="M2" t="s">
        <v>156</v>
      </c>
      <c r="N2" t="s">
        <v>157</v>
      </c>
      <c r="O2" t="s">
        <v>158</v>
      </c>
      <c r="P2" t="s">
        <v>162</v>
      </c>
      <c r="Q2" t="s">
        <v>159</v>
      </c>
      <c r="R2" t="s">
        <v>163</v>
      </c>
    </row>
    <row r="3" spans="1:18" x14ac:dyDescent="0.25">
      <c r="A3" t="s">
        <v>31</v>
      </c>
      <c r="B3">
        <v>3</v>
      </c>
      <c r="D3">
        <f t="array" ref="D3">INDEX(WeaponDB[damage], MATCH($A3&amp;$B3, WeaponDB[wpnName]&amp;WeaponDB[wpnMark], 0))</f>
        <v>24</v>
      </c>
      <c r="E3">
        <f t="array" ref="E3">INDEX(WeaponDB[accuracy], MATCH($A3&amp;$B3, WeaponDB[wpnName]&amp;WeaponDB[wpnMark], 0))</f>
        <v>51</v>
      </c>
      <c r="F3">
        <f t="array" ref="F3">INDEX(WeaponDB[range], MATCH($A3&amp;$B3, WeaponDB[wpnName]&amp;WeaponDB[wpnMark], 0))</f>
        <v>51</v>
      </c>
      <c r="G3">
        <f t="array" ref="G3">INDEX(WeaponDB[rate of fire], MATCH($A3&amp;$B3, WeaponDB[wpnName]&amp;WeaponDB[wpnMark], 0))</f>
        <v>2</v>
      </c>
      <c r="H3">
        <f t="array" ref="H3">INDEX(WeaponDB[heat gen], MATCH($A3&amp;$B3, WeaponDB[wpnName]&amp;WeaponDB[wpnMark], 0))</f>
        <v>17</v>
      </c>
      <c r="I3">
        <f t="array" ref="I3">INDEX(WeaponDB[cooling rate], MATCH($A3&amp;$B3, WeaponDB[wpnName]&amp;WeaponDB[wpnMark], 0))</f>
        <v>14</v>
      </c>
      <c r="J3">
        <f t="array" ref="J3">INDEX(WeaponDB[max ammo], MATCH($A3&amp;$B3, WeaponDB[wpnName]&amp;WeaponDB[wpnMark], 0))</f>
        <v>40</v>
      </c>
      <c r="L3">
        <f>ROUNDUP((100/H3), 0)*D3</f>
        <v>144</v>
      </c>
      <c r="M3">
        <f>ROUND(E3-((($B$19*3)-3)/(F3/100)), 0)</f>
        <v>45</v>
      </c>
      <c r="N3">
        <f>ROUND(D3*(M3/100), 0)</f>
        <v>11</v>
      </c>
      <c r="O3">
        <f>N3*G3</f>
        <v>22</v>
      </c>
      <c r="P3">
        <f>ROUND(L3*(M3/100), 0)</f>
        <v>65</v>
      </c>
      <c r="Q3">
        <f>ROUNDUP($D$19/N3, 0)</f>
        <v>10</v>
      </c>
      <c r="R3">
        <f>ROUNDUP($D$19/O3, 0)</f>
        <v>5</v>
      </c>
    </row>
    <row r="5" spans="1:18" x14ac:dyDescent="0.25">
      <c r="A5" t="s">
        <v>149</v>
      </c>
    </row>
    <row r="6" spans="1:18" x14ac:dyDescent="0.25">
      <c r="A6" t="s">
        <v>147</v>
      </c>
      <c r="B6" t="s">
        <v>123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40</v>
      </c>
      <c r="E7">
        <f t="array" ref="E7">INDEX(WeaponDB[accuracy], MATCH($A7&amp;$B7, WeaponDB[wpnName]&amp;WeaponDB[wpnMark], 0))</f>
        <v>77</v>
      </c>
      <c r="F7">
        <f t="array" ref="F7">INDEX(WeaponDB[range], MATCH($A7&amp;$B7, WeaponDB[wpnName]&amp;WeaponDB[wpnMark], 0))</f>
        <v>17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14</v>
      </c>
      <c r="J7">
        <f t="array" ref="J7">INDEX(WeaponDB[max ammo], MATCH($A7&amp;$B7, WeaponDB[wpnName]&amp;WeaponDB[wpnMark], 0))</f>
        <v>20</v>
      </c>
      <c r="L7">
        <f>ROUNDUP((100/H7), 0)*D7</f>
        <v>200</v>
      </c>
      <c r="M7">
        <f>ROUND(E7-((($B$19*3)-3)/(F7/100)), 0)</f>
        <v>59</v>
      </c>
      <c r="N7">
        <f>ROUND(D7*(M7/100), 0)</f>
        <v>24</v>
      </c>
      <c r="O7">
        <f>N7*G7</f>
        <v>48</v>
      </c>
      <c r="P7">
        <f>ROUND(L7*(M7/100), 0)</f>
        <v>118</v>
      </c>
      <c r="Q7">
        <f>ROUNDUP($D$19/N7, 0)</f>
        <v>5</v>
      </c>
      <c r="R7">
        <f>ROUNDUP($D$19/O7, 0)</f>
        <v>3</v>
      </c>
    </row>
    <row r="9" spans="1:18" x14ac:dyDescent="0.25">
      <c r="A9" t="s">
        <v>160</v>
      </c>
    </row>
    <row r="10" spans="1:18" x14ac:dyDescent="0.25">
      <c r="A10" t="s">
        <v>147</v>
      </c>
      <c r="B10" t="s">
        <v>123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68</v>
      </c>
      <c r="F11">
        <f t="array" ref="F11">INDEX(WeaponDB[range], MATCH($A11&amp;$B11, WeaponDB[wpnName]&amp;WeaponDB[wpnMark], 0))</f>
        <v>91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19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65</v>
      </c>
      <c r="N11">
        <f>ROUND(D11*(M11/100), 0)</f>
        <v>49</v>
      </c>
      <c r="O11">
        <f>N11*G11</f>
        <v>49</v>
      </c>
      <c r="P11">
        <f>ROUND(L11*(M11/100), 0)</f>
        <v>99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161</v>
      </c>
    </row>
    <row r="14" spans="1:18" x14ac:dyDescent="0.25">
      <c r="A14" t="s">
        <v>147</v>
      </c>
      <c r="B14" t="s">
        <v>123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87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10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151</v>
      </c>
      <c r="K17" s="3" t="s">
        <v>164</v>
      </c>
      <c r="L17" s="3"/>
      <c r="M17" s="3"/>
      <c r="N17" s="3">
        <f>SUM(N3:N15)</f>
        <v>142</v>
      </c>
      <c r="O17" s="3">
        <f>SUM(O3:O15)</f>
        <v>235</v>
      </c>
      <c r="P17" s="3">
        <f>SUM(P3:P15)</f>
        <v>513</v>
      </c>
      <c r="Q17" s="3"/>
      <c r="R17" s="3"/>
    </row>
    <row r="18" spans="1:18" x14ac:dyDescent="0.25">
      <c r="A18" t="s">
        <v>132</v>
      </c>
      <c r="B18" t="s">
        <v>155</v>
      </c>
      <c r="D18" t="s">
        <v>109</v>
      </c>
      <c r="E18" t="s">
        <v>81</v>
      </c>
    </row>
    <row r="19" spans="1:18" x14ac:dyDescent="0.25">
      <c r="A19" t="s">
        <v>153</v>
      </c>
      <c r="B19">
        <v>2</v>
      </c>
      <c r="D19">
        <f t="array" ref="D19">INDEX(EnemyDB[health], MATCH($A$19, EnemyDB[name], 0))</f>
        <v>100</v>
      </c>
      <c r="E19">
        <f t="array" ref="E19"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workbookViewId="0">
      <selection activeCell="D20" sqref="D20"/>
    </sheetView>
  </sheetViews>
  <sheetFormatPr defaultColWidth="10.7109375" defaultRowHeight="15" x14ac:dyDescent="0.25"/>
  <sheetData>
    <row r="2" spans="1:13" x14ac:dyDescent="0.25">
      <c r="A2" t="s">
        <v>132</v>
      </c>
      <c r="B2" t="s">
        <v>133</v>
      </c>
      <c r="D2" t="s">
        <v>187</v>
      </c>
      <c r="F2" t="s">
        <v>188</v>
      </c>
      <c r="H2" t="s">
        <v>190</v>
      </c>
      <c r="J2" t="s">
        <v>135</v>
      </c>
    </row>
    <row r="4" spans="1:13" x14ac:dyDescent="0.25">
      <c r="A4" t="s">
        <v>134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137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136</v>
      </c>
      <c r="E9" t="s">
        <v>141</v>
      </c>
    </row>
    <row r="10" spans="1:13" x14ac:dyDescent="0.25"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3" x14ac:dyDescent="0.25">
      <c r="A11" t="s">
        <v>134</v>
      </c>
      <c r="B11">
        <v>20</v>
      </c>
      <c r="F11">
        <v>0</v>
      </c>
      <c r="G11">
        <v>30</v>
      </c>
      <c r="H11">
        <v>12</v>
      </c>
      <c r="I11">
        <v>40</v>
      </c>
      <c r="J11">
        <v>20</v>
      </c>
      <c r="K11">
        <v>0</v>
      </c>
      <c r="L11">
        <v>10</v>
      </c>
    </row>
    <row r="12" spans="1:13" x14ac:dyDescent="0.25">
      <c r="A12" t="s">
        <v>137</v>
      </c>
      <c r="B12">
        <v>6</v>
      </c>
    </row>
    <row r="13" spans="1:13" x14ac:dyDescent="0.25">
      <c r="E13" t="s">
        <v>142</v>
      </c>
    </row>
    <row r="14" spans="1:13" x14ac:dyDescent="0.25">
      <c r="A14" t="s">
        <v>138</v>
      </c>
      <c r="E14" t="s">
        <v>123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139</v>
      </c>
    </row>
    <row r="15" spans="1:13" x14ac:dyDescent="0.25">
      <c r="A15" s="1" t="s">
        <v>139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480</v>
      </c>
      <c r="H15">
        <f>H$11*'WEAPON BALANCING'!D95</f>
        <v>360</v>
      </c>
      <c r="I15">
        <f>I$11*'WEAPON BALANCING'!E95</f>
        <v>280</v>
      </c>
      <c r="J15">
        <f>J$11*'WEAPON BALANCING'!F95</f>
        <v>420</v>
      </c>
      <c r="K15">
        <f>K$11*'WEAPON BALANCING'!G95</f>
        <v>0</v>
      </c>
      <c r="L15">
        <f>L$11*'WEAPON BALANCING'!H95</f>
        <v>250</v>
      </c>
      <c r="M15">
        <f>SUM(F15:L15)</f>
        <v>1790</v>
      </c>
    </row>
    <row r="16" spans="1:13" x14ac:dyDescent="0.25">
      <c r="A16" t="s">
        <v>134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600</v>
      </c>
      <c r="H16">
        <f>H$11*'WEAPON BALANCING'!D96</f>
        <v>456</v>
      </c>
      <c r="I16">
        <f>I$11*'WEAPON BALANCING'!E96</f>
        <v>380</v>
      </c>
      <c r="J16">
        <f>J$11*'WEAPON BALANCING'!F96</f>
        <v>480</v>
      </c>
      <c r="K16">
        <f>K$11*'WEAPON BALANCING'!G96</f>
        <v>0</v>
      </c>
      <c r="L16">
        <f>L$11*'WEAPON BALANCING'!H96</f>
        <v>320</v>
      </c>
      <c r="M16">
        <f t="shared" ref="M16:M24" si="0">SUM(F16:L16)</f>
        <v>2236</v>
      </c>
    </row>
    <row r="17" spans="1:13" x14ac:dyDescent="0.25">
      <c r="A17" t="s">
        <v>137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720</v>
      </c>
      <c r="H17">
        <f>H$11*'WEAPON BALANCING'!D97</f>
        <v>528</v>
      </c>
      <c r="I17">
        <f>I$11*'WEAPON BALANCING'!E97</f>
        <v>480</v>
      </c>
      <c r="J17">
        <f>J$11*'WEAPON BALANCING'!F97</f>
        <v>520</v>
      </c>
      <c r="K17">
        <f>K$11*'WEAPON BALANCING'!G97</f>
        <v>0</v>
      </c>
      <c r="L17">
        <f>L$11*'WEAPON BALANCING'!H97</f>
        <v>390</v>
      </c>
      <c r="M17">
        <f t="shared" si="0"/>
        <v>2638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840</v>
      </c>
      <c r="H18">
        <f>H$11*'WEAPON BALANCING'!D98</f>
        <v>624</v>
      </c>
      <c r="I18">
        <f>I$11*'WEAPON BALANCING'!E98</f>
        <v>600</v>
      </c>
      <c r="J18">
        <f>J$11*'WEAPON BALANCING'!F98</f>
        <v>580</v>
      </c>
      <c r="K18">
        <f>K$11*'WEAPON BALANCING'!G98</f>
        <v>0</v>
      </c>
      <c r="L18">
        <f>L$11*'WEAPON BALANCING'!H98</f>
        <v>460</v>
      </c>
      <c r="M18">
        <f t="shared" si="0"/>
        <v>3104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960</v>
      </c>
      <c r="H19">
        <f>H$11*'WEAPON BALANCING'!D99</f>
        <v>684</v>
      </c>
      <c r="I19">
        <f>I$11*'WEAPON BALANCING'!E99</f>
        <v>708</v>
      </c>
      <c r="J19">
        <f>J$11*'WEAPON BALANCING'!F99</f>
        <v>620</v>
      </c>
      <c r="K19">
        <f>K$11*'WEAPON BALANCING'!G99</f>
        <v>0</v>
      </c>
      <c r="L19">
        <f>L$11*'WEAPON BALANCING'!H99</f>
        <v>535</v>
      </c>
      <c r="M19">
        <f t="shared" si="0"/>
        <v>3507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1050</v>
      </c>
      <c r="H20">
        <f>H$11*'WEAPON BALANCING'!D100</f>
        <v>756</v>
      </c>
      <c r="I20">
        <f>I$11*'WEAPON BALANCING'!E100</f>
        <v>812</v>
      </c>
      <c r="J20">
        <f>J$11*'WEAPON BALANCING'!F100</f>
        <v>650</v>
      </c>
      <c r="K20">
        <f>K$11*'WEAPON BALANCING'!G100</f>
        <v>0</v>
      </c>
      <c r="L20">
        <f>L$11*'WEAPON BALANCING'!H100</f>
        <v>600</v>
      </c>
      <c r="M20">
        <f t="shared" si="0"/>
        <v>3868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1140</v>
      </c>
      <c r="H21">
        <f>H$11*'WEAPON BALANCING'!D101</f>
        <v>816</v>
      </c>
      <c r="I21">
        <f>I$11*'WEAPON BALANCING'!E101</f>
        <v>908</v>
      </c>
      <c r="J21">
        <f>J$11*'WEAPON BALANCING'!F101</f>
        <v>700</v>
      </c>
      <c r="K21">
        <f>K$11*'WEAPON BALANCING'!G101</f>
        <v>0</v>
      </c>
      <c r="L21">
        <f>L$11*'WEAPON BALANCING'!H101</f>
        <v>665</v>
      </c>
      <c r="M21">
        <f t="shared" si="0"/>
        <v>4229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1230</v>
      </c>
      <c r="H22">
        <f>H$11*'WEAPON BALANCING'!D102</f>
        <v>876</v>
      </c>
      <c r="I22">
        <f>I$11*'WEAPON BALANCING'!E102</f>
        <v>992</v>
      </c>
      <c r="J22">
        <f>J$11*'WEAPON BALANCING'!F102</f>
        <v>720</v>
      </c>
      <c r="K22">
        <f>K$11*'WEAPON BALANCING'!G102</f>
        <v>0</v>
      </c>
      <c r="L22">
        <f>L$11*'WEAPON BALANCING'!H102</f>
        <v>713</v>
      </c>
      <c r="M22">
        <f t="shared" si="0"/>
        <v>4531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1290</v>
      </c>
      <c r="H23">
        <f>H$11*'WEAPON BALANCING'!D103</f>
        <v>912</v>
      </c>
      <c r="I23">
        <f>I$11*'WEAPON BALANCING'!E103</f>
        <v>1060</v>
      </c>
      <c r="J23">
        <f>J$11*'WEAPON BALANCING'!F103</f>
        <v>754</v>
      </c>
      <c r="K23">
        <f>K$11*'WEAPON BALANCING'!G103</f>
        <v>0</v>
      </c>
      <c r="L23">
        <f>L$11*'WEAPON BALANCING'!H103</f>
        <v>773</v>
      </c>
      <c r="M23">
        <f t="shared" si="0"/>
        <v>4789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960</v>
      </c>
      <c r="I24">
        <f>I$11*'WEAPON BALANCING'!E104</f>
        <v>1120</v>
      </c>
      <c r="J24">
        <f>J$11*'WEAPON BALANCING'!F104</f>
        <v>766</v>
      </c>
      <c r="K24">
        <f>K$11*'WEAPON BALANCING'!G104</f>
        <v>0</v>
      </c>
      <c r="L24">
        <f>L$11*'WEAPON BALANCING'!H104</f>
        <v>810</v>
      </c>
      <c r="M24">
        <f t="shared" si="0"/>
        <v>5006</v>
      </c>
    </row>
  </sheetData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5" priority="62" operator="lessThan">
      <formula>$B$15</formula>
    </cfRule>
    <cfRule type="cellIs" dxfId="4" priority="63" operator="greaterThan">
      <formula>$B$15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326"/>
  <sheetViews>
    <sheetView tabSelected="1" workbookViewId="0"/>
  </sheetViews>
  <sheetFormatPr defaultColWidth="11.28515625" defaultRowHeight="15" x14ac:dyDescent="0.25"/>
  <cols>
    <col min="1" max="1" width="24.42578125" customWidth="1"/>
    <col min="10" max="10" width="11.28515625" customWidth="1"/>
  </cols>
  <sheetData>
    <row r="2" spans="1:22" x14ac:dyDescent="0.25">
      <c r="B2" s="11" t="s">
        <v>234</v>
      </c>
      <c r="C2" s="11" t="s">
        <v>235</v>
      </c>
      <c r="D2" s="11" t="s">
        <v>236</v>
      </c>
      <c r="E2" s="11" t="s">
        <v>236</v>
      </c>
      <c r="F2" s="11"/>
      <c r="G2" s="11" t="s">
        <v>237</v>
      </c>
      <c r="H2" s="11" t="s">
        <v>234</v>
      </c>
      <c r="N2" s="14" t="s">
        <v>360</v>
      </c>
      <c r="P2" s="14"/>
      <c r="Q2" s="14"/>
      <c r="R2" s="14"/>
      <c r="S2" s="14"/>
      <c r="T2" s="14"/>
      <c r="U2" s="14"/>
    </row>
    <row r="3" spans="1:22" x14ac:dyDescent="0.25">
      <c r="A3" t="s">
        <v>213</v>
      </c>
      <c r="B3" t="s">
        <v>214</v>
      </c>
      <c r="C3" s="11" t="s">
        <v>215</v>
      </c>
      <c r="D3" s="11" t="s">
        <v>230</v>
      </c>
      <c r="E3" s="11" t="s">
        <v>231</v>
      </c>
      <c r="F3" s="11" t="s">
        <v>233</v>
      </c>
      <c r="G3" s="11" t="s">
        <v>232</v>
      </c>
      <c r="H3" t="s">
        <v>228</v>
      </c>
      <c r="I3" t="s">
        <v>229</v>
      </c>
      <c r="J3" s="11" t="s">
        <v>245</v>
      </c>
      <c r="K3" s="11" t="s">
        <v>390</v>
      </c>
      <c r="L3" t="s">
        <v>358</v>
      </c>
      <c r="N3" s="14" t="s">
        <v>215</v>
      </c>
      <c r="O3" s="14"/>
      <c r="P3" s="14" t="s">
        <v>230</v>
      </c>
      <c r="Q3" s="14"/>
      <c r="R3" s="14" t="s">
        <v>231</v>
      </c>
      <c r="S3" s="14"/>
      <c r="T3" s="14" t="s">
        <v>380</v>
      </c>
      <c r="U3" s="14"/>
      <c r="V3" s="14"/>
    </row>
    <row r="4" spans="1:22" x14ac:dyDescent="0.25">
      <c r="A4" t="s">
        <v>216</v>
      </c>
      <c r="B4">
        <v>1</v>
      </c>
      <c r="C4" s="11" t="s">
        <v>238</v>
      </c>
      <c r="D4" s="11" t="s">
        <v>237</v>
      </c>
      <c r="E4" s="11" t="s">
        <v>237</v>
      </c>
      <c r="F4" s="11">
        <v>0</v>
      </c>
      <c r="G4" s="11" t="s">
        <v>237</v>
      </c>
      <c r="H4">
        <v>1</v>
      </c>
      <c r="I4" s="11" t="s">
        <v>251</v>
      </c>
      <c r="J4" s="11" t="s">
        <v>238</v>
      </c>
      <c r="K4">
        <f>ROUND(L4/AVERAGE(T4:U4), 0)</f>
        <v>575</v>
      </c>
      <c r="L4" s="5">
        <f>AVERAGE(H23:H24)</f>
        <v>4025</v>
      </c>
      <c r="N4" s="14">
        <v>2</v>
      </c>
      <c r="O4" s="14">
        <v>3</v>
      </c>
      <c r="P4" s="14">
        <v>0</v>
      </c>
      <c r="Q4" s="14">
        <v>2</v>
      </c>
      <c r="R4" s="14">
        <v>0</v>
      </c>
      <c r="S4" s="14">
        <v>2</v>
      </c>
      <c r="T4" s="14">
        <v>4</v>
      </c>
      <c r="U4" s="14">
        <v>10</v>
      </c>
      <c r="V4" s="14">
        <f>AVERAGE(T4:U4)</f>
        <v>7</v>
      </c>
    </row>
    <row r="5" spans="1:22" x14ac:dyDescent="0.25">
      <c r="A5" t="s">
        <v>219</v>
      </c>
      <c r="B5">
        <v>1</v>
      </c>
      <c r="C5" s="11" t="s">
        <v>235</v>
      </c>
      <c r="D5" s="11" t="s">
        <v>236</v>
      </c>
      <c r="E5" s="11" t="s">
        <v>237</v>
      </c>
      <c r="F5" s="11">
        <v>0</v>
      </c>
      <c r="G5" s="11" t="s">
        <v>237</v>
      </c>
      <c r="H5">
        <v>1</v>
      </c>
      <c r="I5" s="11" t="s">
        <v>246</v>
      </c>
      <c r="J5" s="11" t="s">
        <v>238</v>
      </c>
      <c r="K5">
        <f t="shared" ref="K5:K11" si="0">ROUND(L5/AVERAGE(T5:U5), -1)</f>
        <v>560</v>
      </c>
      <c r="L5" s="5">
        <f>AVERAGE(H22:H24)</f>
        <v>3333.3333333333335</v>
      </c>
      <c r="N5" s="14">
        <v>1</v>
      </c>
      <c r="O5" s="14">
        <v>3</v>
      </c>
      <c r="P5" s="14">
        <v>0</v>
      </c>
      <c r="Q5" s="14">
        <v>3</v>
      </c>
      <c r="R5" s="14">
        <v>0</v>
      </c>
      <c r="S5" s="14">
        <v>2</v>
      </c>
      <c r="T5" s="14">
        <v>4</v>
      </c>
      <c r="U5" s="14">
        <v>8</v>
      </c>
      <c r="V5" s="14">
        <f t="shared" ref="V5:V11" si="1">AVERAGE(T5:U5)</f>
        <v>6</v>
      </c>
    </row>
    <row r="6" spans="1:22" x14ac:dyDescent="0.25">
      <c r="A6" t="s">
        <v>217</v>
      </c>
      <c r="B6">
        <v>2</v>
      </c>
      <c r="C6" s="11" t="s">
        <v>235</v>
      </c>
      <c r="D6" s="11" t="s">
        <v>236</v>
      </c>
      <c r="E6" s="11" t="s">
        <v>237</v>
      </c>
      <c r="F6" s="11" t="s">
        <v>243</v>
      </c>
      <c r="G6" s="11" t="s">
        <v>240</v>
      </c>
      <c r="H6">
        <v>2</v>
      </c>
      <c r="I6" s="11" t="s">
        <v>251</v>
      </c>
      <c r="J6" s="11" t="s">
        <v>247</v>
      </c>
      <c r="K6">
        <f t="shared" si="0"/>
        <v>620</v>
      </c>
      <c r="L6" s="5">
        <f>AVERAGE(I22:I24)</f>
        <v>4333.333333333333</v>
      </c>
      <c r="N6" s="14">
        <v>1</v>
      </c>
      <c r="O6" s="14">
        <v>3</v>
      </c>
      <c r="P6" s="14">
        <v>0</v>
      </c>
      <c r="Q6" s="14">
        <v>3</v>
      </c>
      <c r="R6" s="14">
        <v>0</v>
      </c>
      <c r="S6" s="14">
        <v>2</v>
      </c>
      <c r="T6" s="14">
        <v>4</v>
      </c>
      <c r="U6" s="14">
        <v>10</v>
      </c>
      <c r="V6" s="14">
        <f t="shared" si="1"/>
        <v>7</v>
      </c>
    </row>
    <row r="7" spans="1:22" x14ac:dyDescent="0.25">
      <c r="A7" t="s">
        <v>221</v>
      </c>
      <c r="B7">
        <v>2</v>
      </c>
      <c r="C7" s="11" t="s">
        <v>235</v>
      </c>
      <c r="D7" s="11" t="s">
        <v>236</v>
      </c>
      <c r="E7" s="11" t="s">
        <v>237</v>
      </c>
      <c r="F7" s="11" t="s">
        <v>243</v>
      </c>
      <c r="G7" s="11" t="s">
        <v>240</v>
      </c>
      <c r="H7">
        <v>2</v>
      </c>
      <c r="I7" s="11" t="s">
        <v>249</v>
      </c>
      <c r="J7" s="11" t="s">
        <v>248</v>
      </c>
      <c r="K7">
        <f>ROUND(L7/AVERAGE(T7:U7), -1)</f>
        <v>620</v>
      </c>
      <c r="L7" s="5">
        <f>AVERAGE(I22:I24)</f>
        <v>4333.333333333333</v>
      </c>
      <c r="N7" s="14">
        <v>1</v>
      </c>
      <c r="O7" s="14">
        <v>3</v>
      </c>
      <c r="P7" s="14">
        <v>0</v>
      </c>
      <c r="Q7" s="14">
        <v>3</v>
      </c>
      <c r="R7" s="14">
        <v>0</v>
      </c>
      <c r="S7" s="14">
        <v>2</v>
      </c>
      <c r="T7" s="14">
        <v>6</v>
      </c>
      <c r="U7" s="14">
        <v>8</v>
      </c>
      <c r="V7" s="14">
        <f t="shared" si="1"/>
        <v>7</v>
      </c>
    </row>
    <row r="8" spans="1:22" x14ac:dyDescent="0.25">
      <c r="A8" t="s">
        <v>221</v>
      </c>
      <c r="B8">
        <v>3</v>
      </c>
      <c r="C8" s="11" t="s">
        <v>235</v>
      </c>
      <c r="D8" s="11" t="s">
        <v>236</v>
      </c>
      <c r="E8" s="11" t="s">
        <v>237</v>
      </c>
      <c r="F8" s="11" t="s">
        <v>243</v>
      </c>
      <c r="G8" s="11" t="s">
        <v>240</v>
      </c>
      <c r="H8">
        <v>3</v>
      </c>
      <c r="I8" s="11" t="s">
        <v>391</v>
      </c>
      <c r="J8" s="11" t="s">
        <v>248</v>
      </c>
      <c r="K8">
        <f t="shared" si="0"/>
        <v>730</v>
      </c>
      <c r="L8" s="5">
        <f>AVERAGE(J22:J24)</f>
        <v>5833.333333333333</v>
      </c>
      <c r="N8" s="14">
        <v>1</v>
      </c>
      <c r="O8" s="14">
        <v>3</v>
      </c>
      <c r="P8" s="14">
        <v>0</v>
      </c>
      <c r="Q8" s="14">
        <v>3</v>
      </c>
      <c r="R8" s="14">
        <v>0</v>
      </c>
      <c r="S8" s="14">
        <v>2</v>
      </c>
      <c r="T8" s="14">
        <v>6</v>
      </c>
      <c r="U8" s="14">
        <v>10</v>
      </c>
      <c r="V8" s="14">
        <f t="shared" si="1"/>
        <v>8</v>
      </c>
    </row>
    <row r="9" spans="1:22" x14ac:dyDescent="0.25">
      <c r="A9" t="s">
        <v>218</v>
      </c>
      <c r="B9">
        <v>3</v>
      </c>
      <c r="C9" s="11" t="s">
        <v>238</v>
      </c>
      <c r="D9" s="11" t="s">
        <v>236</v>
      </c>
      <c r="E9" s="11" t="s">
        <v>236</v>
      </c>
      <c r="F9" s="11" t="s">
        <v>243</v>
      </c>
      <c r="G9" s="11" t="s">
        <v>240</v>
      </c>
      <c r="H9">
        <v>3</v>
      </c>
      <c r="I9" s="11" t="s">
        <v>253</v>
      </c>
      <c r="J9" s="11" t="s">
        <v>249</v>
      </c>
      <c r="K9">
        <f t="shared" si="0"/>
        <v>730</v>
      </c>
      <c r="L9" s="5">
        <f>AVERAGE(J23:J24)</f>
        <v>6525</v>
      </c>
      <c r="N9" s="14">
        <v>2</v>
      </c>
      <c r="O9" s="14">
        <v>3</v>
      </c>
      <c r="P9" s="14">
        <v>0</v>
      </c>
      <c r="Q9" s="14">
        <v>3</v>
      </c>
      <c r="R9" s="14">
        <v>0</v>
      </c>
      <c r="S9" s="14">
        <v>3</v>
      </c>
      <c r="T9" s="14">
        <v>6</v>
      </c>
      <c r="U9" s="14">
        <v>12</v>
      </c>
      <c r="V9" s="14">
        <f t="shared" si="1"/>
        <v>9</v>
      </c>
    </row>
    <row r="10" spans="1:22" x14ac:dyDescent="0.25">
      <c r="A10" t="s">
        <v>222</v>
      </c>
      <c r="B10">
        <v>4</v>
      </c>
      <c r="C10" s="11" t="s">
        <v>238</v>
      </c>
      <c r="D10" s="11" t="s">
        <v>239</v>
      </c>
      <c r="E10" s="11" t="s">
        <v>241</v>
      </c>
      <c r="F10" s="11" t="s">
        <v>239</v>
      </c>
      <c r="G10" s="11" t="s">
        <v>244</v>
      </c>
      <c r="H10">
        <v>4</v>
      </c>
      <c r="I10" s="11" t="s">
        <v>252</v>
      </c>
      <c r="J10" s="11" t="s">
        <v>250</v>
      </c>
      <c r="K10">
        <f t="shared" si="0"/>
        <v>730</v>
      </c>
      <c r="L10" s="5">
        <f>AVERAGE(K23:K24)</f>
        <v>8025</v>
      </c>
      <c r="N10" s="14">
        <v>2</v>
      </c>
      <c r="O10" s="14">
        <v>3</v>
      </c>
      <c r="P10" s="14">
        <v>0</v>
      </c>
      <c r="Q10" s="14">
        <v>0</v>
      </c>
      <c r="R10" s="14">
        <v>3</v>
      </c>
      <c r="S10" s="14">
        <v>3</v>
      </c>
      <c r="T10" s="14">
        <v>8</v>
      </c>
      <c r="U10" s="14">
        <v>14</v>
      </c>
      <c r="V10" s="14">
        <f t="shared" si="1"/>
        <v>11</v>
      </c>
    </row>
    <row r="11" spans="1:22" x14ac:dyDescent="0.25">
      <c r="A11" t="s">
        <v>220</v>
      </c>
      <c r="B11">
        <v>4</v>
      </c>
      <c r="C11" s="11" t="s">
        <v>238</v>
      </c>
      <c r="D11" s="11" t="s">
        <v>238</v>
      </c>
      <c r="E11" s="11" t="s">
        <v>242</v>
      </c>
      <c r="F11" s="11" t="s">
        <v>243</v>
      </c>
      <c r="G11" s="11" t="s">
        <v>237</v>
      </c>
      <c r="H11">
        <v>4</v>
      </c>
      <c r="I11" s="11" t="s">
        <v>252</v>
      </c>
      <c r="J11" s="11" t="s">
        <v>250</v>
      </c>
      <c r="K11">
        <f t="shared" si="0"/>
        <v>730</v>
      </c>
      <c r="L11" s="5">
        <f>AVERAGE(K23:K24)</f>
        <v>8025</v>
      </c>
      <c r="N11" s="14">
        <v>2</v>
      </c>
      <c r="O11" s="14">
        <v>3</v>
      </c>
      <c r="P11" s="14">
        <v>2</v>
      </c>
      <c r="Q11" s="14">
        <v>3</v>
      </c>
      <c r="R11" s="14">
        <v>0</v>
      </c>
      <c r="S11" s="14">
        <v>1</v>
      </c>
      <c r="T11" s="14">
        <v>8</v>
      </c>
      <c r="U11" s="14">
        <v>14</v>
      </c>
      <c r="V11" s="14">
        <f t="shared" si="1"/>
        <v>11</v>
      </c>
    </row>
    <row r="12" spans="1:22" x14ac:dyDescent="0.25">
      <c r="A12" t="s">
        <v>131</v>
      </c>
      <c r="I12" s="13">
        <f>AVERAGE(V4:V11)</f>
        <v>8.25</v>
      </c>
      <c r="K12" t="s">
        <v>131</v>
      </c>
      <c r="L12" s="12">
        <f>AVERAGE(L4:L11)</f>
        <v>5554.1666666666661</v>
      </c>
      <c r="N12" s="14"/>
      <c r="O12" s="14"/>
      <c r="P12" s="14"/>
      <c r="Q12" s="14"/>
      <c r="R12" s="14"/>
      <c r="S12" s="14"/>
      <c r="T12" s="14"/>
      <c r="U12" s="14"/>
    </row>
    <row r="13" spans="1:22" x14ac:dyDescent="0.25">
      <c r="F13" s="10"/>
      <c r="N13" s="14"/>
      <c r="O13" s="14"/>
      <c r="P13" s="14"/>
      <c r="Q13" s="14"/>
      <c r="R13" s="14"/>
      <c r="S13" s="14"/>
      <c r="T13" s="14"/>
      <c r="U13" s="14"/>
    </row>
    <row r="14" spans="1:22" x14ac:dyDescent="0.25">
      <c r="B14" t="s">
        <v>131</v>
      </c>
      <c r="C14" s="11" t="s">
        <v>377</v>
      </c>
      <c r="D14" s="11" t="s">
        <v>378</v>
      </c>
      <c r="K14" t="s">
        <v>386</v>
      </c>
      <c r="L14" s="5">
        <f>AVERAGE(L4:L5)</f>
        <v>3679.166666666667</v>
      </c>
      <c r="N14" s="14"/>
      <c r="O14" s="14"/>
      <c r="P14" s="14"/>
      <c r="Q14" s="14"/>
      <c r="R14" s="14"/>
      <c r="S14" s="14"/>
      <c r="T14" s="14"/>
      <c r="U14" s="14"/>
    </row>
    <row r="15" spans="1:22" x14ac:dyDescent="0.25">
      <c r="A15" t="s">
        <v>200</v>
      </c>
      <c r="B15" s="5">
        <f>AVERAGE(C15:D15)</f>
        <v>1000</v>
      </c>
      <c r="C15">
        <v>800</v>
      </c>
      <c r="D15">
        <v>1200</v>
      </c>
      <c r="K15" t="s">
        <v>387</v>
      </c>
      <c r="L15" s="5">
        <f>AVERAGE(L6:L7)</f>
        <v>4333.333333333333</v>
      </c>
    </row>
    <row r="16" spans="1:22" x14ac:dyDescent="0.25">
      <c r="A16" t="s">
        <v>201</v>
      </c>
      <c r="B16" s="5">
        <f t="shared" ref="B16:B18" si="2">AVERAGE(C16:D16)</f>
        <v>2000</v>
      </c>
      <c r="C16">
        <v>1800</v>
      </c>
      <c r="D16">
        <v>2200</v>
      </c>
      <c r="K16" t="s">
        <v>388</v>
      </c>
      <c r="L16" s="5">
        <f>AVERAGE(L8:L9)</f>
        <v>6179.1666666666661</v>
      </c>
    </row>
    <row r="17" spans="1:21" x14ac:dyDescent="0.25">
      <c r="A17" t="s">
        <v>202</v>
      </c>
      <c r="B17" s="5">
        <f t="shared" si="2"/>
        <v>3500</v>
      </c>
      <c r="C17">
        <v>3000</v>
      </c>
      <c r="D17">
        <v>4000</v>
      </c>
      <c r="K17" t="s">
        <v>389</v>
      </c>
      <c r="L17" s="5">
        <f>AVERAGE(L4:L6, L9:L11)</f>
        <v>5711.1111111111122</v>
      </c>
    </row>
    <row r="18" spans="1:21" x14ac:dyDescent="0.25">
      <c r="A18" t="s">
        <v>226</v>
      </c>
      <c r="B18" s="5">
        <f t="shared" si="2"/>
        <v>5000</v>
      </c>
      <c r="C18">
        <v>4500</v>
      </c>
      <c r="D18">
        <v>5500</v>
      </c>
      <c r="Q18" t="s">
        <v>398</v>
      </c>
      <c r="R18" t="s">
        <v>400</v>
      </c>
      <c r="S18" t="s">
        <v>402</v>
      </c>
    </row>
    <row r="19" spans="1:21" x14ac:dyDescent="0.25">
      <c r="Q19">
        <f>ROUND(AVERAGE(Q21:Q44), -1)</f>
        <v>5320</v>
      </c>
      <c r="R19">
        <f>ROUND(AVERAGE(R21:R44), 2)</f>
        <v>7.97</v>
      </c>
      <c r="S19">
        <f>ROUND(AVERAGE(S21:S44), -1)</f>
        <v>700</v>
      </c>
    </row>
    <row r="20" spans="1:21" x14ac:dyDescent="0.25">
      <c r="A20" t="s">
        <v>203</v>
      </c>
      <c r="B20" s="5">
        <f>LOOT!J21</f>
        <v>950</v>
      </c>
      <c r="H20" t="s">
        <v>208</v>
      </c>
      <c r="P20" t="s">
        <v>406</v>
      </c>
      <c r="Q20" t="s">
        <v>397</v>
      </c>
      <c r="R20" s="11" t="s">
        <v>400</v>
      </c>
      <c r="S20" t="s">
        <v>401</v>
      </c>
      <c r="T20" t="s">
        <v>399</v>
      </c>
    </row>
    <row r="21" spans="1:21" x14ac:dyDescent="0.25">
      <c r="A21" t="s">
        <v>204</v>
      </c>
      <c r="B21" s="5">
        <f>LOOT!J22</f>
        <v>1990</v>
      </c>
      <c r="G21" s="7"/>
      <c r="H21" s="8" t="s">
        <v>210</v>
      </c>
      <c r="I21" s="8" t="s">
        <v>211</v>
      </c>
      <c r="J21" s="8" t="s">
        <v>212</v>
      </c>
      <c r="K21" s="9" t="s">
        <v>227</v>
      </c>
      <c r="P21">
        <v>1</v>
      </c>
      <c r="Q21">
        <v>5060</v>
      </c>
      <c r="R21">
        <v>7.75</v>
      </c>
      <c r="S21">
        <v>750</v>
      </c>
      <c r="T21">
        <f t="shared" ref="T21:T44" si="3">Q$19-Q21</f>
        <v>260</v>
      </c>
      <c r="U21">
        <f t="shared" ref="U21:U44" si="4">S$19-S21</f>
        <v>-50</v>
      </c>
    </row>
    <row r="22" spans="1:21" x14ac:dyDescent="0.25">
      <c r="A22" t="s">
        <v>205</v>
      </c>
      <c r="B22" s="5">
        <f>LOOT!J23</f>
        <v>4060</v>
      </c>
      <c r="F22" t="s">
        <v>209</v>
      </c>
      <c r="G22" s="6" t="s">
        <v>210</v>
      </c>
      <c r="H22" s="5">
        <f>B15+B20</f>
        <v>1950</v>
      </c>
      <c r="I22" s="5">
        <f>B16+B20</f>
        <v>2950</v>
      </c>
      <c r="J22" s="5">
        <f>B17+B20</f>
        <v>4450</v>
      </c>
      <c r="K22" s="5">
        <f>B18+B20</f>
        <v>5950</v>
      </c>
      <c r="P22">
        <v>2</v>
      </c>
      <c r="Q22">
        <v>3500</v>
      </c>
      <c r="R22">
        <v>7.5</v>
      </c>
      <c r="S22">
        <v>490</v>
      </c>
      <c r="T22">
        <f t="shared" si="3"/>
        <v>1820</v>
      </c>
      <c r="U22">
        <f t="shared" si="4"/>
        <v>210</v>
      </c>
    </row>
    <row r="23" spans="1:21" x14ac:dyDescent="0.25">
      <c r="G23" s="6" t="s">
        <v>211</v>
      </c>
      <c r="H23" s="5">
        <f>B15+B21</f>
        <v>2990</v>
      </c>
      <c r="I23" s="5">
        <f>B16+B21</f>
        <v>3990</v>
      </c>
      <c r="J23" s="5">
        <f>B17+B21</f>
        <v>5490</v>
      </c>
      <c r="K23" s="5">
        <f>B18+B21</f>
        <v>6990</v>
      </c>
      <c r="P23">
        <v>3</v>
      </c>
      <c r="Q23" s="4">
        <v>5870</v>
      </c>
      <c r="R23">
        <v>9.5</v>
      </c>
      <c r="S23" s="4">
        <v>610</v>
      </c>
      <c r="T23">
        <f t="shared" si="3"/>
        <v>-550</v>
      </c>
      <c r="U23">
        <f t="shared" si="4"/>
        <v>90</v>
      </c>
    </row>
    <row r="24" spans="1:21" x14ac:dyDescent="0.25">
      <c r="A24" t="s">
        <v>206</v>
      </c>
      <c r="B24" s="5">
        <v>500</v>
      </c>
      <c r="G24" s="6" t="s">
        <v>212</v>
      </c>
      <c r="H24" s="5">
        <f>B15+B22</f>
        <v>5060</v>
      </c>
      <c r="I24" s="5">
        <f>B16+B22</f>
        <v>6060</v>
      </c>
      <c r="J24" s="5">
        <f>B17+B22</f>
        <v>7560</v>
      </c>
      <c r="K24" s="5">
        <f>B18+B22</f>
        <v>9060</v>
      </c>
      <c r="P24">
        <v>4</v>
      </c>
      <c r="Q24" s="4">
        <v>5390</v>
      </c>
      <c r="R24">
        <v>5.75</v>
      </c>
      <c r="S24" s="4">
        <v>1080</v>
      </c>
      <c r="T24">
        <f t="shared" si="3"/>
        <v>-70</v>
      </c>
      <c r="U24">
        <f t="shared" si="4"/>
        <v>-380</v>
      </c>
    </row>
    <row r="25" spans="1:21" x14ac:dyDescent="0.25">
      <c r="A25" t="s">
        <v>207</v>
      </c>
      <c r="B25" s="5">
        <v>500</v>
      </c>
      <c r="D25" s="13"/>
      <c r="P25">
        <v>5</v>
      </c>
      <c r="Q25" s="4">
        <v>4610</v>
      </c>
      <c r="R25">
        <v>9</v>
      </c>
      <c r="S25" s="4">
        <v>540</v>
      </c>
      <c r="T25">
        <f t="shared" si="3"/>
        <v>710</v>
      </c>
      <c r="U25">
        <f t="shared" si="4"/>
        <v>160</v>
      </c>
    </row>
    <row r="26" spans="1:21" x14ac:dyDescent="0.25">
      <c r="D26" s="13"/>
      <c r="E26" s="13"/>
      <c r="P26">
        <v>6</v>
      </c>
      <c r="Q26" s="4">
        <v>6440</v>
      </c>
      <c r="R26">
        <v>8.75</v>
      </c>
      <c r="S26" s="4">
        <v>750</v>
      </c>
      <c r="T26">
        <f t="shared" si="3"/>
        <v>-1120</v>
      </c>
      <c r="U26">
        <f t="shared" si="4"/>
        <v>-50</v>
      </c>
    </row>
    <row r="27" spans="1:21" x14ac:dyDescent="0.25">
      <c r="A27" t="s">
        <v>361</v>
      </c>
      <c r="B27">
        <f>ROUND(30/I12, 0)</f>
        <v>4</v>
      </c>
      <c r="D27" s="13"/>
      <c r="E27" s="13"/>
      <c r="J27" s="11"/>
      <c r="P27">
        <v>7</v>
      </c>
      <c r="Q27" s="4">
        <v>5260</v>
      </c>
      <c r="R27">
        <v>7</v>
      </c>
      <c r="S27" s="4">
        <v>790</v>
      </c>
      <c r="T27">
        <f t="shared" si="3"/>
        <v>60</v>
      </c>
      <c r="U27">
        <f t="shared" si="4"/>
        <v>-90</v>
      </c>
    </row>
    <row r="28" spans="1:21" x14ac:dyDescent="0.25">
      <c r="A28" t="s">
        <v>370</v>
      </c>
      <c r="B28">
        <f>ROUND(B27*L12, -2)</f>
        <v>22200</v>
      </c>
      <c r="D28" s="13"/>
      <c r="E28" s="13"/>
      <c r="J28" s="11"/>
      <c r="P28">
        <v>8</v>
      </c>
      <c r="Q28" s="4">
        <v>4910</v>
      </c>
      <c r="R28">
        <v>6</v>
      </c>
      <c r="S28" s="4">
        <v>820</v>
      </c>
      <c r="T28">
        <f t="shared" si="3"/>
        <v>410</v>
      </c>
      <c r="U28">
        <f t="shared" si="4"/>
        <v>-120</v>
      </c>
    </row>
    <row r="29" spans="1:21" x14ac:dyDescent="0.25">
      <c r="D29" s="13"/>
      <c r="E29" s="13"/>
      <c r="J29" s="11"/>
      <c r="P29">
        <v>9</v>
      </c>
      <c r="Q29" s="4">
        <v>4320</v>
      </c>
      <c r="R29">
        <v>7.75</v>
      </c>
      <c r="S29" s="4">
        <v>590</v>
      </c>
      <c r="T29">
        <f t="shared" si="3"/>
        <v>1000</v>
      </c>
      <c r="U29">
        <f t="shared" si="4"/>
        <v>110</v>
      </c>
    </row>
    <row r="30" spans="1:21" x14ac:dyDescent="0.25">
      <c r="A30" t="s">
        <v>213</v>
      </c>
      <c r="B30" t="s">
        <v>379</v>
      </c>
      <c r="C30" t="s">
        <v>214</v>
      </c>
      <c r="D30" t="s">
        <v>392</v>
      </c>
      <c r="E30" s="11" t="s">
        <v>215</v>
      </c>
      <c r="F30" s="11" t="s">
        <v>230</v>
      </c>
      <c r="G30" s="11" t="s">
        <v>231</v>
      </c>
      <c r="H30" t="s">
        <v>229</v>
      </c>
      <c r="I30" s="11" t="s">
        <v>393</v>
      </c>
      <c r="K30" s="16" t="s">
        <v>395</v>
      </c>
      <c r="L30" s="14" t="s">
        <v>396</v>
      </c>
      <c r="M30" s="16" t="s">
        <v>394</v>
      </c>
      <c r="N30" s="16"/>
      <c r="O30" s="11"/>
      <c r="P30">
        <v>10</v>
      </c>
      <c r="Q30" s="4">
        <v>4930</v>
      </c>
      <c r="R30">
        <v>6.5</v>
      </c>
      <c r="S30" s="4">
        <v>830</v>
      </c>
      <c r="T30">
        <f t="shared" si="3"/>
        <v>390</v>
      </c>
      <c r="U30">
        <f t="shared" si="4"/>
        <v>-130</v>
      </c>
    </row>
    <row r="31" spans="1:21" x14ac:dyDescent="0.25">
      <c r="A31" t="s">
        <v>216</v>
      </c>
      <c r="B31" s="5">
        <f ca="1">SUM(C31,E31)</f>
        <v>2990</v>
      </c>
      <c r="C31" s="13">
        <f ca="1">ROUND(RANDBETWEEN(C15,D15), -2)</f>
        <v>1000</v>
      </c>
      <c r="D31">
        <f t="shared" ref="D31:D38" ca="1" si="5">RANDBETWEEN(N4,O4)</f>
        <v>2</v>
      </c>
      <c r="E31" s="5">
        <f ca="1">IF(D31=1,$B$20,IF(D31=2,$B$21,$B$22))</f>
        <v>1990</v>
      </c>
      <c r="F31" s="13">
        <f t="shared" ref="F31:F38" ca="1" si="6">RANDBETWEEN(P4,Q4)</f>
        <v>2</v>
      </c>
      <c r="G31" s="13">
        <f t="shared" ref="G31:G38" ca="1" si="7">RANDBETWEEN(R4,S4)</f>
        <v>2</v>
      </c>
      <c r="H31" s="13">
        <f t="shared" ref="H31:H38" ca="1" si="8">RANDBETWEEN(T4,U4)</f>
        <v>9</v>
      </c>
      <c r="I31" s="13">
        <f ca="1">ROUND(B31/H31, 0)</f>
        <v>332</v>
      </c>
      <c r="J31" s="13"/>
      <c r="K31" s="17">
        <f ca="1">RAND()</f>
        <v>0.87412128155228153</v>
      </c>
      <c r="L31" s="18">
        <f ca="1">RAND()</f>
        <v>0.13936294235164848</v>
      </c>
      <c r="M31" s="18">
        <f ca="1">MAX(K31:K32)</f>
        <v>0.87412128155228153</v>
      </c>
      <c r="O31" s="13"/>
      <c r="P31">
        <v>11</v>
      </c>
      <c r="Q31" s="4">
        <v>5670</v>
      </c>
      <c r="R31">
        <v>7.5</v>
      </c>
      <c r="S31" s="4">
        <v>750</v>
      </c>
      <c r="T31">
        <f t="shared" si="3"/>
        <v>-350</v>
      </c>
      <c r="U31">
        <f t="shared" si="4"/>
        <v>-50</v>
      </c>
    </row>
    <row r="32" spans="1:21" x14ac:dyDescent="0.25">
      <c r="A32" t="s">
        <v>219</v>
      </c>
      <c r="B32" s="5">
        <f t="shared" ref="B32:B37" ca="1" si="9">SUM(C32,E32)</f>
        <v>2790</v>
      </c>
      <c r="C32" s="13">
        <f ca="1">ROUND(RANDBETWEEN(C15,D15), -2)</f>
        <v>800</v>
      </c>
      <c r="D32">
        <f t="shared" ca="1" si="5"/>
        <v>2</v>
      </c>
      <c r="E32" s="5">
        <f t="shared" ref="E32:E38" ca="1" si="10">IF(D32=1,$B$20,IF(D32=2,$B$21,$B$22))</f>
        <v>1990</v>
      </c>
      <c r="F32" s="13">
        <f t="shared" ca="1" si="6"/>
        <v>0</v>
      </c>
      <c r="G32" s="13">
        <f t="shared" ca="1" si="7"/>
        <v>1</v>
      </c>
      <c r="H32" s="13">
        <f t="shared" ca="1" si="8"/>
        <v>7</v>
      </c>
      <c r="I32" s="13">
        <f t="shared" ref="I32:I38" ca="1" si="11">ROUND(B32/H32, 0)</f>
        <v>399</v>
      </c>
      <c r="J32" s="13"/>
      <c r="K32" s="17">
        <f t="shared" ref="K32:L38" ca="1" si="12">RAND()</f>
        <v>0.77424518776710283</v>
      </c>
      <c r="L32" s="18">
        <f t="shared" ca="1" si="12"/>
        <v>0.89599766377990597</v>
      </c>
      <c r="M32" s="18"/>
      <c r="N32" s="18"/>
      <c r="O32" s="13"/>
      <c r="P32">
        <v>12</v>
      </c>
      <c r="Q32" s="4">
        <v>4680</v>
      </c>
      <c r="R32">
        <v>7.75</v>
      </c>
      <c r="S32" s="4">
        <v>590</v>
      </c>
      <c r="T32">
        <f t="shared" si="3"/>
        <v>640</v>
      </c>
      <c r="U32">
        <f t="shared" si="4"/>
        <v>110</v>
      </c>
    </row>
    <row r="33" spans="1:21" x14ac:dyDescent="0.25">
      <c r="A33" t="s">
        <v>217</v>
      </c>
      <c r="B33" s="5">
        <f t="shared" ca="1" si="9"/>
        <v>3050</v>
      </c>
      <c r="C33" s="13">
        <f ca="1">ROUND(RANDBETWEEN(C16,D16), -2)</f>
        <v>2100</v>
      </c>
      <c r="D33">
        <f t="shared" ca="1" si="5"/>
        <v>1</v>
      </c>
      <c r="E33" s="5">
        <f t="shared" ca="1" si="10"/>
        <v>950</v>
      </c>
      <c r="F33" s="13">
        <f t="shared" ca="1" si="6"/>
        <v>2</v>
      </c>
      <c r="G33" s="13">
        <f t="shared" ca="1" si="7"/>
        <v>1</v>
      </c>
      <c r="H33" s="13">
        <f t="shared" ca="1" si="8"/>
        <v>4</v>
      </c>
      <c r="I33" s="13">
        <f t="shared" ca="1" si="11"/>
        <v>763</v>
      </c>
      <c r="J33" s="13"/>
      <c r="K33" s="17">
        <f t="shared" ca="1" si="12"/>
        <v>0.97531143748885341</v>
      </c>
      <c r="L33" s="18">
        <f t="shared" ca="1" si="12"/>
        <v>0.73625243421839592</v>
      </c>
      <c r="M33" s="18">
        <f ca="1">MAX(K33:K34)</f>
        <v>0.97531143748885341</v>
      </c>
      <c r="N33" s="18"/>
      <c r="O33" s="13"/>
      <c r="P33">
        <v>13</v>
      </c>
      <c r="Q33" s="4">
        <v>5930</v>
      </c>
      <c r="R33">
        <v>9.75</v>
      </c>
      <c r="S33" s="4">
        <v>630</v>
      </c>
      <c r="T33">
        <f t="shared" si="3"/>
        <v>-610</v>
      </c>
      <c r="U33">
        <f t="shared" si="4"/>
        <v>70</v>
      </c>
    </row>
    <row r="34" spans="1:21" x14ac:dyDescent="0.25">
      <c r="A34" t="s">
        <v>221</v>
      </c>
      <c r="B34" s="5">
        <f t="shared" ca="1" si="9"/>
        <v>2950</v>
      </c>
      <c r="C34" s="13">
        <f ca="1">ROUND(RANDBETWEEN(C16,D16), -2)</f>
        <v>2000</v>
      </c>
      <c r="D34">
        <f t="shared" ca="1" si="5"/>
        <v>1</v>
      </c>
      <c r="E34" s="5">
        <f t="shared" ca="1" si="10"/>
        <v>950</v>
      </c>
      <c r="F34" s="13">
        <f t="shared" ca="1" si="6"/>
        <v>0</v>
      </c>
      <c r="G34" s="13">
        <f t="shared" ca="1" si="7"/>
        <v>1</v>
      </c>
      <c r="H34" s="13">
        <f t="shared" ca="1" si="8"/>
        <v>6</v>
      </c>
      <c r="I34" s="13">
        <f t="shared" ca="1" si="11"/>
        <v>492</v>
      </c>
      <c r="J34" s="13"/>
      <c r="K34" s="17">
        <f t="shared" ca="1" si="12"/>
        <v>9.5559787848943922E-2</v>
      </c>
      <c r="L34" s="18"/>
      <c r="M34" s="18"/>
      <c r="N34" s="18"/>
      <c r="O34" s="13"/>
      <c r="P34">
        <v>14</v>
      </c>
      <c r="Q34" s="4">
        <v>5150</v>
      </c>
      <c r="R34">
        <v>8.75</v>
      </c>
      <c r="S34" s="4">
        <v>570</v>
      </c>
      <c r="T34">
        <f t="shared" si="3"/>
        <v>170</v>
      </c>
      <c r="U34">
        <f t="shared" si="4"/>
        <v>130</v>
      </c>
    </row>
    <row r="35" spans="1:21" x14ac:dyDescent="0.25">
      <c r="A35" t="s">
        <v>221</v>
      </c>
      <c r="B35" s="5">
        <f t="shared" ca="1" si="9"/>
        <v>4990</v>
      </c>
      <c r="C35" s="13">
        <f ca="1">ROUND(RANDBETWEEN(C17,D17), -2)</f>
        <v>3000</v>
      </c>
      <c r="D35">
        <f t="shared" ca="1" si="5"/>
        <v>2</v>
      </c>
      <c r="E35" s="5">
        <f t="shared" ca="1" si="10"/>
        <v>1990</v>
      </c>
      <c r="F35" s="13">
        <f t="shared" ca="1" si="6"/>
        <v>2</v>
      </c>
      <c r="G35" s="13">
        <f t="shared" ca="1" si="7"/>
        <v>2</v>
      </c>
      <c r="H35" s="13">
        <f t="shared" ca="1" si="8"/>
        <v>9</v>
      </c>
      <c r="I35" s="13">
        <f t="shared" ca="1" si="11"/>
        <v>554</v>
      </c>
      <c r="J35" s="13"/>
      <c r="K35" s="17">
        <f t="shared" ca="1" si="12"/>
        <v>0.47908902943158183</v>
      </c>
      <c r="L35" s="18"/>
      <c r="M35" s="18">
        <f ca="1">MAX(K35:K36)</f>
        <v>0.70541340939599062</v>
      </c>
      <c r="N35" s="18"/>
      <c r="O35" s="13"/>
      <c r="P35">
        <v>15</v>
      </c>
      <c r="Q35" s="4">
        <v>6520</v>
      </c>
      <c r="R35">
        <v>9.25</v>
      </c>
      <c r="S35" s="4">
        <v>720</v>
      </c>
      <c r="T35">
        <f t="shared" si="3"/>
        <v>-1200</v>
      </c>
      <c r="U35">
        <f t="shared" si="4"/>
        <v>-20</v>
      </c>
    </row>
    <row r="36" spans="1:21" x14ac:dyDescent="0.25">
      <c r="A36" t="s">
        <v>218</v>
      </c>
      <c r="B36" s="5">
        <f ca="1">SUM(C36,E36)</f>
        <v>8060</v>
      </c>
      <c r="C36" s="13">
        <f ca="1">ROUND(RANDBETWEEN(C17,D17), -2)</f>
        <v>4000</v>
      </c>
      <c r="D36">
        <f t="shared" ca="1" si="5"/>
        <v>3</v>
      </c>
      <c r="E36" s="5">
        <f t="shared" ca="1" si="10"/>
        <v>4060</v>
      </c>
      <c r="F36" s="13">
        <f t="shared" ca="1" si="6"/>
        <v>3</v>
      </c>
      <c r="G36" s="13">
        <f t="shared" ca="1" si="7"/>
        <v>3</v>
      </c>
      <c r="H36" s="13">
        <f t="shared" ca="1" si="8"/>
        <v>11</v>
      </c>
      <c r="I36" s="13">
        <f t="shared" ca="1" si="11"/>
        <v>733</v>
      </c>
      <c r="J36" s="13"/>
      <c r="K36" s="17">
        <f t="shared" ca="1" si="12"/>
        <v>0.70541340939599062</v>
      </c>
      <c r="L36" s="18">
        <f t="shared" ca="1" si="12"/>
        <v>0.62447698826119669</v>
      </c>
      <c r="M36" s="18"/>
      <c r="N36" s="18"/>
      <c r="O36" s="13"/>
      <c r="P36">
        <v>16</v>
      </c>
      <c r="Q36" s="4">
        <v>6370</v>
      </c>
      <c r="R36">
        <v>7.5</v>
      </c>
      <c r="S36" s="4">
        <v>870</v>
      </c>
      <c r="T36">
        <f t="shared" si="3"/>
        <v>-1050</v>
      </c>
      <c r="U36">
        <f t="shared" si="4"/>
        <v>-170</v>
      </c>
    </row>
    <row r="37" spans="1:21" x14ac:dyDescent="0.25">
      <c r="A37" t="s">
        <v>222</v>
      </c>
      <c r="B37" s="5">
        <f t="shared" ca="1" si="9"/>
        <v>7290</v>
      </c>
      <c r="C37" s="13">
        <f ca="1">ROUND(RANDBETWEEN(C18,D18), -2)</f>
        <v>5300</v>
      </c>
      <c r="D37">
        <f t="shared" ca="1" si="5"/>
        <v>2</v>
      </c>
      <c r="E37" s="5">
        <f t="shared" ca="1" si="10"/>
        <v>1990</v>
      </c>
      <c r="F37" s="13">
        <f t="shared" ca="1" si="6"/>
        <v>0</v>
      </c>
      <c r="G37" s="13">
        <f t="shared" ca="1" si="7"/>
        <v>3</v>
      </c>
      <c r="H37" s="13">
        <f t="shared" ca="1" si="8"/>
        <v>9</v>
      </c>
      <c r="I37" s="13">
        <f t="shared" ca="1" si="11"/>
        <v>810</v>
      </c>
      <c r="J37" s="13"/>
      <c r="K37" s="17">
        <f t="shared" ca="1" si="12"/>
        <v>0.5983133557995518</v>
      </c>
      <c r="L37" s="18">
        <f t="shared" ca="1" si="12"/>
        <v>0.42351650128308127</v>
      </c>
      <c r="M37" s="18">
        <f ca="1">MAX(L31:L38)</f>
        <v>0.89599766377990597</v>
      </c>
      <c r="N37" s="18"/>
      <c r="O37" s="13"/>
      <c r="P37">
        <v>17</v>
      </c>
      <c r="Q37" s="4">
        <v>5450</v>
      </c>
      <c r="R37">
        <v>7.75</v>
      </c>
      <c r="S37" s="4">
        <v>700</v>
      </c>
      <c r="T37">
        <f t="shared" si="3"/>
        <v>-130</v>
      </c>
      <c r="U37">
        <f t="shared" si="4"/>
        <v>0</v>
      </c>
    </row>
    <row r="38" spans="1:21" x14ac:dyDescent="0.25">
      <c r="A38" t="s">
        <v>220</v>
      </c>
      <c r="B38" s="5">
        <f ca="1">SUM(C38,E38)</f>
        <v>9260</v>
      </c>
      <c r="C38" s="13">
        <f ca="1">ROUND(RANDBETWEEN(C18,D18), -2)</f>
        <v>5200</v>
      </c>
      <c r="D38">
        <f t="shared" ca="1" si="5"/>
        <v>3</v>
      </c>
      <c r="E38" s="5">
        <f t="shared" ca="1" si="10"/>
        <v>4060</v>
      </c>
      <c r="F38" s="13">
        <f t="shared" ca="1" si="6"/>
        <v>2</v>
      </c>
      <c r="G38" s="13">
        <f t="shared" ca="1" si="7"/>
        <v>0</v>
      </c>
      <c r="H38" s="13">
        <f t="shared" ca="1" si="8"/>
        <v>14</v>
      </c>
      <c r="I38" s="13">
        <f t="shared" ca="1" si="11"/>
        <v>661</v>
      </c>
      <c r="J38" s="13"/>
      <c r="K38" s="17">
        <f t="shared" ca="1" si="12"/>
        <v>0.73288094763088729</v>
      </c>
      <c r="L38" s="18">
        <f t="shared" ca="1" si="12"/>
        <v>0.46084359565169597</v>
      </c>
      <c r="M38" s="18"/>
      <c r="N38" s="18"/>
      <c r="O38" s="13"/>
      <c r="P38">
        <v>18</v>
      </c>
      <c r="Q38" s="4">
        <v>5170</v>
      </c>
      <c r="R38">
        <v>7</v>
      </c>
      <c r="S38" s="4">
        <v>770</v>
      </c>
      <c r="T38">
        <f t="shared" si="3"/>
        <v>150</v>
      </c>
      <c r="U38">
        <f t="shared" si="4"/>
        <v>-70</v>
      </c>
    </row>
    <row r="39" spans="1:21" x14ac:dyDescent="0.25">
      <c r="A39" t="s">
        <v>131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>
        <v>19</v>
      </c>
      <c r="Q39" s="4">
        <v>6390</v>
      </c>
      <c r="R39">
        <v>8</v>
      </c>
      <c r="S39" s="4">
        <v>860</v>
      </c>
      <c r="T39">
        <f t="shared" si="3"/>
        <v>-1070</v>
      </c>
      <c r="U39">
        <f t="shared" si="4"/>
        <v>-160</v>
      </c>
    </row>
    <row r="40" spans="1:21" x14ac:dyDescent="0.25">
      <c r="C40" s="11"/>
      <c r="D40" s="13"/>
      <c r="E40" s="13"/>
      <c r="F40" s="11"/>
      <c r="G40" s="11"/>
      <c r="H40" s="13"/>
      <c r="I40" s="13"/>
      <c r="J40" s="13"/>
      <c r="K40" s="13"/>
      <c r="L40" s="13"/>
      <c r="M40" s="13"/>
      <c r="P40">
        <v>20</v>
      </c>
      <c r="Q40" s="4">
        <v>5000</v>
      </c>
      <c r="R40">
        <v>8.25</v>
      </c>
      <c r="S40" s="4">
        <v>580</v>
      </c>
      <c r="T40">
        <f t="shared" si="3"/>
        <v>320</v>
      </c>
      <c r="U40">
        <f t="shared" si="4"/>
        <v>120</v>
      </c>
    </row>
    <row r="41" spans="1:21" x14ac:dyDescent="0.25">
      <c r="A41" t="s">
        <v>373</v>
      </c>
      <c r="B41" t="s">
        <v>379</v>
      </c>
      <c r="C41" t="s">
        <v>214</v>
      </c>
      <c r="D41" t="s">
        <v>392</v>
      </c>
      <c r="E41" s="11" t="s">
        <v>215</v>
      </c>
      <c r="F41" s="11" t="s">
        <v>230</v>
      </c>
      <c r="G41" s="11" t="s">
        <v>231</v>
      </c>
      <c r="H41" t="s">
        <v>229</v>
      </c>
      <c r="I41" s="11" t="s">
        <v>393</v>
      </c>
      <c r="P41">
        <v>21</v>
      </c>
      <c r="Q41" s="4">
        <v>4680</v>
      </c>
      <c r="R41">
        <v>8.75</v>
      </c>
      <c r="S41" s="4">
        <v>560</v>
      </c>
      <c r="T41">
        <f t="shared" si="3"/>
        <v>640</v>
      </c>
      <c r="U41">
        <f t="shared" si="4"/>
        <v>140</v>
      </c>
    </row>
    <row r="42" spans="1:21" x14ac:dyDescent="0.25">
      <c r="A42" t="str">
        <f ca="1">INDEX($A$31:$L$38, MATCH($M$31, $K$31:$K$38, 0),1)</f>
        <v>Retrieve Cargo</v>
      </c>
      <c r="B42">
        <f ca="1">INDEX($A$31:$L$38, MATCH($M31, $K$31:$K$38, 0),2)</f>
        <v>2990</v>
      </c>
      <c r="C42">
        <f ca="1">INDEX($A$31:$L$38, MATCH($M31, $K$31:$K$38, 0),3)</f>
        <v>1000</v>
      </c>
      <c r="D42">
        <f ca="1">INDEX($A$31:$L$38, MATCH($M31, $K$31:$K$38, 0),4)</f>
        <v>2</v>
      </c>
      <c r="E42">
        <f ca="1">INDEX($A$31:$L$38, MATCH($M31, $K$31:$K$38, 0),5)</f>
        <v>1990</v>
      </c>
      <c r="F42">
        <f ca="1">INDEX($A$31:$L$38, MATCH($M31, $K$31:$K$38, 0),6)</f>
        <v>2</v>
      </c>
      <c r="G42">
        <f ca="1">INDEX($A$31:$L$38, MATCH($M31, $K$31:$K$38, 0),7)</f>
        <v>2</v>
      </c>
      <c r="H42">
        <f ca="1">INDEX($A$31:$L$38, MATCH($M31, $K$31:$K$38, 0),8)</f>
        <v>9</v>
      </c>
      <c r="I42">
        <f ca="1">INDEX($A$31:$L$38, MATCH($M31, $K$31:$K$38, 0),9)</f>
        <v>332</v>
      </c>
      <c r="P42">
        <v>22</v>
      </c>
      <c r="Q42" s="4">
        <v>6390</v>
      </c>
      <c r="R42">
        <v>9.5</v>
      </c>
      <c r="S42" s="4">
        <v>710</v>
      </c>
      <c r="T42">
        <f t="shared" si="3"/>
        <v>-1070</v>
      </c>
      <c r="U42">
        <f t="shared" si="4"/>
        <v>-10</v>
      </c>
    </row>
    <row r="43" spans="1:21" x14ac:dyDescent="0.25">
      <c r="A43" t="s">
        <v>374</v>
      </c>
      <c r="P43">
        <v>23</v>
      </c>
      <c r="Q43" s="4">
        <v>4930</v>
      </c>
      <c r="R43">
        <v>7.25</v>
      </c>
      <c r="S43" s="4">
        <v>700</v>
      </c>
      <c r="T43">
        <f t="shared" si="3"/>
        <v>390</v>
      </c>
      <c r="U43">
        <f t="shared" si="4"/>
        <v>0</v>
      </c>
    </row>
    <row r="44" spans="1:21" x14ac:dyDescent="0.25">
      <c r="A44" t="str">
        <f ca="1">INDEX($A$31:$L$38, MATCH($M33, $K$31:$K$38, 0),1)</f>
        <v>Retrieve Data</v>
      </c>
      <c r="B44">
        <f ca="1">INDEX($A$31:$L$38, MATCH($M33, $K$31:$K$38, 0),2)</f>
        <v>3050</v>
      </c>
      <c r="C44">
        <f ca="1">INDEX($A$31:$L$38, MATCH($M33, $K$31:$K$38, 0),3)</f>
        <v>2100</v>
      </c>
      <c r="D44">
        <f ca="1">INDEX($A$31:$L$38, MATCH($M33, $K$31:$K$38, 0),4)</f>
        <v>1</v>
      </c>
      <c r="E44">
        <f ca="1">INDEX($A$31:$L$38, MATCH($M33, $K$31:$K$38, 0),5)</f>
        <v>950</v>
      </c>
      <c r="F44">
        <f ca="1">INDEX($A$31:$L$38, MATCH($M33, $K$31:$K$38, 0),6)</f>
        <v>2</v>
      </c>
      <c r="G44">
        <f ca="1">INDEX($A$31:$L$38, MATCH($M33, $K$31:$K$38, 0),7)</f>
        <v>1</v>
      </c>
      <c r="H44">
        <f ca="1">INDEX($A$31:$L$38, MATCH($M33, $K$31:$K$38, 0),8)</f>
        <v>4</v>
      </c>
      <c r="I44">
        <f ca="1">INDEX($A$31:$L$38, MATCH($M33, $K$31:$K$38, 0),9)</f>
        <v>763</v>
      </c>
      <c r="P44">
        <v>24</v>
      </c>
      <c r="Q44" s="4">
        <v>4940</v>
      </c>
      <c r="R44">
        <v>8.75</v>
      </c>
      <c r="S44" s="4">
        <v>570</v>
      </c>
      <c r="T44">
        <f t="shared" si="3"/>
        <v>380</v>
      </c>
      <c r="U44">
        <f t="shared" si="4"/>
        <v>130</v>
      </c>
    </row>
    <row r="45" spans="1:21" x14ac:dyDescent="0.25">
      <c r="A45" t="s">
        <v>375</v>
      </c>
      <c r="Q45" s="13"/>
      <c r="R45" s="13"/>
    </row>
    <row r="46" spans="1:21" x14ac:dyDescent="0.25">
      <c r="A46" t="str">
        <f ca="1">INDEX($A$31:$L$38, MATCH($M35, $K$31:$K$38, 0),1)</f>
        <v>Retrieve Prototype</v>
      </c>
      <c r="B46">
        <f ca="1">INDEX($A$31:$L$38, MATCH($M35, $K$31:$K$38, 0),2)</f>
        <v>8060</v>
      </c>
      <c r="C46">
        <f ca="1">INDEX($A$31:$L$38, MATCH($M35, $K$31:$K$38, 0),3)</f>
        <v>4000</v>
      </c>
      <c r="D46">
        <f ca="1">INDEX($A$31:$L$38, MATCH($M35, $K$31:$K$38, 0),4)</f>
        <v>3</v>
      </c>
      <c r="E46">
        <f ca="1">INDEX($A$31:$L$38, MATCH($M35, $K$31:$K$38, 0),5)</f>
        <v>4060</v>
      </c>
      <c r="F46">
        <f ca="1">INDEX($A$31:$L$38, MATCH($M35, $K$31:$K$38, 0),6)</f>
        <v>3</v>
      </c>
      <c r="G46">
        <f ca="1">INDEX($A$31:$L$38, MATCH($M35, $K$31:$K$38, 0),7)</f>
        <v>3</v>
      </c>
      <c r="H46">
        <f ca="1">INDEX($A$31:$L$38, MATCH($M35, $K$31:$K$38, 0),8)</f>
        <v>11</v>
      </c>
      <c r="I46">
        <f ca="1">INDEX($A$31:$L$38, MATCH($M35, $K$31:$K$38, 0),9)</f>
        <v>733</v>
      </c>
      <c r="S46" t="s">
        <v>403</v>
      </c>
      <c r="T46">
        <f>MAX(T21:T44)</f>
        <v>1820</v>
      </c>
      <c r="U46">
        <f>MAX(U21:U44)</f>
        <v>210</v>
      </c>
    </row>
    <row r="47" spans="1:21" x14ac:dyDescent="0.25">
      <c r="A47" t="s">
        <v>376</v>
      </c>
      <c r="S47" t="s">
        <v>404</v>
      </c>
      <c r="T47">
        <f>MIN(T21:T44)</f>
        <v>-1200</v>
      </c>
      <c r="U47">
        <f>MIN(U21:U44)</f>
        <v>-380</v>
      </c>
    </row>
    <row r="48" spans="1:21" x14ac:dyDescent="0.25">
      <c r="A48" t="str">
        <f ca="1">INDEX($A$31:$L$38, MATCH($M37, $L$31:$L$38, 0),1)</f>
        <v>Derelict Vessel</v>
      </c>
      <c r="B48">
        <f ca="1">INDEX($A$31:$L$38, MATCH($M37, $L$31:$L$38, 0),2)</f>
        <v>2790</v>
      </c>
      <c r="C48">
        <f ca="1">INDEX($A$31:$L$38, MATCH($M37, $L$31:$L$38, 0),3)</f>
        <v>800</v>
      </c>
      <c r="D48">
        <f ca="1">INDEX($A$31:$L$38, MATCH($M37, $L$31:$L$38, 0),4)</f>
        <v>2</v>
      </c>
      <c r="E48">
        <f ca="1">INDEX($A$31:$L$38, MATCH($M37, $L$31:$L$38, 0),5)</f>
        <v>1990</v>
      </c>
      <c r="F48">
        <f ca="1">INDEX($A$31:$L$38, MATCH($M37, $L$31:$L$38, 0),6)</f>
        <v>0</v>
      </c>
      <c r="G48">
        <f ca="1">INDEX($A$31:$L$38, MATCH($M37, $L$31:$L$38, 0),7)</f>
        <v>1</v>
      </c>
      <c r="H48">
        <f ca="1">INDEX($A$31:$L$38, MATCH($M37, $L$31:$L$38, 0),8)</f>
        <v>7</v>
      </c>
      <c r="I48">
        <f ca="1">INDEX($A$31:$L$38, MATCH($M37, $L$31:$L$38, 0),9)</f>
        <v>399</v>
      </c>
      <c r="S48" t="s">
        <v>405</v>
      </c>
      <c r="T48">
        <f>ROUND(T46/Q19, 2)</f>
        <v>0.34</v>
      </c>
      <c r="U48">
        <f>ROUND(U46/S19, 2)</f>
        <v>0.3</v>
      </c>
    </row>
    <row r="49" spans="1:21" x14ac:dyDescent="0.25">
      <c r="S49" t="s">
        <v>405</v>
      </c>
      <c r="T49">
        <f>ROUND(-T47/Q19, 2)</f>
        <v>0.23</v>
      </c>
      <c r="U49">
        <f>ROUND(-U47/S19, 2)</f>
        <v>0.54</v>
      </c>
    </row>
    <row r="50" spans="1:21" x14ac:dyDescent="0.25">
      <c r="A50" t="s">
        <v>131</v>
      </c>
      <c r="B50">
        <f ca="1">ROUND(AVERAGE(B42:B48), -1)</f>
        <v>4220</v>
      </c>
      <c r="G50">
        <f ca="1">ROUND(AVERAGE(B42:B48), -1)</f>
        <v>4220</v>
      </c>
      <c r="H50">
        <f ca="1">AVERAGE(H42:H48)</f>
        <v>7.75</v>
      </c>
      <c r="I50">
        <f ca="1">ROUND(AVERAGE(I42:I48), -1)</f>
        <v>560</v>
      </c>
    </row>
    <row r="51" spans="1:21" x14ac:dyDescent="0.25">
      <c r="A51" t="s">
        <v>404</v>
      </c>
      <c r="B51">
        <f ca="1">MIN(B42:B48)</f>
        <v>2790</v>
      </c>
    </row>
    <row r="52" spans="1:21" x14ac:dyDescent="0.25">
      <c r="A52" s="13" t="s">
        <v>403</v>
      </c>
      <c r="B52" s="13">
        <f ca="1">MAX(B42:B48)</f>
        <v>8060</v>
      </c>
    </row>
    <row r="53" spans="1:21" x14ac:dyDescent="0.25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5" spans="1:2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60" spans="1:21" x14ac:dyDescent="0.25">
      <c r="A60" t="s">
        <v>368</v>
      </c>
      <c r="B60" s="11">
        <f>C60*1000</f>
        <v>40000</v>
      </c>
      <c r="C60" s="11">
        <v>40</v>
      </c>
      <c r="D60" s="13"/>
      <c r="E60" s="13"/>
      <c r="F60" s="11"/>
      <c r="G60" s="11"/>
      <c r="H60" s="13"/>
      <c r="I60" s="13"/>
      <c r="J60" s="13"/>
      <c r="K60" s="13"/>
      <c r="L60" s="13"/>
      <c r="M60" s="13"/>
    </row>
    <row r="61" spans="1:21" x14ac:dyDescent="0.25">
      <c r="C61" s="11"/>
      <c r="D61" s="13"/>
      <c r="E61" s="13"/>
      <c r="F61" s="11"/>
      <c r="G61" s="11"/>
      <c r="H61" s="13"/>
      <c r="I61" s="13"/>
      <c r="J61" s="13"/>
      <c r="K61" s="13"/>
      <c r="L61" s="13"/>
      <c r="M61" s="13"/>
      <c r="R61" s="4"/>
    </row>
    <row r="62" spans="1:21" x14ac:dyDescent="0.25">
      <c r="B62" t="s">
        <v>369</v>
      </c>
      <c r="C62" t="s">
        <v>372</v>
      </c>
      <c r="E62" t="s">
        <v>359</v>
      </c>
      <c r="F62" t="s">
        <v>362</v>
      </c>
      <c r="G62" s="13" t="s">
        <v>363</v>
      </c>
      <c r="H62" s="13" t="s">
        <v>139</v>
      </c>
      <c r="I62" s="13"/>
      <c r="J62" s="13" t="s">
        <v>359</v>
      </c>
      <c r="K62" s="13" t="s">
        <v>362</v>
      </c>
      <c r="L62" s="13" t="s">
        <v>363</v>
      </c>
      <c r="M62" s="13" t="s">
        <v>139</v>
      </c>
      <c r="N62" s="13"/>
      <c r="O62" s="13" t="s">
        <v>359</v>
      </c>
      <c r="P62" s="13" t="s">
        <v>362</v>
      </c>
      <c r="Q62" s="13" t="s">
        <v>363</v>
      </c>
      <c r="R62" s="13" t="s">
        <v>139</v>
      </c>
    </row>
    <row r="63" spans="1:21" x14ac:dyDescent="0.25">
      <c r="A63" t="s">
        <v>364</v>
      </c>
      <c r="B63" s="5">
        <f>H63+M63+R63-C63</f>
        <v>8000</v>
      </c>
      <c r="C63">
        <v>20000</v>
      </c>
      <c r="E63" s="5">
        <f>B60</f>
        <v>40000</v>
      </c>
      <c r="F63" s="5">
        <v>10000</v>
      </c>
      <c r="G63" s="13">
        <f>E63*0.2</f>
        <v>8000</v>
      </c>
      <c r="H63" s="5">
        <f>SUM(F63:G63)</f>
        <v>18000</v>
      </c>
      <c r="I63" s="13"/>
      <c r="J63" s="5">
        <v>20000</v>
      </c>
      <c r="K63" s="13">
        <v>5000</v>
      </c>
      <c r="L63" s="13">
        <f>0.25*J63</f>
        <v>5000</v>
      </c>
      <c r="M63" s="13">
        <f>SUM(K63:L63)</f>
        <v>10000</v>
      </c>
      <c r="N63" s="13"/>
      <c r="O63" s="5">
        <v>0</v>
      </c>
      <c r="P63" s="13">
        <v>0</v>
      </c>
      <c r="Q63" s="13">
        <v>0</v>
      </c>
      <c r="R63" s="13">
        <f>SUM(P63:Q63)</f>
        <v>0</v>
      </c>
    </row>
    <row r="64" spans="1:21" x14ac:dyDescent="0.25">
      <c r="A64" t="s">
        <v>365</v>
      </c>
      <c r="B64" s="5">
        <f>H64+M64+R64-C64</f>
        <v>20250</v>
      </c>
      <c r="C64">
        <v>10000</v>
      </c>
      <c r="E64" s="5">
        <f>E63-F63</f>
        <v>30000</v>
      </c>
      <c r="F64" s="5">
        <v>10000</v>
      </c>
      <c r="G64" s="13">
        <f t="shared" ref="G64:G66" si="13">E64*0.2</f>
        <v>6000</v>
      </c>
      <c r="H64" s="5">
        <f t="shared" ref="H64:H65" si="14">SUM(F64:G64)</f>
        <v>16000</v>
      </c>
      <c r="I64" s="13"/>
      <c r="J64" s="5">
        <f>J63-K63</f>
        <v>15000</v>
      </c>
      <c r="K64" s="13">
        <v>5000</v>
      </c>
      <c r="L64" s="13">
        <f t="shared" ref="L64:L67" si="15">0.25*J64</f>
        <v>3750</v>
      </c>
      <c r="M64" s="13">
        <f t="shared" ref="M64:M67" si="16">SUM(K64:L64)</f>
        <v>8750</v>
      </c>
      <c r="N64" s="13"/>
      <c r="O64" s="5">
        <v>10000</v>
      </c>
      <c r="P64" s="13">
        <v>2500</v>
      </c>
      <c r="Q64" s="13">
        <f>0.3*O64</f>
        <v>3000</v>
      </c>
      <c r="R64" s="13">
        <f t="shared" ref="R64:R67" si="17">SUM(P64:Q64)</f>
        <v>5500</v>
      </c>
    </row>
    <row r="65" spans="1:18" x14ac:dyDescent="0.25">
      <c r="A65" t="s">
        <v>366</v>
      </c>
      <c r="B65" s="5">
        <f t="shared" ref="B65:B67" si="18">H65+M65+R65-C65</f>
        <v>26250</v>
      </c>
      <c r="E65" s="5">
        <f>E64-F64</f>
        <v>20000</v>
      </c>
      <c r="F65" s="5">
        <v>10000</v>
      </c>
      <c r="G65" s="13">
        <f t="shared" si="13"/>
        <v>4000</v>
      </c>
      <c r="H65" s="5">
        <f t="shared" si="14"/>
        <v>14000</v>
      </c>
      <c r="I65" s="13"/>
      <c r="J65" s="5">
        <f t="shared" ref="J65:J67" si="19">J64-K64</f>
        <v>10000</v>
      </c>
      <c r="K65" s="13">
        <v>5000</v>
      </c>
      <c r="L65" s="13">
        <f t="shared" si="15"/>
        <v>2500</v>
      </c>
      <c r="M65" s="13">
        <f t="shared" si="16"/>
        <v>7500</v>
      </c>
      <c r="N65" s="13"/>
      <c r="O65" s="5">
        <f t="shared" ref="O65:O67" si="20">O64-P64</f>
        <v>7500</v>
      </c>
      <c r="P65" s="13">
        <v>2500</v>
      </c>
      <c r="Q65" s="13">
        <f t="shared" ref="Q65:Q67" si="21">0.3*O65</f>
        <v>2250</v>
      </c>
      <c r="R65" s="13">
        <f t="shared" si="17"/>
        <v>4750</v>
      </c>
    </row>
    <row r="66" spans="1:18" x14ac:dyDescent="0.25">
      <c r="A66" t="s">
        <v>367</v>
      </c>
      <c r="B66" s="5">
        <f t="shared" si="18"/>
        <v>22250</v>
      </c>
      <c r="E66" s="5">
        <f>E65-F65</f>
        <v>10000</v>
      </c>
      <c r="F66" s="5">
        <v>10000</v>
      </c>
      <c r="G66" s="13">
        <f t="shared" si="13"/>
        <v>2000</v>
      </c>
      <c r="H66" s="5">
        <f t="shared" ref="H66" si="22">SUM(F66:G66)</f>
        <v>12000</v>
      </c>
      <c r="I66" s="13"/>
      <c r="J66" s="5">
        <f t="shared" si="19"/>
        <v>5000</v>
      </c>
      <c r="K66" s="13">
        <v>5000</v>
      </c>
      <c r="L66" s="13">
        <f t="shared" si="15"/>
        <v>1250</v>
      </c>
      <c r="M66" s="13">
        <f t="shared" si="16"/>
        <v>6250</v>
      </c>
      <c r="N66" s="13"/>
      <c r="O66" s="5">
        <f t="shared" si="20"/>
        <v>5000</v>
      </c>
      <c r="P66" s="13">
        <v>2500</v>
      </c>
      <c r="Q66" s="13">
        <f t="shared" si="21"/>
        <v>1500</v>
      </c>
      <c r="R66" s="13">
        <f t="shared" si="17"/>
        <v>4000</v>
      </c>
    </row>
    <row r="67" spans="1:18" x14ac:dyDescent="0.25">
      <c r="A67" t="s">
        <v>371</v>
      </c>
      <c r="B67" s="5">
        <f t="shared" si="18"/>
        <v>3250</v>
      </c>
      <c r="C67" s="11"/>
      <c r="E67" s="5">
        <f>E66-F66</f>
        <v>0</v>
      </c>
      <c r="F67" s="5">
        <v>0</v>
      </c>
      <c r="G67" s="13">
        <f t="shared" ref="G67" si="23">E67*0.2</f>
        <v>0</v>
      </c>
      <c r="H67" s="5">
        <f t="shared" ref="H67" si="24">SUM(F67:G67)</f>
        <v>0</v>
      </c>
      <c r="I67" s="13"/>
      <c r="J67" s="5">
        <f t="shared" si="19"/>
        <v>0</v>
      </c>
      <c r="K67" s="13">
        <v>0</v>
      </c>
      <c r="L67" s="13">
        <f t="shared" si="15"/>
        <v>0</v>
      </c>
      <c r="M67" s="13">
        <f t="shared" si="16"/>
        <v>0</v>
      </c>
      <c r="N67" s="13"/>
      <c r="O67" s="5">
        <f t="shared" si="20"/>
        <v>2500</v>
      </c>
      <c r="P67" s="13">
        <v>2500</v>
      </c>
      <c r="Q67" s="13">
        <f t="shared" si="21"/>
        <v>750</v>
      </c>
      <c r="R67" s="13">
        <f t="shared" si="17"/>
        <v>3250</v>
      </c>
    </row>
    <row r="68" spans="1:18" x14ac:dyDescent="0.25">
      <c r="C68" s="11"/>
      <c r="E68" s="13"/>
      <c r="F68" s="13"/>
      <c r="G68" s="11"/>
      <c r="H68" s="11"/>
      <c r="I68" s="13"/>
      <c r="J68" s="13"/>
      <c r="K68" s="13"/>
      <c r="L68" s="13"/>
      <c r="M68" s="13"/>
      <c r="N68" s="13"/>
      <c r="O68" s="5">
        <f t="shared" ref="O68" si="25">O67-P67</f>
        <v>0</v>
      </c>
      <c r="P68" s="13">
        <v>0</v>
      </c>
      <c r="Q68" s="13">
        <f t="shared" ref="Q68" si="26">0.25*O68</f>
        <v>0</v>
      </c>
      <c r="R68" s="13">
        <f t="shared" ref="R68" si="27">SUM(P68:Q68)</f>
        <v>0</v>
      </c>
    </row>
    <row r="69" spans="1:18" x14ac:dyDescent="0.25">
      <c r="Q69" s="13"/>
    </row>
    <row r="70" spans="1: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</sheetData>
  <conditionalFormatting sqref="H22:J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K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D39 C5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11 C1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11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{AF13B116-63F1-4A73-8D44-10AECEC95E8E}</x14:id>
        </ext>
      </extLst>
    </cfRule>
  </conditionalFormatting>
  <conditionalFormatting sqref="I31:I3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{67906953-6FBB-46C3-9426-9623A31B5ABF}</x14:id>
        </ext>
      </extLst>
    </cfRule>
  </conditionalFormatting>
  <conditionalFormatting sqref="B31:B3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{4894C36E-DA08-4DDF-A15F-E3DC2EA9839B}</x14:id>
        </ext>
      </extLst>
    </cfRule>
  </conditionalFormatting>
  <conditionalFormatting sqref="K31:K32">
    <cfRule type="top10" dxfId="3" priority="13" rank="1"/>
  </conditionalFormatting>
  <conditionalFormatting sqref="L31:L38">
    <cfRule type="top10" dxfId="2" priority="12" rank="1"/>
  </conditionalFormatting>
  <conditionalFormatting sqref="K33:K34">
    <cfRule type="top10" dxfId="1" priority="11" rank="1"/>
  </conditionalFormatting>
  <conditionalFormatting sqref="K35:K36">
    <cfRule type="top10" dxfId="0" priority="10" rank="1"/>
  </conditionalFormatting>
  <conditionalFormatting sqref="B31:B4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{ED3527A4-55C2-4F85-89E6-A3D5FC27B677}</x14:id>
        </ext>
      </extLst>
    </cfRule>
  </conditionalFormatting>
  <conditionalFormatting sqref="I31:I4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{B217FA29-E2E2-4DA1-8064-626902B6E337}</x14:id>
        </ext>
      </extLst>
    </cfRule>
  </conditionalFormatting>
  <conditionalFormatting sqref="E31:E4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{6C8F97DB-6CC7-4C98-9C40-0570BDB7F616}</x14:id>
        </ext>
      </extLst>
    </cfRule>
  </conditionalFormatting>
  <conditionalFormatting sqref="C31:C4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{7A35A63C-0D8D-4F9E-8998-1BD477708C5E}</x14:id>
        </ext>
      </extLst>
    </cfRule>
  </conditionalFormatting>
  <conditionalFormatting sqref="T21:T44 T46:U4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{BED13393-2894-45C3-BEBA-2C7C138C3251}</x14:id>
        </ext>
      </extLst>
    </cfRule>
  </conditionalFormatting>
  <conditionalFormatting sqref="Q21:Q4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{98864D61-C72E-4D5A-B5EA-2097BD84B5C3}</x14:id>
        </ext>
      </extLst>
    </cfRule>
  </conditionalFormatting>
  <conditionalFormatting sqref="U21:U4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{FEC894EB-41F1-416A-9311-2C6F760D5A75}</x14:id>
        </ext>
      </extLst>
    </cfRule>
  </conditionalFormatting>
  <conditionalFormatting sqref="S21:S4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{E8C773CA-F9A0-4D33-9640-0BC3B1F780BE}</x14:id>
        </ext>
      </extLst>
    </cfRule>
  </conditionalFormatting>
  <conditionalFormatting sqref="T21:T47 U46:U4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{15ACA067-9853-4B28-B9C8-98A89A1B2027}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5" r:id="rId4" name="Scroll Bar 1">
              <controlPr defaultSize="0" autoPict="0">
                <anchor moveWithCells="1">
                  <from>
                    <xdr:col>2</xdr:col>
                    <xdr:colOff>0</xdr:colOff>
                    <xdr:row>59</xdr:row>
                    <xdr:rowOff>0</xdr:rowOff>
                  </from>
                  <to>
                    <xdr:col>3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13B116-63F1-4A73-8D44-10AECEC95E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K4:K11</xm:sqref>
        </x14:conditionalFormatting>
        <x14:conditionalFormatting xmlns:xm="http://schemas.microsoft.com/office/excel/2006/main">
          <x14:cfRule type="dataBar" id="{67906953-6FBB-46C3-9426-9623A31B5A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I31:I38</xm:sqref>
        </x14:conditionalFormatting>
        <x14:conditionalFormatting xmlns:xm="http://schemas.microsoft.com/office/excel/2006/main">
          <x14:cfRule type="dataBar" id="{4894C36E-DA08-4DDF-A15F-E3DC2EA983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B31:B38</xm:sqref>
        </x14:conditionalFormatting>
        <x14:conditionalFormatting xmlns:xm="http://schemas.microsoft.com/office/excel/2006/main">
          <x14:cfRule type="dataBar" id="{ED3527A4-55C2-4F85-89E6-A3D5FC27B6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B31:B48</xm:sqref>
        </x14:conditionalFormatting>
        <x14:conditionalFormatting xmlns:xm="http://schemas.microsoft.com/office/excel/2006/main">
          <x14:cfRule type="dataBar" id="{B217FA29-E2E2-4DA1-8064-626902B6E3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I31:I48</xm:sqref>
        </x14:conditionalFormatting>
        <x14:conditionalFormatting xmlns:xm="http://schemas.microsoft.com/office/excel/2006/main">
          <x14:cfRule type="dataBar" id="{6C8F97DB-6CC7-4C98-9C40-0570BDB7F6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E31:E48</xm:sqref>
        </x14:conditionalFormatting>
        <x14:conditionalFormatting xmlns:xm="http://schemas.microsoft.com/office/excel/2006/main">
          <x14:cfRule type="dataBar" id="{7A35A63C-0D8D-4F9E-8998-1BD477708C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C31:C48</xm:sqref>
        </x14:conditionalFormatting>
        <x14:conditionalFormatting xmlns:xm="http://schemas.microsoft.com/office/excel/2006/main">
          <x14:cfRule type="dataBar" id="{BED13393-2894-45C3-BEBA-2C7C138C3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T21:T44 T46:U46</xm:sqref>
        </x14:conditionalFormatting>
        <x14:conditionalFormatting xmlns:xm="http://schemas.microsoft.com/office/excel/2006/main">
          <x14:cfRule type="dataBar" id="{98864D61-C72E-4D5A-B5EA-2097BD84B5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Q21:Q44</xm:sqref>
        </x14:conditionalFormatting>
        <x14:conditionalFormatting xmlns:xm="http://schemas.microsoft.com/office/excel/2006/main">
          <x14:cfRule type="dataBar" id="{FEC894EB-41F1-416A-9311-2C6F760D5A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U21:U44</xm:sqref>
        </x14:conditionalFormatting>
        <x14:conditionalFormatting xmlns:xm="http://schemas.microsoft.com/office/excel/2006/main">
          <x14:cfRule type="dataBar" id="{E8C773CA-F9A0-4D33-9640-0BC3B1F78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S21:S44</xm:sqref>
        </x14:conditionalFormatting>
        <x14:conditionalFormatting xmlns:xm="http://schemas.microsoft.com/office/excel/2006/main">
          <x14:cfRule type="dataBar" id="{15ACA067-9853-4B28-B9C8-98A89A1B20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T21:T47 U46:U47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1"/>
  <sheetViews>
    <sheetView workbookViewId="0">
      <selection activeCell="N21" sqref="N21"/>
    </sheetView>
  </sheetViews>
  <sheetFormatPr defaultColWidth="15.7109375" defaultRowHeight="15" x14ac:dyDescent="0.25"/>
  <cols>
    <col min="10" max="19" width="11.28515625" customWidth="1"/>
  </cols>
  <sheetData>
    <row r="2" spans="1:19" x14ac:dyDescent="0.25">
      <c r="A2" t="s">
        <v>215</v>
      </c>
      <c r="H2" t="s">
        <v>77</v>
      </c>
    </row>
    <row r="3" spans="1:19" x14ac:dyDescent="0.25">
      <c r="E3" t="s">
        <v>381</v>
      </c>
      <c r="F3" t="s">
        <v>381</v>
      </c>
      <c r="H3">
        <v>0</v>
      </c>
    </row>
    <row r="4" spans="1:19" x14ac:dyDescent="0.25">
      <c r="A4" t="s">
        <v>223</v>
      </c>
      <c r="B4" t="s">
        <v>271</v>
      </c>
      <c r="C4" t="s">
        <v>269</v>
      </c>
      <c r="D4" t="s">
        <v>270</v>
      </c>
      <c r="E4" t="s">
        <v>269</v>
      </c>
      <c r="F4" t="s">
        <v>270</v>
      </c>
      <c r="H4" t="s">
        <v>78</v>
      </c>
      <c r="I4" s="7" t="s">
        <v>223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8">
        <v>7</v>
      </c>
      <c r="Q4" s="8">
        <v>8</v>
      </c>
      <c r="R4" s="8">
        <v>9</v>
      </c>
      <c r="S4" s="8">
        <v>10</v>
      </c>
    </row>
    <row r="5" spans="1:19" x14ac:dyDescent="0.25">
      <c r="A5" t="s">
        <v>290</v>
      </c>
      <c r="B5" t="s">
        <v>272</v>
      </c>
      <c r="C5">
        <f>E5*10</f>
        <v>100</v>
      </c>
      <c r="D5">
        <f>F5*10</f>
        <v>2200</v>
      </c>
      <c r="E5">
        <v>10</v>
      </c>
      <c r="F5">
        <v>220</v>
      </c>
      <c r="H5">
        <f>C5+((D5-C5)*$H$3)</f>
        <v>100</v>
      </c>
      <c r="I5" s="6" t="s">
        <v>290</v>
      </c>
      <c r="J5">
        <f>ROUND((((1-((J$4-1)/($S$4-1)))^2)*$C5)+(2*(1-((J$4-1)/($S$4-1)))*((J$4-1)/($S$4-1))*$H5)+((((J$4-1)/($S$4-1))^2)*$D5),-1)</f>
        <v>100</v>
      </c>
      <c r="K5">
        <f t="shared" ref="K5:S5" si="0">ROUND((((1-((K$4-1)/($S$4-1)))^2)*$C5)+(2*(1-((K$4-1)/($S$4-1)))*((K$4-1)/($S$4-1))*$H5)+((((K$4-1)/($S$4-1))^2)*$D5),-1)</f>
        <v>130</v>
      </c>
      <c r="L5">
        <f t="shared" si="0"/>
        <v>200</v>
      </c>
      <c r="M5">
        <f t="shared" si="0"/>
        <v>330</v>
      </c>
      <c r="N5">
        <f t="shared" si="0"/>
        <v>510</v>
      </c>
      <c r="O5">
        <f t="shared" si="0"/>
        <v>750</v>
      </c>
      <c r="P5">
        <f t="shared" si="0"/>
        <v>1030</v>
      </c>
      <c r="Q5">
        <f t="shared" si="0"/>
        <v>1370</v>
      </c>
      <c r="R5">
        <f t="shared" si="0"/>
        <v>1760</v>
      </c>
      <c r="S5">
        <f t="shared" si="0"/>
        <v>2200</v>
      </c>
    </row>
    <row r="6" spans="1:19" x14ac:dyDescent="0.25">
      <c r="A6" t="s">
        <v>260</v>
      </c>
      <c r="B6" t="s">
        <v>272</v>
      </c>
      <c r="C6">
        <f t="shared" ref="C6:C17" si="1">E6*10</f>
        <v>500</v>
      </c>
      <c r="D6">
        <f t="shared" ref="D6:D17" si="2">F6*10</f>
        <v>4400</v>
      </c>
      <c r="E6">
        <v>50</v>
      </c>
      <c r="F6">
        <v>440</v>
      </c>
      <c r="H6">
        <f t="shared" ref="H6:H17" si="3">C6+((D6-C6)*$H$3)</f>
        <v>500</v>
      </c>
      <c r="I6" s="6" t="s">
        <v>260</v>
      </c>
      <c r="J6">
        <f t="shared" ref="J6:S17" si="4">ROUND((((1-((J$4-1)/($S$4-1)))^2)*$C6)+(2*(1-((J$4-1)/($S$4-1)))*((J$4-1)/($S$4-1))*$H6)+((((J$4-1)/($S$4-1))^2)*$D6),-1)</f>
        <v>500</v>
      </c>
      <c r="K6">
        <f t="shared" si="4"/>
        <v>550</v>
      </c>
      <c r="L6">
        <f t="shared" si="4"/>
        <v>690</v>
      </c>
      <c r="M6">
        <f t="shared" si="4"/>
        <v>930</v>
      </c>
      <c r="N6">
        <f t="shared" si="4"/>
        <v>1270</v>
      </c>
      <c r="O6">
        <f t="shared" si="4"/>
        <v>1700</v>
      </c>
      <c r="P6">
        <f t="shared" si="4"/>
        <v>2230</v>
      </c>
      <c r="Q6">
        <f t="shared" si="4"/>
        <v>2860</v>
      </c>
      <c r="R6">
        <f t="shared" si="4"/>
        <v>3580</v>
      </c>
      <c r="S6">
        <f t="shared" si="4"/>
        <v>4400</v>
      </c>
    </row>
    <row r="7" spans="1:19" x14ac:dyDescent="0.25">
      <c r="A7" t="s">
        <v>261</v>
      </c>
      <c r="B7" t="s">
        <v>272</v>
      </c>
      <c r="C7">
        <f t="shared" si="1"/>
        <v>1400</v>
      </c>
      <c r="D7">
        <f t="shared" si="2"/>
        <v>6900</v>
      </c>
      <c r="E7">
        <v>140</v>
      </c>
      <c r="F7">
        <v>690</v>
      </c>
      <c r="H7">
        <f t="shared" si="3"/>
        <v>1400</v>
      </c>
      <c r="I7" s="6" t="s">
        <v>261</v>
      </c>
      <c r="J7">
        <f t="shared" si="4"/>
        <v>1400</v>
      </c>
      <c r="K7">
        <f t="shared" si="4"/>
        <v>1470</v>
      </c>
      <c r="L7">
        <f t="shared" si="4"/>
        <v>1670</v>
      </c>
      <c r="M7">
        <f t="shared" si="4"/>
        <v>2010</v>
      </c>
      <c r="N7">
        <f t="shared" si="4"/>
        <v>2490</v>
      </c>
      <c r="O7">
        <f t="shared" si="4"/>
        <v>3100</v>
      </c>
      <c r="P7">
        <f t="shared" si="4"/>
        <v>3840</v>
      </c>
      <c r="Q7">
        <f t="shared" si="4"/>
        <v>4730</v>
      </c>
      <c r="R7">
        <f t="shared" si="4"/>
        <v>5750</v>
      </c>
      <c r="S7">
        <f t="shared" si="4"/>
        <v>6900</v>
      </c>
    </row>
    <row r="8" spans="1:19" x14ac:dyDescent="0.25">
      <c r="A8" t="s">
        <v>262</v>
      </c>
      <c r="B8" t="s">
        <v>272</v>
      </c>
      <c r="C8">
        <f t="shared" si="1"/>
        <v>400</v>
      </c>
      <c r="D8">
        <f t="shared" si="2"/>
        <v>7200</v>
      </c>
      <c r="E8">
        <v>40</v>
      </c>
      <c r="F8">
        <v>720</v>
      </c>
      <c r="H8">
        <f t="shared" si="3"/>
        <v>400</v>
      </c>
      <c r="I8" s="6" t="s">
        <v>262</v>
      </c>
      <c r="J8">
        <f t="shared" si="4"/>
        <v>400</v>
      </c>
      <c r="K8">
        <f t="shared" si="4"/>
        <v>480</v>
      </c>
      <c r="L8">
        <f t="shared" si="4"/>
        <v>740</v>
      </c>
      <c r="M8">
        <f t="shared" si="4"/>
        <v>1160</v>
      </c>
      <c r="N8">
        <f t="shared" si="4"/>
        <v>1740</v>
      </c>
      <c r="O8">
        <f t="shared" si="4"/>
        <v>2500</v>
      </c>
      <c r="P8">
        <f t="shared" si="4"/>
        <v>3420</v>
      </c>
      <c r="Q8">
        <f t="shared" si="4"/>
        <v>4510</v>
      </c>
      <c r="R8">
        <f t="shared" si="4"/>
        <v>5770</v>
      </c>
      <c r="S8">
        <f t="shared" si="4"/>
        <v>7200</v>
      </c>
    </row>
    <row r="9" spans="1:19" x14ac:dyDescent="0.25">
      <c r="A9" t="s">
        <v>263</v>
      </c>
      <c r="B9" t="s">
        <v>272</v>
      </c>
      <c r="C9">
        <f t="shared" si="1"/>
        <v>800</v>
      </c>
      <c r="D9">
        <f t="shared" si="2"/>
        <v>5200</v>
      </c>
      <c r="E9">
        <v>80</v>
      </c>
      <c r="F9">
        <v>520</v>
      </c>
      <c r="H9">
        <f t="shared" si="3"/>
        <v>800</v>
      </c>
      <c r="I9" s="6" t="s">
        <v>263</v>
      </c>
      <c r="J9">
        <f t="shared" si="4"/>
        <v>800</v>
      </c>
      <c r="K9">
        <f t="shared" si="4"/>
        <v>850</v>
      </c>
      <c r="L9">
        <f t="shared" si="4"/>
        <v>1020</v>
      </c>
      <c r="M9">
        <f t="shared" si="4"/>
        <v>1290</v>
      </c>
      <c r="N9">
        <f t="shared" si="4"/>
        <v>1670</v>
      </c>
      <c r="O9">
        <f t="shared" si="4"/>
        <v>2160</v>
      </c>
      <c r="P9">
        <f t="shared" si="4"/>
        <v>2760</v>
      </c>
      <c r="Q9">
        <f t="shared" si="4"/>
        <v>3460</v>
      </c>
      <c r="R9">
        <f t="shared" si="4"/>
        <v>4280</v>
      </c>
      <c r="S9">
        <f t="shared" si="4"/>
        <v>5200</v>
      </c>
    </row>
    <row r="10" spans="1:19" x14ac:dyDescent="0.25">
      <c r="A10" t="s">
        <v>292</v>
      </c>
      <c r="B10" t="s">
        <v>272</v>
      </c>
      <c r="C10">
        <f t="shared" si="1"/>
        <v>600</v>
      </c>
      <c r="D10">
        <f t="shared" si="2"/>
        <v>5400</v>
      </c>
      <c r="E10">
        <v>60</v>
      </c>
      <c r="F10">
        <v>540</v>
      </c>
      <c r="H10">
        <f t="shared" si="3"/>
        <v>600</v>
      </c>
      <c r="I10" s="6" t="s">
        <v>292</v>
      </c>
      <c r="J10">
        <f t="shared" si="4"/>
        <v>600</v>
      </c>
      <c r="K10">
        <f t="shared" si="4"/>
        <v>660</v>
      </c>
      <c r="L10">
        <f t="shared" si="4"/>
        <v>840</v>
      </c>
      <c r="M10">
        <f t="shared" si="4"/>
        <v>1130</v>
      </c>
      <c r="N10">
        <f t="shared" si="4"/>
        <v>1550</v>
      </c>
      <c r="O10">
        <f t="shared" si="4"/>
        <v>2080</v>
      </c>
      <c r="P10">
        <f t="shared" si="4"/>
        <v>2730</v>
      </c>
      <c r="Q10">
        <f t="shared" si="4"/>
        <v>3500</v>
      </c>
      <c r="R10">
        <f t="shared" si="4"/>
        <v>4390</v>
      </c>
      <c r="S10">
        <f t="shared" si="4"/>
        <v>5400</v>
      </c>
    </row>
    <row r="11" spans="1:19" x14ac:dyDescent="0.25">
      <c r="A11" t="s">
        <v>264</v>
      </c>
      <c r="B11" t="s">
        <v>272</v>
      </c>
      <c r="C11">
        <f t="shared" si="1"/>
        <v>900</v>
      </c>
      <c r="D11">
        <f t="shared" si="2"/>
        <v>5700</v>
      </c>
      <c r="E11">
        <v>90</v>
      </c>
      <c r="F11">
        <v>570</v>
      </c>
      <c r="H11">
        <f t="shared" si="3"/>
        <v>900</v>
      </c>
      <c r="I11" s="6" t="s">
        <v>264</v>
      </c>
      <c r="J11">
        <f t="shared" si="4"/>
        <v>900</v>
      </c>
      <c r="K11">
        <f t="shared" si="4"/>
        <v>960</v>
      </c>
      <c r="L11">
        <f t="shared" si="4"/>
        <v>1140</v>
      </c>
      <c r="M11">
        <f t="shared" si="4"/>
        <v>1430</v>
      </c>
      <c r="N11">
        <f t="shared" si="4"/>
        <v>1850</v>
      </c>
      <c r="O11">
        <f t="shared" si="4"/>
        <v>2380</v>
      </c>
      <c r="P11">
        <f t="shared" si="4"/>
        <v>3030</v>
      </c>
      <c r="Q11">
        <f t="shared" si="4"/>
        <v>3800</v>
      </c>
      <c r="R11">
        <f t="shared" si="4"/>
        <v>4690</v>
      </c>
      <c r="S11">
        <f t="shared" si="4"/>
        <v>5700</v>
      </c>
    </row>
    <row r="12" spans="1:19" x14ac:dyDescent="0.25">
      <c r="A12" t="s">
        <v>266</v>
      </c>
      <c r="B12" t="s">
        <v>272</v>
      </c>
      <c r="C12">
        <f t="shared" si="1"/>
        <v>1200</v>
      </c>
      <c r="D12">
        <f t="shared" si="2"/>
        <v>6500</v>
      </c>
      <c r="E12">
        <v>120</v>
      </c>
      <c r="F12">
        <v>650</v>
      </c>
      <c r="H12">
        <f t="shared" si="3"/>
        <v>1200</v>
      </c>
      <c r="I12" s="6" t="s">
        <v>266</v>
      </c>
      <c r="J12">
        <f t="shared" si="4"/>
        <v>1200</v>
      </c>
      <c r="K12">
        <f t="shared" si="4"/>
        <v>1270</v>
      </c>
      <c r="L12">
        <f t="shared" si="4"/>
        <v>1460</v>
      </c>
      <c r="M12">
        <f t="shared" si="4"/>
        <v>1790</v>
      </c>
      <c r="N12">
        <f t="shared" si="4"/>
        <v>2250</v>
      </c>
      <c r="O12">
        <f t="shared" si="4"/>
        <v>2840</v>
      </c>
      <c r="P12">
        <f t="shared" si="4"/>
        <v>3560</v>
      </c>
      <c r="Q12">
        <f t="shared" si="4"/>
        <v>4410</v>
      </c>
      <c r="R12">
        <f t="shared" si="4"/>
        <v>5390</v>
      </c>
      <c r="S12">
        <f t="shared" si="4"/>
        <v>6500</v>
      </c>
    </row>
    <row r="13" spans="1:19" x14ac:dyDescent="0.25">
      <c r="A13" t="s">
        <v>291</v>
      </c>
      <c r="B13" t="s">
        <v>272</v>
      </c>
      <c r="C13">
        <f t="shared" si="1"/>
        <v>300</v>
      </c>
      <c r="D13">
        <f t="shared" si="2"/>
        <v>3300</v>
      </c>
      <c r="E13">
        <v>30</v>
      </c>
      <c r="F13">
        <v>330</v>
      </c>
      <c r="H13">
        <f t="shared" si="3"/>
        <v>300</v>
      </c>
      <c r="I13" s="6" t="s">
        <v>291</v>
      </c>
      <c r="J13">
        <f t="shared" si="4"/>
        <v>300</v>
      </c>
      <c r="K13">
        <f t="shared" si="4"/>
        <v>340</v>
      </c>
      <c r="L13">
        <f t="shared" si="4"/>
        <v>450</v>
      </c>
      <c r="M13">
        <f t="shared" si="4"/>
        <v>630</v>
      </c>
      <c r="N13">
        <f t="shared" si="4"/>
        <v>890</v>
      </c>
      <c r="O13">
        <f t="shared" si="4"/>
        <v>1230</v>
      </c>
      <c r="P13">
        <f t="shared" si="4"/>
        <v>1630</v>
      </c>
      <c r="Q13">
        <f t="shared" si="4"/>
        <v>2110</v>
      </c>
      <c r="R13">
        <f t="shared" si="4"/>
        <v>2670</v>
      </c>
      <c r="S13">
        <f t="shared" si="4"/>
        <v>3300</v>
      </c>
    </row>
    <row r="14" spans="1:19" x14ac:dyDescent="0.25">
      <c r="A14" t="s">
        <v>294</v>
      </c>
      <c r="B14" t="s">
        <v>272</v>
      </c>
      <c r="C14">
        <f t="shared" si="1"/>
        <v>200</v>
      </c>
      <c r="D14">
        <f t="shared" si="2"/>
        <v>2900</v>
      </c>
      <c r="E14">
        <v>20</v>
      </c>
      <c r="F14">
        <v>290</v>
      </c>
      <c r="H14">
        <f t="shared" si="3"/>
        <v>200</v>
      </c>
      <c r="I14" s="6" t="s">
        <v>294</v>
      </c>
      <c r="J14">
        <f t="shared" si="4"/>
        <v>200</v>
      </c>
      <c r="K14">
        <f t="shared" si="4"/>
        <v>230</v>
      </c>
      <c r="L14">
        <f t="shared" si="4"/>
        <v>330</v>
      </c>
      <c r="M14">
        <f t="shared" si="4"/>
        <v>500</v>
      </c>
      <c r="N14">
        <f t="shared" si="4"/>
        <v>730</v>
      </c>
      <c r="O14">
        <f t="shared" si="4"/>
        <v>1030</v>
      </c>
      <c r="P14">
        <f t="shared" si="4"/>
        <v>1400</v>
      </c>
      <c r="Q14">
        <f t="shared" si="4"/>
        <v>1830</v>
      </c>
      <c r="R14">
        <f t="shared" si="4"/>
        <v>2330</v>
      </c>
      <c r="S14">
        <f t="shared" si="4"/>
        <v>2900</v>
      </c>
    </row>
    <row r="15" spans="1:19" x14ac:dyDescent="0.25">
      <c r="A15" t="s">
        <v>293</v>
      </c>
      <c r="B15" t="s">
        <v>272</v>
      </c>
      <c r="C15">
        <f t="shared" si="1"/>
        <v>900</v>
      </c>
      <c r="D15">
        <f t="shared" si="2"/>
        <v>5900</v>
      </c>
      <c r="E15">
        <v>90</v>
      </c>
      <c r="F15">
        <v>590</v>
      </c>
      <c r="H15">
        <f t="shared" si="3"/>
        <v>900</v>
      </c>
      <c r="I15" s="6" t="s">
        <v>293</v>
      </c>
      <c r="J15">
        <f t="shared" si="4"/>
        <v>900</v>
      </c>
      <c r="K15">
        <f t="shared" si="4"/>
        <v>960</v>
      </c>
      <c r="L15">
        <f t="shared" si="4"/>
        <v>1150</v>
      </c>
      <c r="M15">
        <f t="shared" si="4"/>
        <v>1460</v>
      </c>
      <c r="N15">
        <f t="shared" si="4"/>
        <v>1890</v>
      </c>
      <c r="O15">
        <f t="shared" si="4"/>
        <v>2440</v>
      </c>
      <c r="P15">
        <f t="shared" si="4"/>
        <v>3120</v>
      </c>
      <c r="Q15">
        <f t="shared" si="4"/>
        <v>3920</v>
      </c>
      <c r="R15">
        <f t="shared" si="4"/>
        <v>4850</v>
      </c>
      <c r="S15">
        <f t="shared" si="4"/>
        <v>5900</v>
      </c>
    </row>
    <row r="16" spans="1:19" x14ac:dyDescent="0.25">
      <c r="A16" t="s">
        <v>265</v>
      </c>
      <c r="B16" t="s">
        <v>272</v>
      </c>
      <c r="C16">
        <f t="shared" si="1"/>
        <v>1000</v>
      </c>
      <c r="D16">
        <f t="shared" si="2"/>
        <v>7500</v>
      </c>
      <c r="E16">
        <v>100</v>
      </c>
      <c r="F16">
        <v>750</v>
      </c>
      <c r="H16">
        <f t="shared" si="3"/>
        <v>1000</v>
      </c>
      <c r="I16" s="6" t="s">
        <v>265</v>
      </c>
      <c r="J16">
        <f t="shared" si="4"/>
        <v>1000</v>
      </c>
      <c r="K16">
        <f t="shared" si="4"/>
        <v>1080</v>
      </c>
      <c r="L16">
        <f t="shared" si="4"/>
        <v>1320</v>
      </c>
      <c r="M16">
        <f t="shared" si="4"/>
        <v>1720</v>
      </c>
      <c r="N16">
        <f t="shared" si="4"/>
        <v>2280</v>
      </c>
      <c r="O16">
        <f t="shared" si="4"/>
        <v>3010</v>
      </c>
      <c r="P16">
        <f t="shared" si="4"/>
        <v>3890</v>
      </c>
      <c r="Q16">
        <f t="shared" si="4"/>
        <v>4930</v>
      </c>
      <c r="R16">
        <f t="shared" si="4"/>
        <v>6140</v>
      </c>
      <c r="S16">
        <f t="shared" si="4"/>
        <v>7500</v>
      </c>
    </row>
    <row r="17" spans="1:19" x14ac:dyDescent="0.25">
      <c r="A17" t="s">
        <v>382</v>
      </c>
      <c r="B17" t="s">
        <v>272</v>
      </c>
      <c r="C17">
        <f t="shared" si="1"/>
        <v>1500</v>
      </c>
      <c r="D17">
        <f t="shared" si="2"/>
        <v>7300</v>
      </c>
      <c r="E17">
        <v>150</v>
      </c>
      <c r="F17">
        <v>730</v>
      </c>
      <c r="H17">
        <f t="shared" si="3"/>
        <v>1500</v>
      </c>
      <c r="I17" s="6" t="s">
        <v>382</v>
      </c>
      <c r="J17">
        <f t="shared" si="4"/>
        <v>1500</v>
      </c>
      <c r="K17">
        <f t="shared" si="4"/>
        <v>1570</v>
      </c>
      <c r="L17">
        <f t="shared" si="4"/>
        <v>1790</v>
      </c>
      <c r="M17">
        <f t="shared" si="4"/>
        <v>2140</v>
      </c>
      <c r="N17">
        <f t="shared" si="4"/>
        <v>2650</v>
      </c>
      <c r="O17">
        <f t="shared" si="4"/>
        <v>3290</v>
      </c>
      <c r="P17">
        <f t="shared" si="4"/>
        <v>4080</v>
      </c>
      <c r="Q17">
        <f t="shared" si="4"/>
        <v>5010</v>
      </c>
      <c r="R17">
        <f t="shared" si="4"/>
        <v>6080</v>
      </c>
      <c r="S17">
        <f t="shared" si="4"/>
        <v>7300</v>
      </c>
    </row>
    <row r="19" spans="1:19" x14ac:dyDescent="0.25">
      <c r="I19" t="s">
        <v>131</v>
      </c>
      <c r="J19" s="15">
        <f>ROUND(AVERAGE(J5:J17), -1)</f>
        <v>750</v>
      </c>
      <c r="K19" s="15">
        <f t="shared" ref="K19:S19" si="5">ROUND(AVERAGE(K5:K17), -1)</f>
        <v>810</v>
      </c>
      <c r="L19" s="15">
        <f t="shared" si="5"/>
        <v>980</v>
      </c>
      <c r="M19" s="15">
        <f t="shared" si="5"/>
        <v>1270</v>
      </c>
      <c r="N19" s="15">
        <f t="shared" si="5"/>
        <v>1670</v>
      </c>
      <c r="O19" s="15">
        <f t="shared" si="5"/>
        <v>2190</v>
      </c>
      <c r="P19" s="15">
        <f t="shared" si="5"/>
        <v>2820</v>
      </c>
      <c r="Q19" s="15">
        <f t="shared" si="5"/>
        <v>3570</v>
      </c>
      <c r="R19" s="15">
        <f t="shared" si="5"/>
        <v>4440</v>
      </c>
      <c r="S19" s="15">
        <f t="shared" si="5"/>
        <v>5420</v>
      </c>
    </row>
    <row r="21" spans="1:19" x14ac:dyDescent="0.25">
      <c r="I21" t="s">
        <v>383</v>
      </c>
      <c r="J21">
        <f>ROUND(AVERAGE(J19:M19), -1)</f>
        <v>950</v>
      </c>
    </row>
    <row r="22" spans="1:19" x14ac:dyDescent="0.25">
      <c r="I22" t="s">
        <v>384</v>
      </c>
      <c r="J22">
        <f>ROUND(AVERAGE(M19:P19), -1)</f>
        <v>1990</v>
      </c>
    </row>
    <row r="23" spans="1:19" x14ac:dyDescent="0.25">
      <c r="I23" t="s">
        <v>385</v>
      </c>
      <c r="J23">
        <f>ROUND(AVERAGE(P19:S19), -1)</f>
        <v>4060</v>
      </c>
    </row>
    <row r="26" spans="1:19" x14ac:dyDescent="0.25">
      <c r="C26" t="s">
        <v>295</v>
      </c>
      <c r="D26">
        <v>6</v>
      </c>
      <c r="E26">
        <f t="shared" ref="E26:E37" si="6">ROUND(D26/D$39, 2)</f>
        <v>0.11</v>
      </c>
    </row>
    <row r="27" spans="1:19" x14ac:dyDescent="0.25">
      <c r="C27" t="s">
        <v>296</v>
      </c>
      <c r="D27">
        <v>8</v>
      </c>
      <c r="E27">
        <f t="shared" si="6"/>
        <v>0.15</v>
      </c>
    </row>
    <row r="28" spans="1:19" x14ac:dyDescent="0.25">
      <c r="A28" t="s">
        <v>116</v>
      </c>
      <c r="B28" t="s">
        <v>28</v>
      </c>
      <c r="C28" t="s">
        <v>297</v>
      </c>
      <c r="D28">
        <v>6</v>
      </c>
      <c r="E28">
        <f t="shared" si="6"/>
        <v>0.11</v>
      </c>
    </row>
    <row r="29" spans="1:19" x14ac:dyDescent="0.25">
      <c r="A29" t="s">
        <v>118</v>
      </c>
      <c r="B29" t="s">
        <v>28</v>
      </c>
      <c r="C29" t="s">
        <v>298</v>
      </c>
      <c r="D29">
        <v>6</v>
      </c>
      <c r="E29">
        <f t="shared" si="6"/>
        <v>0.11</v>
      </c>
    </row>
    <row r="30" spans="1:19" x14ac:dyDescent="0.25">
      <c r="A30" t="s">
        <v>117</v>
      </c>
      <c r="B30" t="s">
        <v>28</v>
      </c>
      <c r="C30" t="s">
        <v>299</v>
      </c>
      <c r="D30">
        <v>6</v>
      </c>
      <c r="E30">
        <f t="shared" si="6"/>
        <v>0.11</v>
      </c>
    </row>
    <row r="31" spans="1:19" x14ac:dyDescent="0.25">
      <c r="A31" t="s">
        <v>119</v>
      </c>
      <c r="B31" t="s">
        <v>28</v>
      </c>
      <c r="C31" t="s">
        <v>306</v>
      </c>
      <c r="D31">
        <v>3</v>
      </c>
      <c r="E31">
        <f t="shared" si="6"/>
        <v>0.06</v>
      </c>
    </row>
    <row r="32" spans="1:19" x14ac:dyDescent="0.25">
      <c r="A32" t="s">
        <v>120</v>
      </c>
      <c r="B32" t="s">
        <v>28</v>
      </c>
      <c r="C32" t="s">
        <v>300</v>
      </c>
      <c r="D32">
        <v>3</v>
      </c>
      <c r="E32">
        <f t="shared" si="6"/>
        <v>0.06</v>
      </c>
    </row>
    <row r="33" spans="1:6" x14ac:dyDescent="0.25">
      <c r="A33" t="s">
        <v>121</v>
      </c>
      <c r="B33" t="s">
        <v>28</v>
      </c>
      <c r="C33" t="s">
        <v>301</v>
      </c>
      <c r="D33">
        <v>3</v>
      </c>
      <c r="E33">
        <f t="shared" si="6"/>
        <v>0.06</v>
      </c>
    </row>
    <row r="34" spans="1:6" x14ac:dyDescent="0.25">
      <c r="C34" t="s">
        <v>302</v>
      </c>
      <c r="D34">
        <v>3</v>
      </c>
      <c r="E34">
        <f t="shared" si="6"/>
        <v>0.06</v>
      </c>
    </row>
    <row r="35" spans="1:6" x14ac:dyDescent="0.25">
      <c r="A35" t="s">
        <v>275</v>
      </c>
      <c r="B35" t="s">
        <v>273</v>
      </c>
      <c r="C35" t="s">
        <v>303</v>
      </c>
      <c r="D35">
        <v>3</v>
      </c>
      <c r="E35">
        <f t="shared" si="6"/>
        <v>0.06</v>
      </c>
    </row>
    <row r="36" spans="1:6" x14ac:dyDescent="0.25">
      <c r="A36" t="s">
        <v>276</v>
      </c>
      <c r="B36" t="s">
        <v>273</v>
      </c>
      <c r="C36" t="s">
        <v>304</v>
      </c>
      <c r="D36">
        <v>3</v>
      </c>
      <c r="E36">
        <f t="shared" si="6"/>
        <v>0.06</v>
      </c>
    </row>
    <row r="37" spans="1:6" x14ac:dyDescent="0.25">
      <c r="A37" t="s">
        <v>277</v>
      </c>
      <c r="B37" t="s">
        <v>273</v>
      </c>
      <c r="C37" t="s">
        <v>305</v>
      </c>
      <c r="D37">
        <v>3</v>
      </c>
      <c r="E37">
        <f t="shared" si="6"/>
        <v>0.06</v>
      </c>
    </row>
    <row r="38" spans="1:6" x14ac:dyDescent="0.25">
      <c r="A38" t="s">
        <v>278</v>
      </c>
      <c r="B38" t="s">
        <v>273</v>
      </c>
    </row>
    <row r="39" spans="1:6" x14ac:dyDescent="0.25">
      <c r="A39" t="s">
        <v>279</v>
      </c>
      <c r="B39" t="s">
        <v>273</v>
      </c>
      <c r="C39" t="s">
        <v>164</v>
      </c>
      <c r="D39">
        <f>SUM(D26:D37)</f>
        <v>53</v>
      </c>
      <c r="E39">
        <f>SUM(E26:E37)</f>
        <v>1.0100000000000002</v>
      </c>
    </row>
    <row r="40" spans="1:6" x14ac:dyDescent="0.25">
      <c r="A40" t="s">
        <v>281</v>
      </c>
      <c r="B40" t="s">
        <v>273</v>
      </c>
    </row>
    <row r="41" spans="1:6" x14ac:dyDescent="0.25">
      <c r="A41" t="s">
        <v>280</v>
      </c>
      <c r="B41" t="s">
        <v>273</v>
      </c>
      <c r="C41" t="s">
        <v>295</v>
      </c>
      <c r="D41">
        <v>6</v>
      </c>
      <c r="E41">
        <f t="shared" ref="E41:E49" si="7">ROUND(D41/D$51, 2)</f>
        <v>0.16</v>
      </c>
    </row>
    <row r="42" spans="1:6" x14ac:dyDescent="0.25">
      <c r="A42" t="s">
        <v>282</v>
      </c>
      <c r="B42" t="s">
        <v>273</v>
      </c>
      <c r="C42" t="s">
        <v>296</v>
      </c>
      <c r="D42">
        <v>8</v>
      </c>
      <c r="E42">
        <f t="shared" si="7"/>
        <v>0.22</v>
      </c>
      <c r="F42">
        <f>SUM(E41:E42)</f>
        <v>0.38</v>
      </c>
    </row>
    <row r="43" spans="1:6" x14ac:dyDescent="0.25">
      <c r="C43" t="s">
        <v>274</v>
      </c>
      <c r="D43">
        <v>5</v>
      </c>
      <c r="E43">
        <f t="shared" si="7"/>
        <v>0.14000000000000001</v>
      </c>
      <c r="F43">
        <f>SUM(E41:E43)</f>
        <v>0.52</v>
      </c>
    </row>
    <row r="44" spans="1:6" x14ac:dyDescent="0.25">
      <c r="A44" t="s">
        <v>285</v>
      </c>
      <c r="B44" t="s">
        <v>274</v>
      </c>
      <c r="C44" t="s">
        <v>303</v>
      </c>
      <c r="D44">
        <v>3</v>
      </c>
      <c r="E44">
        <f t="shared" si="7"/>
        <v>0.08</v>
      </c>
    </row>
    <row r="45" spans="1:6" x14ac:dyDescent="0.25">
      <c r="A45" t="s">
        <v>286</v>
      </c>
      <c r="B45" t="s">
        <v>274</v>
      </c>
      <c r="C45" t="s">
        <v>302</v>
      </c>
      <c r="D45">
        <v>3</v>
      </c>
      <c r="E45">
        <f t="shared" si="7"/>
        <v>0.08</v>
      </c>
    </row>
    <row r="46" spans="1:6" x14ac:dyDescent="0.25">
      <c r="A46" t="s">
        <v>287</v>
      </c>
      <c r="B46" t="s">
        <v>274</v>
      </c>
      <c r="C46" t="s">
        <v>305</v>
      </c>
      <c r="D46">
        <v>3</v>
      </c>
      <c r="E46">
        <f t="shared" si="7"/>
        <v>0.08</v>
      </c>
    </row>
    <row r="47" spans="1:6" x14ac:dyDescent="0.25">
      <c r="A47" t="s">
        <v>288</v>
      </c>
      <c r="B47" t="s">
        <v>274</v>
      </c>
      <c r="C47" t="s">
        <v>307</v>
      </c>
      <c r="D47">
        <v>3</v>
      </c>
      <c r="E47">
        <f t="shared" si="7"/>
        <v>0.08</v>
      </c>
    </row>
    <row r="48" spans="1:6" x14ac:dyDescent="0.25">
      <c r="A48" t="s">
        <v>289</v>
      </c>
      <c r="B48" t="s">
        <v>274</v>
      </c>
      <c r="C48" t="s">
        <v>308</v>
      </c>
      <c r="D48">
        <v>3</v>
      </c>
      <c r="E48">
        <f t="shared" si="7"/>
        <v>0.08</v>
      </c>
    </row>
    <row r="49" spans="1:5" x14ac:dyDescent="0.25">
      <c r="C49" t="s">
        <v>309</v>
      </c>
      <c r="D49">
        <v>3</v>
      </c>
      <c r="E49">
        <f t="shared" si="7"/>
        <v>0.08</v>
      </c>
    </row>
    <row r="51" spans="1:5" x14ac:dyDescent="0.25">
      <c r="C51" t="s">
        <v>164</v>
      </c>
      <c r="D51">
        <f>SUM(D41:D50)</f>
        <v>37</v>
      </c>
      <c r="E51">
        <f>SUM(E41:E50)</f>
        <v>0.99999999999999978</v>
      </c>
    </row>
    <row r="52" spans="1:5" x14ac:dyDescent="0.25">
      <c r="A52" t="s">
        <v>225</v>
      </c>
    </row>
    <row r="53" spans="1:5" x14ac:dyDescent="0.25">
      <c r="A53" t="s">
        <v>254</v>
      </c>
    </row>
    <row r="55" spans="1:5" x14ac:dyDescent="0.25">
      <c r="A55" t="s">
        <v>255</v>
      </c>
    </row>
    <row r="56" spans="1:5" x14ac:dyDescent="0.25">
      <c r="A56" t="s">
        <v>256</v>
      </c>
    </row>
    <row r="58" spans="1:5" x14ac:dyDescent="0.25">
      <c r="A58" t="s">
        <v>267</v>
      </c>
    </row>
    <row r="59" spans="1:5" x14ac:dyDescent="0.25">
      <c r="A59" t="s">
        <v>268</v>
      </c>
    </row>
    <row r="62" spans="1:5" x14ac:dyDescent="0.25">
      <c r="A62" t="s">
        <v>224</v>
      </c>
    </row>
    <row r="63" spans="1:5" x14ac:dyDescent="0.25">
      <c r="A63" t="s">
        <v>257</v>
      </c>
    </row>
    <row r="64" spans="1:5" x14ac:dyDescent="0.25">
      <c r="A64" t="s">
        <v>258</v>
      </c>
    </row>
    <row r="65" spans="1:1" x14ac:dyDescent="0.25">
      <c r="A65" t="s">
        <v>259</v>
      </c>
    </row>
    <row r="67" spans="1:1" x14ac:dyDescent="0.25">
      <c r="A67" t="s">
        <v>293</v>
      </c>
    </row>
    <row r="68" spans="1:1" x14ac:dyDescent="0.25">
      <c r="A68" t="s">
        <v>262</v>
      </c>
    </row>
    <row r="69" spans="1:1" x14ac:dyDescent="0.25">
      <c r="A69" t="s">
        <v>265</v>
      </c>
    </row>
    <row r="70" spans="1:1" x14ac:dyDescent="0.25">
      <c r="A70" t="s">
        <v>266</v>
      </c>
    </row>
    <row r="71" spans="1:1" x14ac:dyDescent="0.25">
      <c r="A71" t="s">
        <v>264</v>
      </c>
    </row>
  </sheetData>
  <conditionalFormatting sqref="E26:E37">
    <cfRule type="dataBar" priority="3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{E5D9B72C-1CD2-4435-B450-D39A723152A0}</x14:id>
        </ext>
      </extLst>
    </cfRule>
  </conditionalFormatting>
  <conditionalFormatting sqref="E41:E50">
    <cfRule type="dataBar" priority="74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{59D97703-408A-48AB-A93A-CCB649F0E1F8}</x14:id>
        </ext>
      </extLst>
    </cfRule>
  </conditionalFormatting>
  <conditionalFormatting sqref="J5:S17 J19:S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Scroll Bar 1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4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Scroll Bar 2">
              <controlPr defaultSiz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5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Scroll Bar 3">
              <controlPr defaultSiz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4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Scroll Bar 4">
              <controlPr defaultSiz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4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8" name="Scroll Bar 5">
              <controlPr defaultSiz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8" r:id="rId9" name="Scroll Bar 6">
              <controlPr defaultSiz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10" name="Scroll Bar 7">
              <controlPr defaultSiz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0" r:id="rId11" name="Scroll Bar 8">
              <controlPr defaultSiz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1" r:id="rId12" name="Scroll Bar 9">
              <controlPr defaultSiz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2" r:id="rId13" name="Scroll Bar 10">
              <controlPr defaultSiz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3" r:id="rId14" name="Scroll Bar 11">
              <controlPr defaultSiz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5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4" r:id="rId15" name="Scroll Bar 12">
              <controlPr defaultSiz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5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5" r:id="rId16" name="Scroll Bar 13">
              <controlPr defaultSiz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5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6" r:id="rId17" name="Scroll Bar 14">
              <controlPr defaultSiz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5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7" r:id="rId18" name="Scroll Bar 15">
              <controlPr defaultSiz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8" r:id="rId19" name="Scroll Bar 16">
              <controlPr defaultSiz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5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20" name="Scroll Bar 17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5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0" r:id="rId21" name="Scroll Bar 18">
              <controlPr defaultSiz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5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22" name="Scroll Bar 19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4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2" r:id="rId23" name="Scroll Bar 20">
              <controlPr defaultSiz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5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3" r:id="rId24" name="Scroll Bar 21">
              <controlPr defaultSiz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4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4" r:id="rId25" name="Scroll Bar 22">
              <controlPr defaultSiz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4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5" r:id="rId26" name="Scroll Bar 23">
              <controlPr defaultSiz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4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6" r:id="rId27" name="Scroll Bar 24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5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7" r:id="rId28" name="Scroll Bar 25">
              <controlPr defaultSiz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5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8" r:id="rId29" name="Scroll Bar 26">
              <controlPr defaultSize="0" autoPict="0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5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D9B72C-1CD2-4435-B450-D39A723152A0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E26:E37</xm:sqref>
        </x14:conditionalFormatting>
        <x14:conditionalFormatting xmlns:xm="http://schemas.microsoft.com/office/excel/2006/main">
          <x14:cfRule type="dataBar" id="{59D97703-408A-48AB-A93A-CCB649F0E1F8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E41:E50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workbookViewId="0">
      <selection activeCell="B44" sqref="B44"/>
    </sheetView>
  </sheetViews>
  <sheetFormatPr defaultColWidth="11.28515625" defaultRowHeight="15" x14ac:dyDescent="0.25"/>
  <cols>
    <col min="1" max="1" width="24.7109375" customWidth="1"/>
  </cols>
  <sheetData>
    <row r="2" spans="1:4" x14ac:dyDescent="0.25">
      <c r="A2" t="s">
        <v>310</v>
      </c>
    </row>
    <row r="4" spans="1:4" x14ac:dyDescent="0.25">
      <c r="A4" t="s">
        <v>311</v>
      </c>
      <c r="B4" t="s">
        <v>312</v>
      </c>
      <c r="D4" t="s">
        <v>317</v>
      </c>
    </row>
    <row r="5" spans="1:4" x14ac:dyDescent="0.25">
      <c r="A5" t="s">
        <v>313</v>
      </c>
      <c r="B5" t="s">
        <v>312</v>
      </c>
      <c r="D5" t="s">
        <v>318</v>
      </c>
    </row>
    <row r="7" spans="1:4" x14ac:dyDescent="0.25">
      <c r="A7" t="s">
        <v>316</v>
      </c>
      <c r="B7" t="s">
        <v>312</v>
      </c>
      <c r="D7" t="s">
        <v>319</v>
      </c>
    </row>
    <row r="8" spans="1:4" x14ac:dyDescent="0.25">
      <c r="A8" t="s">
        <v>315</v>
      </c>
      <c r="B8" t="s">
        <v>312</v>
      </c>
      <c r="D8" t="s">
        <v>321</v>
      </c>
    </row>
    <row r="9" spans="1:4" x14ac:dyDescent="0.25">
      <c r="A9" t="s">
        <v>314</v>
      </c>
      <c r="B9" t="s">
        <v>312</v>
      </c>
      <c r="D9" t="s">
        <v>320</v>
      </c>
    </row>
    <row r="18" spans="1:3" x14ac:dyDescent="0.25">
      <c r="A18" t="s">
        <v>322</v>
      </c>
      <c r="B18" t="s">
        <v>353</v>
      </c>
      <c r="C18" t="s">
        <v>354</v>
      </c>
    </row>
    <row r="20" spans="1:3" x14ac:dyDescent="0.25">
      <c r="A20" t="s">
        <v>324</v>
      </c>
      <c r="B20" t="s">
        <v>323</v>
      </c>
    </row>
    <row r="21" spans="1:3" x14ac:dyDescent="0.25">
      <c r="A21" t="s">
        <v>325</v>
      </c>
      <c r="B21" t="s">
        <v>335</v>
      </c>
    </row>
    <row r="22" spans="1:3" x14ac:dyDescent="0.25">
      <c r="A22" t="s">
        <v>326</v>
      </c>
      <c r="B22" t="s">
        <v>57</v>
      </c>
    </row>
    <row r="23" spans="1:3" x14ac:dyDescent="0.25">
      <c r="A23" t="s">
        <v>327</v>
      </c>
      <c r="B23" t="s">
        <v>336</v>
      </c>
    </row>
    <row r="24" spans="1:3" x14ac:dyDescent="0.25">
      <c r="A24" t="s">
        <v>328</v>
      </c>
      <c r="B24" t="s">
        <v>337</v>
      </c>
    </row>
    <row r="25" spans="1:3" x14ac:dyDescent="0.25">
      <c r="A25" t="s">
        <v>329</v>
      </c>
      <c r="B25" t="s">
        <v>338</v>
      </c>
    </row>
    <row r="27" spans="1:3" x14ac:dyDescent="0.25">
      <c r="A27" t="s">
        <v>330</v>
      </c>
      <c r="B27" t="s">
        <v>339</v>
      </c>
    </row>
    <row r="28" spans="1:3" x14ac:dyDescent="0.25">
      <c r="A28" t="s">
        <v>331</v>
      </c>
      <c r="B28" t="s">
        <v>341</v>
      </c>
    </row>
    <row r="29" spans="1:3" x14ac:dyDescent="0.25">
      <c r="A29" t="s">
        <v>332</v>
      </c>
      <c r="B29" t="s">
        <v>340</v>
      </c>
      <c r="C29" t="s">
        <v>342</v>
      </c>
    </row>
    <row r="30" spans="1:3" x14ac:dyDescent="0.25">
      <c r="A30" t="s">
        <v>333</v>
      </c>
      <c r="B30" t="s">
        <v>343</v>
      </c>
    </row>
    <row r="31" spans="1:3" x14ac:dyDescent="0.25">
      <c r="A31" t="s">
        <v>347</v>
      </c>
      <c r="B31" t="s">
        <v>348</v>
      </c>
    </row>
    <row r="32" spans="1:3" x14ac:dyDescent="0.25">
      <c r="A32" t="s">
        <v>334</v>
      </c>
      <c r="B32" t="s">
        <v>344</v>
      </c>
    </row>
    <row r="34" spans="1:2" x14ac:dyDescent="0.25">
      <c r="A34" t="s">
        <v>349</v>
      </c>
      <c r="B34">
        <v>1</v>
      </c>
    </row>
    <row r="35" spans="1:2" x14ac:dyDescent="0.25">
      <c r="A35" t="s">
        <v>350</v>
      </c>
      <c r="B35">
        <v>2</v>
      </c>
    </row>
    <row r="36" spans="1:2" x14ac:dyDescent="0.25">
      <c r="A36" t="s">
        <v>351</v>
      </c>
      <c r="B36">
        <v>3</v>
      </c>
    </row>
    <row r="37" spans="1:2" x14ac:dyDescent="0.25">
      <c r="A37" t="s">
        <v>352</v>
      </c>
      <c r="B37">
        <v>4</v>
      </c>
    </row>
    <row r="39" spans="1:2" x14ac:dyDescent="0.25">
      <c r="A39" t="s">
        <v>355</v>
      </c>
      <c r="B39" t="s">
        <v>356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357</v>
      </c>
      <c r="B4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102</v>
      </c>
    </row>
    <row r="3" spans="1:7" x14ac:dyDescent="0.25">
      <c r="A3" t="s">
        <v>98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99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100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101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90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L50"/>
  <sheetViews>
    <sheetView topLeftCell="A19" workbookViewId="0">
      <selection activeCell="N50" sqref="N50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103</v>
      </c>
    </row>
    <row r="40" spans="2:12" x14ac:dyDescent="0.25">
      <c r="C40" t="s">
        <v>109</v>
      </c>
      <c r="D40" t="s">
        <v>110</v>
      </c>
      <c r="E40" t="s">
        <v>28</v>
      </c>
      <c r="F40" t="s">
        <v>111</v>
      </c>
      <c r="G40" t="s">
        <v>81</v>
      </c>
      <c r="H40" t="s">
        <v>43</v>
      </c>
      <c r="I40" t="s">
        <v>88</v>
      </c>
      <c r="J40" t="s">
        <v>42</v>
      </c>
      <c r="K40" t="s">
        <v>44</v>
      </c>
      <c r="L40" t="s">
        <v>89</v>
      </c>
    </row>
    <row r="41" spans="2:12" x14ac:dyDescent="0.25">
      <c r="B41" t="s">
        <v>104</v>
      </c>
    </row>
    <row r="42" spans="2:12" x14ac:dyDescent="0.25">
      <c r="B42" t="s">
        <v>105</v>
      </c>
    </row>
    <row r="43" spans="2:12" x14ac:dyDescent="0.25">
      <c r="B43" t="s">
        <v>106</v>
      </c>
    </row>
    <row r="44" spans="2:12" x14ac:dyDescent="0.25">
      <c r="B44" t="s">
        <v>107</v>
      </c>
    </row>
    <row r="45" spans="2:12" x14ac:dyDescent="0.25">
      <c r="B45" t="s">
        <v>108</v>
      </c>
    </row>
    <row r="48" spans="2:12" x14ac:dyDescent="0.25">
      <c r="B48" t="s">
        <v>112</v>
      </c>
    </row>
    <row r="49" spans="2:2" x14ac:dyDescent="0.25">
      <c r="B49" t="s">
        <v>109</v>
      </c>
    </row>
    <row r="50" spans="2:2" x14ac:dyDescent="0.25">
      <c r="B50" t="s">
        <v>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7" sqref="Q3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DATABASE</vt:lpstr>
      <vt:lpstr>ITEM STATS</vt:lpstr>
      <vt:lpstr>WEAPON BALANCING</vt:lpstr>
      <vt:lpstr>HIT%</vt:lpstr>
      <vt:lpstr>WEAPON CALC</vt:lpstr>
      <vt:lpstr>ENEMY STATS</vt:lpstr>
      <vt:lpstr>MISSION BALANCING</vt:lpstr>
      <vt:lpstr>LOOT</vt:lpstr>
      <vt:lpstr>MENU STUFF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2014-04-03T15:52:57Z</dcterms:modified>
</cp:coreProperties>
</file>