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495" windowHeight="8085"/>
  </bookViews>
  <sheets>
    <sheet name="Criteria Table" sheetId="1" r:id="rId1"/>
    <sheet name="One way - Two way Analysis" sheetId="3" r:id="rId2"/>
    <sheet name="Scenario Summary P1" sheetId="6" r:id="rId3"/>
    <sheet name="Scenario Summary P2" sheetId="8" r:id="rId4"/>
    <sheet name="CB_DATA_" sheetId="11" state="veryHidden" r:id="rId5"/>
    <sheet name="Crystal Ball Risk Analysis" sheetId="10" r:id="rId6"/>
  </sheets>
  <definedNames>
    <definedName name="CB_9a634a65ac424b709b66660359357586" localSheetId="5" hidden="1">'Crystal Ball Risk Analysis'!$P$6</definedName>
    <definedName name="CB_Block_00000000000000000000000000000000" localSheetId="5" hidden="1">"'7.0.0.0"</definedName>
    <definedName name="CB_Block_00000000000000000000000000000001" localSheetId="4" hidden="1">"'638379088488755682"</definedName>
    <definedName name="CB_Block_00000000000000000000000000000001" localSheetId="5" hidden="1">"'638379085847426008"</definedName>
    <definedName name="CB_Block_00000000000000000000000000000003" localSheetId="5" hidden="1">"'11.1.4716.0"</definedName>
    <definedName name="CB_BlockExt_00000000000000000000000000000003" localSheetId="5" hidden="1">"'11.1.2.4.850"</definedName>
    <definedName name="CB_d05435679eb047a3b5069f1da101f7f0" localSheetId="5" hidden="1">'Crystal Ball Risk Analysis'!$D$5</definedName>
    <definedName name="CB_d4a21cf59f254c6b99baee7f2bbb39b8" localSheetId="5" hidden="1">'Crystal Ball Risk Analysis'!$D$6</definedName>
    <definedName name="CB_e129a78be36a40ad8617703e48c3368b" localSheetId="5" hidden="1">'Crystal Ball Risk Analysis'!$B$175</definedName>
    <definedName name="CB_f6545ac8eb6c4c33bd856772d465a869" localSheetId="5" hidden="1">'Crystal Ball Risk Analysis'!$P$5</definedName>
    <definedName name="CBCR_eb0e48b40e034b0c86646bb070457020" localSheetId="5" hidden="1">'Crystal Ball Risk Analysis'!$B$175</definedName>
    <definedName name="CBWorkbookPriority" localSheetId="4" hidden="1">-2883124219096010</definedName>
    <definedName name="CBx_6e0b27a28f1e44caa49bd9dac5320c7f" localSheetId="4" hidden="1">"'CB_DATA_'!$A$1"</definedName>
    <definedName name="CBx_fdc7b01d8d0a48eca058acc800265119" localSheetId="4" hidden="1">"'Sheet1 (3)'!$A$1"</definedName>
    <definedName name="CBx_Sheet_Guid" localSheetId="4" hidden="1">"'6e0b27a2-8f1e-44ca-a49b-d9dac5320c7f"</definedName>
    <definedName name="CBx_Sheet_Guid" localSheetId="5" hidden="1">"'fdc7b01d-8d0a-48ec-a058-acc800265119"</definedName>
    <definedName name="CBx_SheetRef" localSheetId="4" hidden="1">CB_DATA_!$A$14</definedName>
    <definedName name="CBx_SheetRef" localSheetId="5" hidden="1">CB_DATA_!$B$14</definedName>
    <definedName name="CBx_StorageType" localSheetId="4" hidden="1">2</definedName>
    <definedName name="CBx_StorageType" localSheetId="5" hidden="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3" l="1"/>
  <c r="D5" i="3"/>
  <c r="P5" i="3"/>
  <c r="P6" i="3"/>
  <c r="C74" i="3" l="1"/>
  <c r="C61" i="3"/>
  <c r="B176" i="1" l="1"/>
  <c r="B75" i="10"/>
  <c r="B74" i="10"/>
  <c r="B62" i="10"/>
  <c r="B61" i="10"/>
  <c r="C206" i="10"/>
  <c r="B206" i="10"/>
  <c r="B11" i="11"/>
  <c r="A11" i="11"/>
  <c r="C198" i="10"/>
  <c r="D198" i="10" s="1"/>
  <c r="E198" i="10" s="1"/>
  <c r="F198" i="10" s="1"/>
  <c r="G198" i="10" s="1"/>
  <c r="C188" i="10"/>
  <c r="D188" i="10" s="1"/>
  <c r="E188" i="10" s="1"/>
  <c r="F188" i="10" s="1"/>
  <c r="G188" i="10" s="1"/>
  <c r="H188" i="10" s="1"/>
  <c r="I188" i="10" s="1"/>
  <c r="J188" i="10" s="1"/>
  <c r="K188" i="10" s="1"/>
  <c r="L188" i="10" s="1"/>
  <c r="C179" i="10"/>
  <c r="D179" i="10" s="1"/>
  <c r="E179" i="10" s="1"/>
  <c r="F179" i="10" s="1"/>
  <c r="G179" i="10" s="1"/>
  <c r="H179" i="10" s="1"/>
  <c r="I179" i="10" s="1"/>
  <c r="J179" i="10" s="1"/>
  <c r="K179" i="10" s="1"/>
  <c r="L179" i="10" s="1"/>
  <c r="L167" i="10"/>
  <c r="K167" i="10"/>
  <c r="J167" i="10"/>
  <c r="I167" i="10"/>
  <c r="H167" i="10"/>
  <c r="C166" i="10"/>
  <c r="D166" i="10" s="1"/>
  <c r="E166" i="10" s="1"/>
  <c r="F166" i="10" s="1"/>
  <c r="G166" i="10" s="1"/>
  <c r="H166" i="10" s="1"/>
  <c r="I166" i="10" s="1"/>
  <c r="J166" i="10" s="1"/>
  <c r="K166" i="10" s="1"/>
  <c r="L166" i="10" s="1"/>
  <c r="B164" i="10"/>
  <c r="B159" i="10"/>
  <c r="C156" i="10"/>
  <c r="D156" i="10" s="1"/>
  <c r="E156" i="10" s="1"/>
  <c r="F156" i="10" s="1"/>
  <c r="G156" i="10" s="1"/>
  <c r="H156" i="10" s="1"/>
  <c r="I156" i="10" s="1"/>
  <c r="J156" i="10" s="1"/>
  <c r="K156" i="10" s="1"/>
  <c r="L156" i="10" s="1"/>
  <c r="L152" i="10"/>
  <c r="B152" i="10"/>
  <c r="B139" i="10"/>
  <c r="B138" i="10"/>
  <c r="B149" i="10" s="1"/>
  <c r="B151" i="10" s="1"/>
  <c r="B153" i="10" s="1"/>
  <c r="B157" i="10" s="1"/>
  <c r="B180" i="10" s="1"/>
  <c r="L132" i="10"/>
  <c r="C130" i="10"/>
  <c r="D130" i="10" s="1"/>
  <c r="E130" i="10" s="1"/>
  <c r="F130" i="10" s="1"/>
  <c r="G130" i="10" s="1"/>
  <c r="H130" i="10" s="1"/>
  <c r="I130" i="10" s="1"/>
  <c r="J130" i="10" s="1"/>
  <c r="K130" i="10" s="1"/>
  <c r="L130" i="10" s="1"/>
  <c r="C120" i="10"/>
  <c r="D120" i="10" s="1"/>
  <c r="E120" i="10" s="1"/>
  <c r="F120" i="10" s="1"/>
  <c r="G120" i="10" s="1"/>
  <c r="H120" i="10" s="1"/>
  <c r="I120" i="10" s="1"/>
  <c r="J120" i="10" s="1"/>
  <c r="K120" i="10" s="1"/>
  <c r="L120" i="10" s="1"/>
  <c r="C108" i="10"/>
  <c r="D108" i="10" s="1"/>
  <c r="E108" i="10" s="1"/>
  <c r="F108" i="10" s="1"/>
  <c r="G108" i="10" s="1"/>
  <c r="H108" i="10" s="1"/>
  <c r="I108" i="10" s="1"/>
  <c r="J108" i="10" s="1"/>
  <c r="K108" i="10" s="1"/>
  <c r="L108" i="10" s="1"/>
  <c r="K105" i="10"/>
  <c r="K111" i="10" s="1"/>
  <c r="J105" i="10"/>
  <c r="J111" i="10" s="1"/>
  <c r="I105" i="10"/>
  <c r="I111" i="10" s="1"/>
  <c r="H105" i="10"/>
  <c r="H111" i="10" s="1"/>
  <c r="G105" i="10"/>
  <c r="G111" i="10" s="1"/>
  <c r="F105" i="10"/>
  <c r="F111" i="10" s="1"/>
  <c r="E105" i="10"/>
  <c r="E111" i="10" s="1"/>
  <c r="D105" i="10"/>
  <c r="D111" i="10" s="1"/>
  <c r="C105" i="10"/>
  <c r="C111" i="10" s="1"/>
  <c r="C104" i="10"/>
  <c r="D104" i="10" s="1"/>
  <c r="E104" i="10" s="1"/>
  <c r="F104" i="10" s="1"/>
  <c r="G104" i="10" s="1"/>
  <c r="H104" i="10" s="1"/>
  <c r="I104" i="10" s="1"/>
  <c r="J104" i="10" s="1"/>
  <c r="K104" i="10" s="1"/>
  <c r="L104" i="10" s="1"/>
  <c r="C100" i="10"/>
  <c r="D100" i="10" s="1"/>
  <c r="E100" i="10" s="1"/>
  <c r="F100" i="10" s="1"/>
  <c r="G100" i="10" s="1"/>
  <c r="H100" i="10" s="1"/>
  <c r="I100" i="10" s="1"/>
  <c r="J100" i="10" s="1"/>
  <c r="K100" i="10" s="1"/>
  <c r="L100" i="10" s="1"/>
  <c r="C92" i="10"/>
  <c r="D92" i="10" s="1"/>
  <c r="E92" i="10" s="1"/>
  <c r="F92" i="10" s="1"/>
  <c r="G92" i="10" s="1"/>
  <c r="H92" i="10" s="1"/>
  <c r="I92" i="10" s="1"/>
  <c r="J92" i="10" s="1"/>
  <c r="K92" i="10" s="1"/>
  <c r="L92" i="10" s="1"/>
  <c r="C84" i="10"/>
  <c r="D84" i="10" s="1"/>
  <c r="E84" i="10" s="1"/>
  <c r="C79" i="10"/>
  <c r="D79" i="10" s="1"/>
  <c r="E79" i="10" s="1"/>
  <c r="F79" i="10" s="1"/>
  <c r="G79" i="10" s="1"/>
  <c r="H79" i="10" s="1"/>
  <c r="I79" i="10" s="1"/>
  <c r="J79" i="10" s="1"/>
  <c r="K79" i="10" s="1"/>
  <c r="L79" i="10" s="1"/>
  <c r="C73" i="10"/>
  <c r="D73" i="10" s="1"/>
  <c r="E73" i="10" s="1"/>
  <c r="F73" i="10" s="1"/>
  <c r="G73" i="10" s="1"/>
  <c r="H73" i="10" s="1"/>
  <c r="I73" i="10" s="1"/>
  <c r="J73" i="10" s="1"/>
  <c r="K73" i="10" s="1"/>
  <c r="L73" i="10" s="1"/>
  <c r="K67" i="10"/>
  <c r="J67" i="10"/>
  <c r="I67" i="10"/>
  <c r="H67" i="10"/>
  <c r="G67" i="10"/>
  <c r="F67" i="10"/>
  <c r="E67" i="10"/>
  <c r="D67" i="10"/>
  <c r="C67" i="10"/>
  <c r="K66" i="10"/>
  <c r="J66" i="10"/>
  <c r="I66" i="10"/>
  <c r="H66" i="10"/>
  <c r="G66" i="10"/>
  <c r="F66" i="10"/>
  <c r="E66" i="10"/>
  <c r="D66" i="10"/>
  <c r="C66" i="10"/>
  <c r="C65" i="10"/>
  <c r="D65" i="10" s="1"/>
  <c r="E65" i="10" s="1"/>
  <c r="F65" i="10" s="1"/>
  <c r="G65" i="10" s="1"/>
  <c r="H65" i="10" s="1"/>
  <c r="I65" i="10" s="1"/>
  <c r="J65" i="10" s="1"/>
  <c r="K65" i="10" s="1"/>
  <c r="L65" i="10" s="1"/>
  <c r="C60" i="10"/>
  <c r="D60" i="10" s="1"/>
  <c r="C59" i="10"/>
  <c r="D59" i="10" s="1"/>
  <c r="E59" i="10" s="1"/>
  <c r="F59" i="10" s="1"/>
  <c r="G59" i="10" s="1"/>
  <c r="H59" i="10" s="1"/>
  <c r="I59" i="10" s="1"/>
  <c r="J59" i="10" s="1"/>
  <c r="K59" i="10" s="1"/>
  <c r="L59" i="10" s="1"/>
  <c r="B55" i="10"/>
  <c r="B167" i="10" s="1"/>
  <c r="C49" i="10"/>
  <c r="D49" i="10" s="1"/>
  <c r="E49" i="10" s="1"/>
  <c r="F49" i="10" s="1"/>
  <c r="G49" i="10" s="1"/>
  <c r="K43" i="10"/>
  <c r="J43" i="10"/>
  <c r="I43" i="10"/>
  <c r="H43" i="10"/>
  <c r="G43" i="10"/>
  <c r="F43" i="10"/>
  <c r="E43" i="10"/>
  <c r="D43" i="10"/>
  <c r="C43" i="10"/>
  <c r="C44" i="10" s="1"/>
  <c r="C42" i="10"/>
  <c r="C45" i="10" s="1"/>
  <c r="D42" i="10" s="1"/>
  <c r="D45" i="10" s="1"/>
  <c r="E42" i="10" s="1"/>
  <c r="E45" i="10" s="1"/>
  <c r="F42" i="10" s="1"/>
  <c r="C41" i="10"/>
  <c r="D41" i="10" s="1"/>
  <c r="E41" i="10" s="1"/>
  <c r="F41" i="10" s="1"/>
  <c r="G41" i="10" s="1"/>
  <c r="H41" i="10" s="1"/>
  <c r="I41" i="10" s="1"/>
  <c r="J41" i="10" s="1"/>
  <c r="K41" i="10" s="1"/>
  <c r="L41" i="10" s="1"/>
  <c r="C36" i="10"/>
  <c r="C94" i="10" s="1"/>
  <c r="C142" i="10" s="1"/>
  <c r="C35" i="10"/>
  <c r="D35" i="10" s="1"/>
  <c r="E35" i="10" s="1"/>
  <c r="F35" i="10" s="1"/>
  <c r="G35" i="10" s="1"/>
  <c r="H35" i="10" s="1"/>
  <c r="I35" i="10" s="1"/>
  <c r="J35" i="10" s="1"/>
  <c r="K35" i="10" s="1"/>
  <c r="L35" i="10" s="1"/>
  <c r="P29" i="10"/>
  <c r="P23" i="10"/>
  <c r="P2" i="11"/>
  <c r="F45" i="10" l="1"/>
  <c r="G42" i="10" s="1"/>
  <c r="G45" i="10" s="1"/>
  <c r="H42" i="10" s="1"/>
  <c r="H45" i="10" s="1"/>
  <c r="I42" i="10" s="1"/>
  <c r="I45" i="10" s="1"/>
  <c r="J42" i="10" s="1"/>
  <c r="J45" i="10" s="1"/>
  <c r="K42" i="10" s="1"/>
  <c r="K45" i="10" s="1"/>
  <c r="L42" i="10" s="1"/>
  <c r="L134" i="10" s="1"/>
  <c r="D44" i="10"/>
  <c r="E44" i="10" s="1"/>
  <c r="F44" i="10" s="1"/>
  <c r="G44" i="10" s="1"/>
  <c r="H44" i="10" s="1"/>
  <c r="I44" i="10" s="1"/>
  <c r="J44" i="10" s="1"/>
  <c r="K44" i="10" s="1"/>
  <c r="C85" i="10"/>
  <c r="B181" i="10"/>
  <c r="D36" i="10"/>
  <c r="D62" i="10" s="1"/>
  <c r="C101" i="10"/>
  <c r="E60" i="10"/>
  <c r="C74" i="10"/>
  <c r="F84" i="10"/>
  <c r="E85" i="10"/>
  <c r="C86" i="10"/>
  <c r="C93" i="10"/>
  <c r="C75" i="10"/>
  <c r="C80" i="10"/>
  <c r="C81" i="10" s="1"/>
  <c r="C88" i="10"/>
  <c r="C62" i="10"/>
  <c r="B161" i="10"/>
  <c r="C95" i="10"/>
  <c r="C61" i="10"/>
  <c r="C87" i="10"/>
  <c r="D85" i="10"/>
  <c r="D86" i="10" s="1"/>
  <c r="B150" i="10"/>
  <c r="C50" i="10"/>
  <c r="C76" i="10" l="1"/>
  <c r="C122" i="10" s="1"/>
  <c r="C69" i="10"/>
  <c r="C109" i="10" s="1"/>
  <c r="C112" i="10"/>
  <c r="C146" i="10"/>
  <c r="C145" i="10"/>
  <c r="D52" i="10"/>
  <c r="C52" i="10"/>
  <c r="G52" i="10"/>
  <c r="C51" i="10"/>
  <c r="C55" i="10" s="1"/>
  <c r="F52" i="10"/>
  <c r="E52" i="10"/>
  <c r="D75" i="10"/>
  <c r="D74" i="10"/>
  <c r="D61" i="10"/>
  <c r="D69" i="10" s="1"/>
  <c r="D94" i="10"/>
  <c r="D142" i="10" s="1"/>
  <c r="E36" i="10"/>
  <c r="E61" i="10" s="1"/>
  <c r="D88" i="10"/>
  <c r="D93" i="10"/>
  <c r="D101" i="10"/>
  <c r="D95" i="10"/>
  <c r="D87" i="10"/>
  <c r="D89" i="10" s="1"/>
  <c r="D143" i="10" s="1"/>
  <c r="D80" i="10"/>
  <c r="D81" i="10" s="1"/>
  <c r="C89" i="10"/>
  <c r="C143" i="10" s="1"/>
  <c r="F85" i="10"/>
  <c r="G84" i="10"/>
  <c r="F60" i="10"/>
  <c r="C144" i="10"/>
  <c r="C96" i="10"/>
  <c r="H168" i="10"/>
  <c r="G168" i="10"/>
  <c r="F168" i="10"/>
  <c r="I168" i="10"/>
  <c r="E168" i="10"/>
  <c r="C168" i="10"/>
  <c r="D168" i="10"/>
  <c r="K168" i="10"/>
  <c r="J168" i="10"/>
  <c r="B168" i="10"/>
  <c r="L168" i="10"/>
  <c r="C97" i="10" l="1"/>
  <c r="C110" i="10" s="1"/>
  <c r="C141" i="10"/>
  <c r="C121" i="10"/>
  <c r="C124" i="10" s="1"/>
  <c r="C133" i="10" s="1"/>
  <c r="C132" i="10"/>
  <c r="C123" i="10"/>
  <c r="D144" i="10"/>
  <c r="D96" i="10"/>
  <c r="J170" i="10"/>
  <c r="J169" i="10"/>
  <c r="G85" i="10"/>
  <c r="H84" i="10"/>
  <c r="D145" i="10"/>
  <c r="D121" i="10"/>
  <c r="D109" i="10"/>
  <c r="D123" i="10"/>
  <c r="D132" i="10"/>
  <c r="G160" i="10"/>
  <c r="L170" i="10"/>
  <c r="L169" i="10"/>
  <c r="L171" i="10" s="1"/>
  <c r="E160" i="10"/>
  <c r="F160" i="10"/>
  <c r="K170" i="10"/>
  <c r="K169" i="10"/>
  <c r="K171" i="10" s="1"/>
  <c r="C167" i="10"/>
  <c r="C169" i="10" s="1"/>
  <c r="D50" i="10"/>
  <c r="C113" i="10"/>
  <c r="C54" i="10"/>
  <c r="C53" i="10" s="1"/>
  <c r="G60" i="10"/>
  <c r="D76" i="10"/>
  <c r="C160" i="10"/>
  <c r="D146" i="10"/>
  <c r="D112" i="10"/>
  <c r="B170" i="10"/>
  <c r="B169" i="10"/>
  <c r="C125" i="10"/>
  <c r="C147" i="10" s="1"/>
  <c r="H170" i="10"/>
  <c r="H169" i="10"/>
  <c r="H171" i="10" s="1"/>
  <c r="E88" i="10"/>
  <c r="E74" i="10"/>
  <c r="E93" i="10"/>
  <c r="E94" i="10"/>
  <c r="F36" i="10"/>
  <c r="F86" i="10" s="1"/>
  <c r="E75" i="10"/>
  <c r="E101" i="10"/>
  <c r="E95" i="10"/>
  <c r="E87" i="10"/>
  <c r="E80" i="10"/>
  <c r="E81" i="10" s="1"/>
  <c r="E86" i="10"/>
  <c r="I170" i="10"/>
  <c r="I169" i="10"/>
  <c r="E62" i="10"/>
  <c r="E69" i="10" s="1"/>
  <c r="D160" i="10"/>
  <c r="B171" i="10" l="1"/>
  <c r="J171" i="10"/>
  <c r="C114" i="10"/>
  <c r="C115" i="10" s="1"/>
  <c r="C152" i="10" s="1"/>
  <c r="D126" i="10"/>
  <c r="D148" i="10" s="1"/>
  <c r="C126" i="10"/>
  <c r="C148" i="10" s="1"/>
  <c r="C149" i="10" s="1"/>
  <c r="C135" i="10"/>
  <c r="F61" i="10"/>
  <c r="D97" i="10"/>
  <c r="D110" i="10" s="1"/>
  <c r="F62" i="10"/>
  <c r="E89" i="10"/>
  <c r="E143" i="10" s="1"/>
  <c r="E76" i="10"/>
  <c r="E122" i="10" s="1"/>
  <c r="E121" i="10"/>
  <c r="E124" i="10" s="1"/>
  <c r="E133" i="10" s="1"/>
  <c r="E123" i="10"/>
  <c r="E126" i="10" s="1"/>
  <c r="E148" i="10" s="1"/>
  <c r="E132" i="10"/>
  <c r="E109" i="10"/>
  <c r="E142" i="10"/>
  <c r="F94" i="10"/>
  <c r="F142" i="10" s="1"/>
  <c r="D51" i="10"/>
  <c r="D55" i="10" s="1"/>
  <c r="H60" i="10"/>
  <c r="E145" i="10"/>
  <c r="D124" i="10"/>
  <c r="D133" i="10" s="1"/>
  <c r="D135" i="10" s="1"/>
  <c r="C170" i="10"/>
  <c r="C171" i="10" s="1"/>
  <c r="E112" i="10"/>
  <c r="E146" i="10"/>
  <c r="E96" i="10"/>
  <c r="E144" i="10"/>
  <c r="D122" i="10"/>
  <c r="D141" i="10"/>
  <c r="I171" i="10"/>
  <c r="F88" i="10"/>
  <c r="F95" i="10"/>
  <c r="F87" i="10"/>
  <c r="F74" i="10"/>
  <c r="F93" i="10"/>
  <c r="F101" i="10"/>
  <c r="G36" i="10"/>
  <c r="G94" i="10" s="1"/>
  <c r="G142" i="10" s="1"/>
  <c r="F75" i="10"/>
  <c r="F80" i="10"/>
  <c r="F81" i="10" s="1"/>
  <c r="H85" i="10"/>
  <c r="I84" i="10"/>
  <c r="F89" i="10" l="1"/>
  <c r="F143" i="10" s="1"/>
  <c r="F76" i="10"/>
  <c r="F141" i="10" s="1"/>
  <c r="C151" i="10"/>
  <c r="C153" i="10" s="1"/>
  <c r="C199" i="10" s="1"/>
  <c r="C150" i="10"/>
  <c r="E141" i="10"/>
  <c r="F69" i="10"/>
  <c r="E135" i="10"/>
  <c r="E97" i="10"/>
  <c r="E110" i="10" s="1"/>
  <c r="D167" i="10"/>
  <c r="E50" i="10"/>
  <c r="G61" i="10"/>
  <c r="G62" i="10"/>
  <c r="F96" i="10"/>
  <c r="F144" i="10"/>
  <c r="J84" i="10"/>
  <c r="I85" i="10"/>
  <c r="F145" i="10"/>
  <c r="C116" i="10"/>
  <c r="G88" i="10"/>
  <c r="G95" i="10"/>
  <c r="G101" i="10"/>
  <c r="G93" i="10"/>
  <c r="G87" i="10"/>
  <c r="H36" i="10"/>
  <c r="H61" i="10" s="1"/>
  <c r="G74" i="10"/>
  <c r="G80" i="10"/>
  <c r="G81" i="10" s="1"/>
  <c r="G75" i="10"/>
  <c r="F112" i="10"/>
  <c r="F146" i="10"/>
  <c r="G86" i="10"/>
  <c r="E125" i="10"/>
  <c r="E147" i="10" s="1"/>
  <c r="D125" i="10"/>
  <c r="D147" i="10" s="1"/>
  <c r="D149" i="10" s="1"/>
  <c r="D113" i="10"/>
  <c r="D114" i="10" s="1"/>
  <c r="D54" i="10"/>
  <c r="D53" i="10" s="1"/>
  <c r="I60" i="10"/>
  <c r="G89" i="10" l="1"/>
  <c r="G143" i="10" s="1"/>
  <c r="E149" i="10"/>
  <c r="E151" i="10" s="1"/>
  <c r="F97" i="10"/>
  <c r="F110" i="10" s="1"/>
  <c r="F122" i="10"/>
  <c r="F125" i="10" s="1"/>
  <c r="F147" i="10" s="1"/>
  <c r="C157" i="10"/>
  <c r="C161" i="10" s="1"/>
  <c r="G69" i="10"/>
  <c r="G121" i="10" s="1"/>
  <c r="H86" i="10"/>
  <c r="H62" i="10"/>
  <c r="H69" i="10" s="1"/>
  <c r="F123" i="10"/>
  <c r="F126" i="10" s="1"/>
  <c r="F148" i="10" s="1"/>
  <c r="F121" i="10"/>
  <c r="F124" i="10" s="1"/>
  <c r="F133" i="10" s="1"/>
  <c r="F132" i="10"/>
  <c r="F109" i="10"/>
  <c r="G112" i="10"/>
  <c r="G146" i="10"/>
  <c r="D169" i="10"/>
  <c r="D170" i="10"/>
  <c r="D115" i="10"/>
  <c r="D152" i="10" s="1"/>
  <c r="D150" i="10" s="1"/>
  <c r="G145" i="10"/>
  <c r="J60" i="10"/>
  <c r="G96" i="10"/>
  <c r="G144" i="10"/>
  <c r="E51" i="10"/>
  <c r="E55" i="10" s="1"/>
  <c r="G76" i="10"/>
  <c r="J85" i="10"/>
  <c r="K84" i="10"/>
  <c r="H95" i="10"/>
  <c r="H87" i="10"/>
  <c r="H101" i="10"/>
  <c r="I36" i="10"/>
  <c r="H74" i="10"/>
  <c r="H80" i="10"/>
  <c r="H81" i="10" s="1"/>
  <c r="H88" i="10"/>
  <c r="H93" i="10"/>
  <c r="H75" i="10"/>
  <c r="H94" i="10"/>
  <c r="D151" i="10"/>
  <c r="H89" i="10" l="1"/>
  <c r="H143" i="10" s="1"/>
  <c r="F135" i="10"/>
  <c r="G109" i="10"/>
  <c r="C180" i="10"/>
  <c r="C181" i="10" s="1"/>
  <c r="G123" i="10"/>
  <c r="G132" i="10"/>
  <c r="H76" i="10"/>
  <c r="H122" i="10" s="1"/>
  <c r="D153" i="10"/>
  <c r="D157" i="10" s="1"/>
  <c r="F149" i="10"/>
  <c r="I101" i="10"/>
  <c r="I93" i="10"/>
  <c r="J36" i="10"/>
  <c r="J94" i="10" s="1"/>
  <c r="J142" i="10" s="1"/>
  <c r="I87" i="10"/>
  <c r="I88" i="10"/>
  <c r="I95" i="10"/>
  <c r="I75" i="10"/>
  <c r="I74" i="10"/>
  <c r="I80" i="10"/>
  <c r="I81" i="10" s="1"/>
  <c r="I61" i="10"/>
  <c r="H146" i="10"/>
  <c r="H112" i="10"/>
  <c r="D171" i="10"/>
  <c r="I94" i="10"/>
  <c r="I142" i="10" s="1"/>
  <c r="H142" i="10"/>
  <c r="E113" i="10"/>
  <c r="E114" i="10" s="1"/>
  <c r="E54" i="10"/>
  <c r="E53" i="10" s="1"/>
  <c r="G141" i="10"/>
  <c r="G122" i="10"/>
  <c r="G124" i="10"/>
  <c r="G133" i="10" s="1"/>
  <c r="I86" i="10"/>
  <c r="H132" i="10"/>
  <c r="H123" i="10"/>
  <c r="H109" i="10"/>
  <c r="H121" i="10"/>
  <c r="H144" i="10"/>
  <c r="H96" i="10"/>
  <c r="G97" i="10"/>
  <c r="G110" i="10" s="1"/>
  <c r="L84" i="10"/>
  <c r="K85" i="10"/>
  <c r="D116" i="10"/>
  <c r="K60" i="10"/>
  <c r="E167" i="10"/>
  <c r="F50" i="10"/>
  <c r="H145" i="10"/>
  <c r="J86" i="10"/>
  <c r="I62" i="10"/>
  <c r="F151" i="10" l="1"/>
  <c r="G135" i="10"/>
  <c r="H141" i="10"/>
  <c r="H97" i="10"/>
  <c r="H110" i="10" s="1"/>
  <c r="H114" i="10" s="1"/>
  <c r="H126" i="10"/>
  <c r="H148" i="10" s="1"/>
  <c r="I76" i="10"/>
  <c r="I122" i="10" s="1"/>
  <c r="G126" i="10"/>
  <c r="G148" i="10" s="1"/>
  <c r="D199" i="10"/>
  <c r="I69" i="10"/>
  <c r="I146" i="10"/>
  <c r="I112" i="10"/>
  <c r="B182" i="10"/>
  <c r="I89" i="10"/>
  <c r="I143" i="10" s="1"/>
  <c r="E115" i="10"/>
  <c r="E152" i="10" s="1"/>
  <c r="I144" i="10"/>
  <c r="I96" i="10"/>
  <c r="I145" i="10"/>
  <c r="F51" i="10"/>
  <c r="F55" i="10" s="1"/>
  <c r="H124" i="10"/>
  <c r="H133" i="10" s="1"/>
  <c r="H135" i="10" s="1"/>
  <c r="E169" i="10"/>
  <c r="E170" i="10"/>
  <c r="D180" i="10"/>
  <c r="D161" i="10"/>
  <c r="J62" i="10"/>
  <c r="J93" i="10"/>
  <c r="J87" i="10"/>
  <c r="J101" i="10"/>
  <c r="J88" i="10"/>
  <c r="J75" i="10"/>
  <c r="J74" i="10"/>
  <c r="J95" i="10"/>
  <c r="K36" i="10"/>
  <c r="K61" i="10" s="1"/>
  <c r="J80" i="10"/>
  <c r="J81" i="10" s="1"/>
  <c r="J61" i="10"/>
  <c r="H125" i="10"/>
  <c r="H147" i="10" s="1"/>
  <c r="G125" i="10"/>
  <c r="G147" i="10" s="1"/>
  <c r="J89" i="10" l="1"/>
  <c r="J143" i="10" s="1"/>
  <c r="H149" i="10"/>
  <c r="H151" i="10" s="1"/>
  <c r="J76" i="10"/>
  <c r="J122" i="10" s="1"/>
  <c r="J125" i="10" s="1"/>
  <c r="J147" i="10" s="1"/>
  <c r="I141" i="10"/>
  <c r="I97" i="10"/>
  <c r="I110" i="10" s="1"/>
  <c r="G149" i="10"/>
  <c r="G151" i="10" s="1"/>
  <c r="J69" i="10"/>
  <c r="J109" i="10" s="1"/>
  <c r="F167" i="10"/>
  <c r="G50" i="10"/>
  <c r="J146" i="10"/>
  <c r="J112" i="10"/>
  <c r="J144" i="10"/>
  <c r="J96" i="10"/>
  <c r="K93" i="10"/>
  <c r="K101" i="10"/>
  <c r="K88" i="10"/>
  <c r="K75" i="10"/>
  <c r="K95" i="10"/>
  <c r="K74" i="10"/>
  <c r="L36" i="10"/>
  <c r="K87" i="10"/>
  <c r="K80" i="10"/>
  <c r="K81" i="10" s="1"/>
  <c r="K94" i="10"/>
  <c r="E150" i="10"/>
  <c r="E153" i="10"/>
  <c r="K86" i="10"/>
  <c r="J145" i="10"/>
  <c r="H115" i="10"/>
  <c r="H152" i="10" s="1"/>
  <c r="K62" i="10"/>
  <c r="K69" i="10" s="1"/>
  <c r="I125" i="10"/>
  <c r="I147" i="10" s="1"/>
  <c r="E116" i="10"/>
  <c r="I132" i="10"/>
  <c r="I123" i="10"/>
  <c r="I109" i="10"/>
  <c r="I121" i="10"/>
  <c r="E171" i="10"/>
  <c r="F113" i="10"/>
  <c r="F114" i="10" s="1"/>
  <c r="F54" i="10"/>
  <c r="F53" i="10" s="1"/>
  <c r="D181" i="10"/>
  <c r="I114" i="10" l="1"/>
  <c r="I115" i="10" s="1"/>
  <c r="I152" i="10" s="1"/>
  <c r="K76" i="10"/>
  <c r="K122" i="10" s="1"/>
  <c r="L125" i="10" s="1"/>
  <c r="L147" i="10" s="1"/>
  <c r="H150" i="10"/>
  <c r="J141" i="10"/>
  <c r="J97" i="10"/>
  <c r="J110" i="10" s="1"/>
  <c r="J114" i="10" s="1"/>
  <c r="J123" i="10"/>
  <c r="J126" i="10" s="1"/>
  <c r="J148" i="10" s="1"/>
  <c r="J121" i="10"/>
  <c r="J124" i="10" s="1"/>
  <c r="J133" i="10" s="1"/>
  <c r="J132" i="10"/>
  <c r="H153" i="10"/>
  <c r="H157" i="10" s="1"/>
  <c r="H161" i="10" s="1"/>
  <c r="K121" i="10"/>
  <c r="L124" i="10" s="1"/>
  <c r="L133" i="10" s="1"/>
  <c r="L135" i="10" s="1"/>
  <c r="K132" i="10"/>
  <c r="K123" i="10"/>
  <c r="L126" i="10" s="1"/>
  <c r="L148" i="10" s="1"/>
  <c r="K109" i="10"/>
  <c r="I126" i="10"/>
  <c r="I148" i="10" s="1"/>
  <c r="I149" i="10" s="1"/>
  <c r="F115" i="10"/>
  <c r="F152" i="10" s="1"/>
  <c r="L94" i="10"/>
  <c r="K142" i="10"/>
  <c r="K144" i="10"/>
  <c r="K96" i="10"/>
  <c r="G51" i="10"/>
  <c r="L101" i="10"/>
  <c r="L146" i="10" s="1"/>
  <c r="K112" i="10"/>
  <c r="K146" i="10"/>
  <c r="K145" i="10"/>
  <c r="H116" i="10"/>
  <c r="K89" i="10"/>
  <c r="K143" i="10" s="1"/>
  <c r="F169" i="10"/>
  <c r="F170" i="10"/>
  <c r="C182" i="10"/>
  <c r="I124" i="10"/>
  <c r="I133" i="10" s="1"/>
  <c r="I135" i="10" s="1"/>
  <c r="E199" i="10"/>
  <c r="E157" i="10"/>
  <c r="K141" i="10" l="1"/>
  <c r="K97" i="10"/>
  <c r="K110" i="10" s="1"/>
  <c r="K114" i="10" s="1"/>
  <c r="J149" i="10"/>
  <c r="H180" i="10"/>
  <c r="J135" i="10"/>
  <c r="K126" i="10"/>
  <c r="K148" i="10" s="1"/>
  <c r="K125" i="10"/>
  <c r="K147" i="10" s="1"/>
  <c r="F171" i="10"/>
  <c r="I150" i="10"/>
  <c r="I151" i="10"/>
  <c r="I153" i="10" s="1"/>
  <c r="I157" i="10" s="1"/>
  <c r="I161" i="10" s="1"/>
  <c r="F116" i="10"/>
  <c r="E180" i="10"/>
  <c r="E161" i="10"/>
  <c r="I116" i="10"/>
  <c r="L96" i="10"/>
  <c r="L97" i="10" s="1"/>
  <c r="L142" i="10"/>
  <c r="L149" i="10" s="1"/>
  <c r="L150" i="10" s="1"/>
  <c r="K124" i="10"/>
  <c r="K133" i="10" s="1"/>
  <c r="K135" i="10" s="1"/>
  <c r="G113" i="10"/>
  <c r="G114" i="10" s="1"/>
  <c r="G54" i="10"/>
  <c r="G53" i="10" s="1"/>
  <c r="J115" i="10"/>
  <c r="J152" i="10" s="1"/>
  <c r="G55" i="10"/>
  <c r="G167" i="10" s="1"/>
  <c r="F150" i="10"/>
  <c r="F153" i="10"/>
  <c r="J116" i="10" l="1"/>
  <c r="J151" i="10"/>
  <c r="J153" i="10" s="1"/>
  <c r="J157" i="10" s="1"/>
  <c r="J161" i="10" s="1"/>
  <c r="K149" i="10"/>
  <c r="K151" i="10" s="1"/>
  <c r="J150" i="10"/>
  <c r="I180" i="10"/>
  <c r="L151" i="10"/>
  <c r="L153" i="10" s="1"/>
  <c r="L157" i="10" s="1"/>
  <c r="L180" i="10" s="1"/>
  <c r="G115" i="10"/>
  <c r="G152" i="10" s="1"/>
  <c r="F199" i="10"/>
  <c r="F157" i="10"/>
  <c r="G169" i="10"/>
  <c r="G170" i="10"/>
  <c r="K115" i="10"/>
  <c r="K152" i="10" s="1"/>
  <c r="E181" i="10"/>
  <c r="K150" i="10" l="1"/>
  <c r="J180" i="10"/>
  <c r="L161" i="10"/>
  <c r="K153" i="10"/>
  <c r="K157" i="10" s="1"/>
  <c r="K180" i="10" s="1"/>
  <c r="K116" i="10"/>
  <c r="G171" i="10"/>
  <c r="B172" i="10" s="1"/>
  <c r="F180" i="10"/>
  <c r="F161" i="10"/>
  <c r="G150" i="10"/>
  <c r="G153" i="10"/>
  <c r="G116" i="10"/>
  <c r="D182" i="10"/>
  <c r="K161" i="10" l="1"/>
  <c r="F181" i="10"/>
  <c r="G199" i="10"/>
  <c r="G157" i="10"/>
  <c r="B175" i="10" s="1"/>
  <c r="I189" i="10"/>
  <c r="I190" i="10" s="1"/>
  <c r="H189" i="10"/>
  <c r="H190" i="10" s="1"/>
  <c r="G189" i="10"/>
  <c r="E189" i="10"/>
  <c r="E190" i="10" s="1"/>
  <c r="D189" i="10"/>
  <c r="D190" i="10" s="1"/>
  <c r="B189" i="10"/>
  <c r="B190" i="10" s="1"/>
  <c r="B191" i="10" s="1"/>
  <c r="C189" i="10"/>
  <c r="C190" i="10" s="1"/>
  <c r="K189" i="10"/>
  <c r="K190" i="10" s="1"/>
  <c r="B177" i="10"/>
  <c r="L189" i="10"/>
  <c r="L190" i="10" s="1"/>
  <c r="J189" i="10"/>
  <c r="J190" i="10" s="1"/>
  <c r="F189" i="10"/>
  <c r="F190" i="10" s="1"/>
  <c r="G161" i="10" l="1"/>
  <c r="G180" i="10"/>
  <c r="G190" i="10" s="1"/>
  <c r="B176" i="10"/>
  <c r="C191" i="10"/>
  <c r="B192" i="10" s="1"/>
  <c r="E182" i="10"/>
  <c r="G181" i="10" l="1"/>
  <c r="F182" i="10" s="1"/>
  <c r="D191" i="10"/>
  <c r="C192" i="10" s="1"/>
  <c r="H181" i="10" l="1"/>
  <c r="I181" i="10" s="1"/>
  <c r="E191" i="10"/>
  <c r="D192" i="10" s="1"/>
  <c r="G182" i="10" l="1"/>
  <c r="J181" i="10"/>
  <c r="I182" i="10" s="1"/>
  <c r="H182" i="10"/>
  <c r="F191" i="10"/>
  <c r="G191" i="10" l="1"/>
  <c r="F192" i="10" s="1"/>
  <c r="E192" i="10"/>
  <c r="H183" i="10"/>
  <c r="H184" i="10" s="1"/>
  <c r="K181" i="10"/>
  <c r="J182" i="10" s="1"/>
  <c r="B242" i="3"/>
  <c r="B237" i="3"/>
  <c r="B232" i="3"/>
  <c r="B222" i="3"/>
  <c r="B217" i="3"/>
  <c r="B212" i="3"/>
  <c r="C198" i="3"/>
  <c r="D198" i="3" s="1"/>
  <c r="E198" i="3" s="1"/>
  <c r="F198" i="3" s="1"/>
  <c r="G198" i="3" s="1"/>
  <c r="C188" i="3"/>
  <c r="D188" i="3" s="1"/>
  <c r="E188" i="3" s="1"/>
  <c r="F188" i="3" s="1"/>
  <c r="G188" i="3" s="1"/>
  <c r="H188" i="3" s="1"/>
  <c r="I188" i="3" s="1"/>
  <c r="J188" i="3" s="1"/>
  <c r="K188" i="3" s="1"/>
  <c r="L188" i="3" s="1"/>
  <c r="C179" i="3"/>
  <c r="D179" i="3" s="1"/>
  <c r="E179" i="3" s="1"/>
  <c r="F179" i="3" s="1"/>
  <c r="G179" i="3" s="1"/>
  <c r="H179" i="3" s="1"/>
  <c r="I179" i="3" s="1"/>
  <c r="J179" i="3" s="1"/>
  <c r="K179" i="3" s="1"/>
  <c r="L179" i="3" s="1"/>
  <c r="L167" i="3"/>
  <c r="K167" i="3"/>
  <c r="J167" i="3"/>
  <c r="I167" i="3"/>
  <c r="H167" i="3"/>
  <c r="C166" i="3"/>
  <c r="D166" i="3" s="1"/>
  <c r="E166" i="3" s="1"/>
  <c r="F166" i="3" s="1"/>
  <c r="G166" i="3" s="1"/>
  <c r="H166" i="3" s="1"/>
  <c r="I166" i="3" s="1"/>
  <c r="J166" i="3" s="1"/>
  <c r="K166" i="3" s="1"/>
  <c r="L166" i="3" s="1"/>
  <c r="B164" i="3"/>
  <c r="C156" i="3"/>
  <c r="D156" i="3" s="1"/>
  <c r="E156" i="3" s="1"/>
  <c r="F156" i="3" s="1"/>
  <c r="G156" i="3" s="1"/>
  <c r="H156" i="3" s="1"/>
  <c r="I156" i="3" s="1"/>
  <c r="J156" i="3" s="1"/>
  <c r="K156" i="3" s="1"/>
  <c r="L156" i="3" s="1"/>
  <c r="L152" i="3"/>
  <c r="B152" i="3"/>
  <c r="B139" i="3"/>
  <c r="B138" i="3"/>
  <c r="L132" i="3"/>
  <c r="C130" i="3"/>
  <c r="D130" i="3" s="1"/>
  <c r="E130" i="3" s="1"/>
  <c r="F130" i="3" s="1"/>
  <c r="G130" i="3" s="1"/>
  <c r="H130" i="3" s="1"/>
  <c r="I130" i="3" s="1"/>
  <c r="J130" i="3" s="1"/>
  <c r="K130" i="3" s="1"/>
  <c r="L130" i="3" s="1"/>
  <c r="C120" i="3"/>
  <c r="D120" i="3" s="1"/>
  <c r="E120" i="3" s="1"/>
  <c r="F120" i="3" s="1"/>
  <c r="G120" i="3" s="1"/>
  <c r="H120" i="3" s="1"/>
  <c r="I120" i="3" s="1"/>
  <c r="J120" i="3" s="1"/>
  <c r="K120" i="3" s="1"/>
  <c r="L120" i="3" s="1"/>
  <c r="C108" i="3"/>
  <c r="D108" i="3" s="1"/>
  <c r="E108" i="3" s="1"/>
  <c r="F108" i="3" s="1"/>
  <c r="G108" i="3" s="1"/>
  <c r="H108" i="3" s="1"/>
  <c r="I108" i="3" s="1"/>
  <c r="J108" i="3" s="1"/>
  <c r="K108" i="3" s="1"/>
  <c r="L108" i="3" s="1"/>
  <c r="K105" i="3"/>
  <c r="K111" i="3" s="1"/>
  <c r="J105" i="3"/>
  <c r="J111" i="3" s="1"/>
  <c r="I105" i="3"/>
  <c r="I111" i="3" s="1"/>
  <c r="H105" i="3"/>
  <c r="H111" i="3" s="1"/>
  <c r="G105" i="3"/>
  <c r="G111" i="3" s="1"/>
  <c r="F105" i="3"/>
  <c r="F111" i="3" s="1"/>
  <c r="E105" i="3"/>
  <c r="E111" i="3" s="1"/>
  <c r="D105" i="3"/>
  <c r="D111" i="3" s="1"/>
  <c r="C105" i="3"/>
  <c r="C111" i="3" s="1"/>
  <c r="C104" i="3"/>
  <c r="D104" i="3" s="1"/>
  <c r="E104" i="3" s="1"/>
  <c r="F104" i="3" s="1"/>
  <c r="G104" i="3" s="1"/>
  <c r="H104" i="3" s="1"/>
  <c r="I104" i="3" s="1"/>
  <c r="J104" i="3" s="1"/>
  <c r="K104" i="3" s="1"/>
  <c r="L104" i="3" s="1"/>
  <c r="C100" i="3"/>
  <c r="D100" i="3" s="1"/>
  <c r="E100" i="3" s="1"/>
  <c r="F100" i="3" s="1"/>
  <c r="G100" i="3" s="1"/>
  <c r="H100" i="3" s="1"/>
  <c r="I100" i="3" s="1"/>
  <c r="J100" i="3" s="1"/>
  <c r="K100" i="3" s="1"/>
  <c r="L100" i="3" s="1"/>
  <c r="C92" i="3"/>
  <c r="D92" i="3" s="1"/>
  <c r="E92" i="3" s="1"/>
  <c r="F92" i="3" s="1"/>
  <c r="G92" i="3" s="1"/>
  <c r="H92" i="3" s="1"/>
  <c r="I92" i="3" s="1"/>
  <c r="J92" i="3" s="1"/>
  <c r="K92" i="3" s="1"/>
  <c r="L92" i="3" s="1"/>
  <c r="C84" i="3"/>
  <c r="D84" i="3" s="1"/>
  <c r="C79" i="3"/>
  <c r="D79" i="3" s="1"/>
  <c r="E79" i="3" s="1"/>
  <c r="F79" i="3" s="1"/>
  <c r="G79" i="3" s="1"/>
  <c r="H79" i="3" s="1"/>
  <c r="I79" i="3" s="1"/>
  <c r="J79" i="3" s="1"/>
  <c r="K79" i="3" s="1"/>
  <c r="L79" i="3" s="1"/>
  <c r="C73" i="3"/>
  <c r="D73" i="3" s="1"/>
  <c r="E73" i="3" s="1"/>
  <c r="F73" i="3" s="1"/>
  <c r="G73" i="3" s="1"/>
  <c r="H73" i="3" s="1"/>
  <c r="I73" i="3" s="1"/>
  <c r="J73" i="3" s="1"/>
  <c r="K73" i="3" s="1"/>
  <c r="L73" i="3" s="1"/>
  <c r="K67" i="3"/>
  <c r="J67" i="3"/>
  <c r="I67" i="3"/>
  <c r="H67" i="3"/>
  <c r="G67" i="3"/>
  <c r="F67" i="3"/>
  <c r="E67" i="3"/>
  <c r="D67" i="3"/>
  <c r="C67" i="3"/>
  <c r="K66" i="3"/>
  <c r="J66" i="3"/>
  <c r="I66" i="3"/>
  <c r="H66" i="3"/>
  <c r="G66" i="3"/>
  <c r="F66" i="3"/>
  <c r="E66" i="3"/>
  <c r="D66" i="3"/>
  <c r="C66" i="3"/>
  <c r="C65" i="3"/>
  <c r="D65" i="3" s="1"/>
  <c r="E65" i="3" s="1"/>
  <c r="F65" i="3" s="1"/>
  <c r="G65" i="3" s="1"/>
  <c r="H65" i="3" s="1"/>
  <c r="I65" i="3" s="1"/>
  <c r="J65" i="3" s="1"/>
  <c r="K65" i="3" s="1"/>
  <c r="L65" i="3" s="1"/>
  <c r="C60" i="3"/>
  <c r="D60" i="3" s="1"/>
  <c r="C59" i="3"/>
  <c r="D59" i="3" s="1"/>
  <c r="E59" i="3" s="1"/>
  <c r="F59" i="3" s="1"/>
  <c r="G59" i="3" s="1"/>
  <c r="H59" i="3" s="1"/>
  <c r="I59" i="3" s="1"/>
  <c r="J59" i="3" s="1"/>
  <c r="K59" i="3" s="1"/>
  <c r="L59" i="3" s="1"/>
  <c r="B55" i="3"/>
  <c r="B167" i="3" s="1"/>
  <c r="C49" i="3"/>
  <c r="D49" i="3" s="1"/>
  <c r="E49" i="3" s="1"/>
  <c r="F49" i="3" s="1"/>
  <c r="G49" i="3" s="1"/>
  <c r="K43" i="3"/>
  <c r="J43" i="3"/>
  <c r="I43" i="3"/>
  <c r="H43" i="3"/>
  <c r="G43" i="3"/>
  <c r="F43" i="3"/>
  <c r="E43" i="3"/>
  <c r="D43" i="3"/>
  <c r="C43" i="3"/>
  <c r="C44" i="3" s="1"/>
  <c r="C42" i="3"/>
  <c r="C41" i="3"/>
  <c r="D41" i="3" s="1"/>
  <c r="E41" i="3" s="1"/>
  <c r="F41" i="3" s="1"/>
  <c r="G41" i="3" s="1"/>
  <c r="H41" i="3" s="1"/>
  <c r="I41" i="3" s="1"/>
  <c r="J41" i="3" s="1"/>
  <c r="K41" i="3" s="1"/>
  <c r="L41" i="3" s="1"/>
  <c r="C36" i="3"/>
  <c r="C94" i="3" s="1"/>
  <c r="C142" i="3" s="1"/>
  <c r="C35" i="3"/>
  <c r="D35" i="3" s="1"/>
  <c r="E35" i="3" s="1"/>
  <c r="F35" i="3" s="1"/>
  <c r="G35" i="3" s="1"/>
  <c r="H35" i="3" s="1"/>
  <c r="I35" i="3" s="1"/>
  <c r="J35" i="3" s="1"/>
  <c r="K35" i="3" s="1"/>
  <c r="L35" i="3" s="1"/>
  <c r="P29" i="3"/>
  <c r="P23" i="3"/>
  <c r="B75" i="3"/>
  <c r="B207" i="3"/>
  <c r="C207" i="3" s="1"/>
  <c r="E207" i="3" s="1"/>
  <c r="F207" i="3" s="1"/>
  <c r="G207" i="3" s="1"/>
  <c r="H207" i="3" s="1"/>
  <c r="I207" i="3" s="1"/>
  <c r="J207" i="3" s="1"/>
  <c r="K207" i="3" s="1"/>
  <c r="L207" i="3" s="1"/>
  <c r="M207" i="3" s="1"/>
  <c r="N207" i="3" s="1"/>
  <c r="O207" i="3" s="1"/>
  <c r="P207" i="3" s="1"/>
  <c r="Q207" i="3" s="1"/>
  <c r="R207" i="3" s="1"/>
  <c r="B202" i="3"/>
  <c r="C198" i="1"/>
  <c r="D198" i="1" s="1"/>
  <c r="E198" i="1" s="1"/>
  <c r="F198" i="1" s="1"/>
  <c r="G198" i="1" s="1"/>
  <c r="C188" i="1"/>
  <c r="D188" i="1" s="1"/>
  <c r="E188" i="1" s="1"/>
  <c r="F188" i="1" s="1"/>
  <c r="G188" i="1" s="1"/>
  <c r="H188" i="1" s="1"/>
  <c r="I188" i="1" s="1"/>
  <c r="J188" i="1" s="1"/>
  <c r="K188" i="1" s="1"/>
  <c r="L188" i="1" s="1"/>
  <c r="C179" i="1"/>
  <c r="D179" i="1" s="1"/>
  <c r="E179" i="1" s="1"/>
  <c r="F179" i="1" s="1"/>
  <c r="G179" i="1" s="1"/>
  <c r="H179" i="1" s="1"/>
  <c r="I179" i="1" s="1"/>
  <c r="J179" i="1" s="1"/>
  <c r="K179" i="1" s="1"/>
  <c r="L179" i="1" s="1"/>
  <c r="H167" i="1"/>
  <c r="I167" i="1"/>
  <c r="J167" i="1"/>
  <c r="K167" i="1"/>
  <c r="L167" i="1"/>
  <c r="B164" i="1"/>
  <c r="C166" i="1"/>
  <c r="D166" i="1" s="1"/>
  <c r="E166" i="1" s="1"/>
  <c r="F166" i="1" s="1"/>
  <c r="G166" i="1" s="1"/>
  <c r="H166" i="1" s="1"/>
  <c r="I166" i="1" s="1"/>
  <c r="J166" i="1" s="1"/>
  <c r="K166" i="1" s="1"/>
  <c r="L166" i="1" s="1"/>
  <c r="C156" i="1"/>
  <c r="D156" i="1" s="1"/>
  <c r="E156" i="1" s="1"/>
  <c r="F156" i="1" s="1"/>
  <c r="G156" i="1" s="1"/>
  <c r="H156" i="1" s="1"/>
  <c r="I156" i="1" s="1"/>
  <c r="J156" i="1" s="1"/>
  <c r="K156" i="1" s="1"/>
  <c r="L156" i="1" s="1"/>
  <c r="L152" i="1"/>
  <c r="B152" i="1"/>
  <c r="B139" i="1"/>
  <c r="B138" i="1"/>
  <c r="L132" i="1"/>
  <c r="C130" i="1"/>
  <c r="D130" i="1" s="1"/>
  <c r="E130" i="1" s="1"/>
  <c r="F130" i="1" s="1"/>
  <c r="G130" i="1" s="1"/>
  <c r="H130" i="1" s="1"/>
  <c r="I130" i="1" s="1"/>
  <c r="J130" i="1" s="1"/>
  <c r="K130" i="1" s="1"/>
  <c r="L130" i="1" s="1"/>
  <c r="C120" i="1"/>
  <c r="D120" i="1" s="1"/>
  <c r="E120" i="1" s="1"/>
  <c r="F120" i="1" s="1"/>
  <c r="G120" i="1" s="1"/>
  <c r="H120" i="1" s="1"/>
  <c r="I120" i="1" s="1"/>
  <c r="J120" i="1" s="1"/>
  <c r="K120" i="1" s="1"/>
  <c r="L120" i="1" s="1"/>
  <c r="G111" i="1"/>
  <c r="D105" i="1"/>
  <c r="D111" i="1" s="1"/>
  <c r="E105" i="1"/>
  <c r="E111" i="1" s="1"/>
  <c r="F105" i="1"/>
  <c r="F111" i="1" s="1"/>
  <c r="G105" i="1"/>
  <c r="H105" i="1"/>
  <c r="H111" i="1" s="1"/>
  <c r="I105" i="1"/>
  <c r="I111" i="1" s="1"/>
  <c r="J105" i="1"/>
  <c r="J111" i="1" s="1"/>
  <c r="K105" i="1"/>
  <c r="K111" i="1" s="1"/>
  <c r="C105" i="1"/>
  <c r="C111" i="1" s="1"/>
  <c r="C104" i="1"/>
  <c r="D104" i="1" s="1"/>
  <c r="E104" i="1" s="1"/>
  <c r="F104" i="1" s="1"/>
  <c r="G104" i="1" s="1"/>
  <c r="H104" i="1" s="1"/>
  <c r="I104" i="1" s="1"/>
  <c r="J104" i="1" s="1"/>
  <c r="K104" i="1" s="1"/>
  <c r="L104" i="1" s="1"/>
  <c r="H191" i="10" l="1"/>
  <c r="L181" i="10"/>
  <c r="L182" i="10" s="1"/>
  <c r="B149" i="1"/>
  <c r="B151" i="1" s="1"/>
  <c r="B153" i="1" s="1"/>
  <c r="B157" i="1" s="1"/>
  <c r="B180" i="1" s="1"/>
  <c r="B181" i="1" s="1"/>
  <c r="D44" i="3"/>
  <c r="E44" i="3" s="1"/>
  <c r="F44" i="3"/>
  <c r="G44" i="3" s="1"/>
  <c r="H44" i="3" s="1"/>
  <c r="I44" i="3" s="1"/>
  <c r="J44" i="3" s="1"/>
  <c r="K44" i="3" s="1"/>
  <c r="C45" i="3"/>
  <c r="D42" i="3" s="1"/>
  <c r="D45" i="3" s="1"/>
  <c r="E42" i="3" s="1"/>
  <c r="E45" i="3" s="1"/>
  <c r="F42" i="3" s="1"/>
  <c r="F45" i="3" s="1"/>
  <c r="G42" i="3" s="1"/>
  <c r="G45" i="3" s="1"/>
  <c r="H42" i="3" s="1"/>
  <c r="H45" i="3" s="1"/>
  <c r="I42" i="3" s="1"/>
  <c r="I45" i="3" s="1"/>
  <c r="J42" i="3" s="1"/>
  <c r="J45" i="3" s="1"/>
  <c r="K42" i="3" s="1"/>
  <c r="K45" i="3" s="1"/>
  <c r="L42" i="3" s="1"/>
  <c r="L134" i="3" s="1"/>
  <c r="B227" i="3"/>
  <c r="C85" i="3"/>
  <c r="C86" i="3" s="1"/>
  <c r="B149" i="3"/>
  <c r="B150" i="3" s="1"/>
  <c r="F202" i="3"/>
  <c r="G202" i="3" s="1"/>
  <c r="H202" i="3" s="1"/>
  <c r="I202" i="3" s="1"/>
  <c r="J202" i="3" s="1"/>
  <c r="K202" i="3" s="1"/>
  <c r="L202" i="3" s="1"/>
  <c r="M202" i="3" s="1"/>
  <c r="N202" i="3" s="1"/>
  <c r="O202" i="3" s="1"/>
  <c r="P202" i="3" s="1"/>
  <c r="Q202" i="3" s="1"/>
  <c r="R202" i="3" s="1"/>
  <c r="E60" i="3"/>
  <c r="F60" i="3" s="1"/>
  <c r="D85" i="3"/>
  <c r="E84" i="3"/>
  <c r="B62" i="3"/>
  <c r="C62" i="3"/>
  <c r="B74" i="3"/>
  <c r="C95" i="3"/>
  <c r="C50" i="3"/>
  <c r="C75" i="3"/>
  <c r="C80" i="3"/>
  <c r="C81" i="3" s="1"/>
  <c r="B61" i="3"/>
  <c r="C101" i="3"/>
  <c r="D36" i="3"/>
  <c r="D62" i="3" s="1"/>
  <c r="C93" i="3"/>
  <c r="B159" i="3"/>
  <c r="K182" i="10" l="1"/>
  <c r="I191" i="10"/>
  <c r="G192" i="10"/>
  <c r="B150" i="1"/>
  <c r="C76" i="3"/>
  <c r="C122" i="3" s="1"/>
  <c r="C88" i="3"/>
  <c r="B151" i="3"/>
  <c r="B153" i="3" s="1"/>
  <c r="B157" i="3" s="1"/>
  <c r="B161" i="3" s="1"/>
  <c r="D80" i="3"/>
  <c r="D81" i="3" s="1"/>
  <c r="D145" i="3" s="1"/>
  <c r="C87" i="3"/>
  <c r="C89" i="3" s="1"/>
  <c r="C143" i="3" s="1"/>
  <c r="D86" i="3"/>
  <c r="C69" i="3"/>
  <c r="C109" i="3" s="1"/>
  <c r="D52" i="3"/>
  <c r="C52" i="3"/>
  <c r="G52" i="3"/>
  <c r="F52" i="3"/>
  <c r="C51" i="3"/>
  <c r="E52" i="3"/>
  <c r="F84" i="3"/>
  <c r="E85" i="3"/>
  <c r="C96" i="3"/>
  <c r="C144" i="3"/>
  <c r="D61" i="3"/>
  <c r="D69" i="3" s="1"/>
  <c r="G60" i="3"/>
  <c r="D88" i="3"/>
  <c r="D95" i="3"/>
  <c r="D87" i="3"/>
  <c r="D94" i="3"/>
  <c r="D142" i="3" s="1"/>
  <c r="D75" i="3"/>
  <c r="D101" i="3"/>
  <c r="D74" i="3"/>
  <c r="D93" i="3"/>
  <c r="E36" i="3"/>
  <c r="C112" i="3"/>
  <c r="C146" i="3"/>
  <c r="C145" i="3"/>
  <c r="C112" i="1"/>
  <c r="C108" i="1"/>
  <c r="D108" i="1" s="1"/>
  <c r="E108" i="1" s="1"/>
  <c r="F108" i="1" s="1"/>
  <c r="G108" i="1" s="1"/>
  <c r="H108" i="1" s="1"/>
  <c r="I108" i="1" s="1"/>
  <c r="J108" i="1" s="1"/>
  <c r="K108" i="1" s="1"/>
  <c r="L108" i="1" s="1"/>
  <c r="C101" i="1"/>
  <c r="C146" i="1" s="1"/>
  <c r="C100" i="1"/>
  <c r="D100" i="1" s="1"/>
  <c r="E100" i="1" s="1"/>
  <c r="F100" i="1" s="1"/>
  <c r="G100" i="1" s="1"/>
  <c r="H100" i="1" s="1"/>
  <c r="I100" i="1" s="1"/>
  <c r="J100" i="1" s="1"/>
  <c r="K100" i="1" s="1"/>
  <c r="L100" i="1" s="1"/>
  <c r="C84" i="1"/>
  <c r="D84" i="1" s="1"/>
  <c r="C79" i="1"/>
  <c r="D79" i="1" s="1"/>
  <c r="E79" i="1" s="1"/>
  <c r="F79" i="1" s="1"/>
  <c r="G79" i="1" s="1"/>
  <c r="H79" i="1" s="1"/>
  <c r="I79" i="1" s="1"/>
  <c r="J79" i="1" s="1"/>
  <c r="K79" i="1" s="1"/>
  <c r="L79" i="1" s="1"/>
  <c r="C92" i="1"/>
  <c r="D92" i="1" s="1"/>
  <c r="E92" i="1" s="1"/>
  <c r="F92" i="1" s="1"/>
  <c r="G92" i="1" s="1"/>
  <c r="H92" i="1" s="1"/>
  <c r="I92" i="1" s="1"/>
  <c r="J92" i="1" s="1"/>
  <c r="K92" i="1" s="1"/>
  <c r="L92" i="1" s="1"/>
  <c r="C73" i="1"/>
  <c r="D73" i="1" s="1"/>
  <c r="E73" i="1" s="1"/>
  <c r="F73" i="1" s="1"/>
  <c r="G73" i="1" s="1"/>
  <c r="H73" i="1" s="1"/>
  <c r="I73" i="1" s="1"/>
  <c r="J73" i="1" s="1"/>
  <c r="K73" i="1" s="1"/>
  <c r="L73" i="1" s="1"/>
  <c r="J67" i="1"/>
  <c r="K67" i="1"/>
  <c r="I67" i="1"/>
  <c r="G67" i="1"/>
  <c r="H67" i="1"/>
  <c r="F67" i="1"/>
  <c r="D67" i="1"/>
  <c r="E67" i="1"/>
  <c r="C67" i="1"/>
  <c r="J66" i="1"/>
  <c r="K66" i="1"/>
  <c r="I66" i="1"/>
  <c r="G66" i="1"/>
  <c r="H66" i="1"/>
  <c r="F66" i="1"/>
  <c r="D66" i="1"/>
  <c r="E66" i="1"/>
  <c r="C66" i="1"/>
  <c r="C65" i="1"/>
  <c r="D65" i="1" s="1"/>
  <c r="E65" i="1" s="1"/>
  <c r="F65" i="1" s="1"/>
  <c r="G65" i="1" s="1"/>
  <c r="H65" i="1" s="1"/>
  <c r="I65" i="1" s="1"/>
  <c r="J65" i="1" s="1"/>
  <c r="K65" i="1" s="1"/>
  <c r="L65" i="1" s="1"/>
  <c r="B62" i="1"/>
  <c r="C60" i="1"/>
  <c r="D60" i="1" s="1"/>
  <c r="E60" i="1" s="1"/>
  <c r="F60" i="1" s="1"/>
  <c r="G60" i="1" s="1"/>
  <c r="H60" i="1" s="1"/>
  <c r="I60" i="1" s="1"/>
  <c r="J60" i="1" s="1"/>
  <c r="K60" i="1" s="1"/>
  <c r="C59" i="1"/>
  <c r="D59" i="1" s="1"/>
  <c r="E59" i="1" s="1"/>
  <c r="F59" i="1" s="1"/>
  <c r="G59" i="1" s="1"/>
  <c r="H59" i="1" s="1"/>
  <c r="I59" i="1" s="1"/>
  <c r="J59" i="1" s="1"/>
  <c r="K59" i="1" s="1"/>
  <c r="L59" i="1" s="1"/>
  <c r="B55" i="1"/>
  <c r="C49" i="1"/>
  <c r="D49" i="1" s="1"/>
  <c r="E49" i="1" s="1"/>
  <c r="F49" i="1" s="1"/>
  <c r="G49" i="1" s="1"/>
  <c r="D43" i="1"/>
  <c r="E43" i="1"/>
  <c r="F43" i="1"/>
  <c r="G43" i="1"/>
  <c r="H43" i="1"/>
  <c r="I43" i="1"/>
  <c r="J43" i="1"/>
  <c r="K43" i="1"/>
  <c r="C43" i="1"/>
  <c r="C44" i="1" s="1"/>
  <c r="C42" i="1"/>
  <c r="C45" i="1" s="1"/>
  <c r="D42" i="1" s="1"/>
  <c r="D45" i="1" s="1"/>
  <c r="E42" i="1" s="1"/>
  <c r="E45" i="1" s="1"/>
  <c r="F42" i="1" s="1"/>
  <c r="C41" i="1"/>
  <c r="D41" i="1" s="1"/>
  <c r="E41" i="1" s="1"/>
  <c r="F41" i="1" s="1"/>
  <c r="G41" i="1" s="1"/>
  <c r="H41" i="1" s="1"/>
  <c r="I41" i="1" s="1"/>
  <c r="J41" i="1" s="1"/>
  <c r="K41" i="1" s="1"/>
  <c r="L41" i="1" s="1"/>
  <c r="C36" i="1"/>
  <c r="C35" i="1"/>
  <c r="D35" i="1" s="1"/>
  <c r="E35" i="1" s="1"/>
  <c r="F35" i="1" s="1"/>
  <c r="G35" i="1" s="1"/>
  <c r="H35" i="1" s="1"/>
  <c r="I35" i="1" s="1"/>
  <c r="J35" i="1" s="1"/>
  <c r="K35" i="1" s="1"/>
  <c r="L35" i="1" s="1"/>
  <c r="P29" i="1"/>
  <c r="P23" i="1"/>
  <c r="B61" i="1"/>
  <c r="J191" i="10" l="1"/>
  <c r="I192" i="10" s="1"/>
  <c r="H192" i="10"/>
  <c r="C141" i="3"/>
  <c r="B180" i="3"/>
  <c r="B181" i="3" s="1"/>
  <c r="D89" i="3"/>
  <c r="D143" i="3" s="1"/>
  <c r="C97" i="3"/>
  <c r="C110" i="3" s="1"/>
  <c r="C121" i="3"/>
  <c r="C124" i="3" s="1"/>
  <c r="C133" i="3" s="1"/>
  <c r="C123" i="3"/>
  <c r="C126" i="3" s="1"/>
  <c r="C148" i="3" s="1"/>
  <c r="C132" i="3"/>
  <c r="G160" i="3"/>
  <c r="D112" i="3"/>
  <c r="D146" i="3"/>
  <c r="D123" i="3"/>
  <c r="D109" i="3"/>
  <c r="D121" i="3"/>
  <c r="D132" i="3"/>
  <c r="C113" i="3"/>
  <c r="C54" i="3"/>
  <c r="C53" i="3" s="1"/>
  <c r="C125" i="3"/>
  <c r="C147" i="3" s="1"/>
  <c r="F160" i="3"/>
  <c r="C160" i="3"/>
  <c r="C55" i="3"/>
  <c r="E86" i="3"/>
  <c r="D160" i="3"/>
  <c r="H60" i="3"/>
  <c r="E88" i="3"/>
  <c r="E95" i="3"/>
  <c r="E87" i="3"/>
  <c r="E101" i="3"/>
  <c r="E93" i="3"/>
  <c r="E75" i="3"/>
  <c r="E94" i="3"/>
  <c r="F36" i="3"/>
  <c r="E74" i="3"/>
  <c r="E80" i="3"/>
  <c r="E81" i="3" s="1"/>
  <c r="E62" i="3"/>
  <c r="E61" i="3"/>
  <c r="D96" i="3"/>
  <c r="D144" i="3"/>
  <c r="F168" i="3"/>
  <c r="E168" i="3"/>
  <c r="L168" i="3"/>
  <c r="D168" i="3"/>
  <c r="J168" i="3"/>
  <c r="B168" i="3"/>
  <c r="K168" i="3"/>
  <c r="I168" i="3"/>
  <c r="H168" i="3"/>
  <c r="G168" i="3"/>
  <c r="C168" i="3"/>
  <c r="F85" i="3"/>
  <c r="G84" i="3"/>
  <c r="D76" i="3"/>
  <c r="E160" i="3"/>
  <c r="C50" i="1"/>
  <c r="C52" i="1" s="1"/>
  <c r="C160" i="1" s="1"/>
  <c r="B167" i="1"/>
  <c r="B159" i="1"/>
  <c r="B161" i="1" s="1"/>
  <c r="C85" i="1"/>
  <c r="F45" i="1"/>
  <c r="G42" i="1" s="1"/>
  <c r="G45" i="1" s="1"/>
  <c r="H42" i="1" s="1"/>
  <c r="H45" i="1" s="1"/>
  <c r="I42" i="1" s="1"/>
  <c r="I45" i="1" s="1"/>
  <c r="J42" i="1" s="1"/>
  <c r="J45" i="1" s="1"/>
  <c r="K42" i="1" s="1"/>
  <c r="K45" i="1" s="1"/>
  <c r="L42" i="1" s="1"/>
  <c r="L134" i="1" s="1"/>
  <c r="E84" i="1"/>
  <c r="E85" i="1" s="1"/>
  <c r="D85" i="1"/>
  <c r="C75" i="1"/>
  <c r="C61" i="1"/>
  <c r="D44" i="1"/>
  <c r="B75" i="1"/>
  <c r="C95" i="1"/>
  <c r="C93" i="1"/>
  <c r="C144" i="1" s="1"/>
  <c r="C74" i="1"/>
  <c r="C94" i="1"/>
  <c r="C142" i="1" s="1"/>
  <c r="C80" i="1"/>
  <c r="C81" i="1" s="1"/>
  <c r="C145" i="1" s="1"/>
  <c r="B74" i="1"/>
  <c r="C62" i="1"/>
  <c r="D36" i="1"/>
  <c r="D101" i="1" s="1"/>
  <c r="I193" i="10" l="1"/>
  <c r="I194" i="10" s="1"/>
  <c r="K191" i="10"/>
  <c r="J192" i="10" s="1"/>
  <c r="F52" i="1"/>
  <c r="F160" i="1" s="1"/>
  <c r="D52" i="1"/>
  <c r="D160" i="1" s="1"/>
  <c r="C51" i="1"/>
  <c r="C113" i="1" s="1"/>
  <c r="E52" i="1"/>
  <c r="E160" i="1" s="1"/>
  <c r="G52" i="1"/>
  <c r="G160" i="1" s="1"/>
  <c r="F86" i="3"/>
  <c r="C114" i="3"/>
  <c r="C115" i="3" s="1"/>
  <c r="C152" i="3" s="1"/>
  <c r="E76" i="3"/>
  <c r="D124" i="3"/>
  <c r="D133" i="3" s="1"/>
  <c r="D135" i="3" s="1"/>
  <c r="D126" i="3"/>
  <c r="D148" i="3" s="1"/>
  <c r="C135" i="3"/>
  <c r="C149" i="3"/>
  <c r="D50" i="3"/>
  <c r="C167" i="3"/>
  <c r="C169" i="3" s="1"/>
  <c r="J170" i="3"/>
  <c r="J169" i="3"/>
  <c r="E69" i="3"/>
  <c r="E112" i="3"/>
  <c r="E146" i="3"/>
  <c r="E145" i="3"/>
  <c r="E89" i="3"/>
  <c r="E143" i="3" s="1"/>
  <c r="H170" i="3"/>
  <c r="H169" i="3"/>
  <c r="F95" i="3"/>
  <c r="F87" i="3"/>
  <c r="F101" i="3"/>
  <c r="G36" i="3"/>
  <c r="G94" i="3" s="1"/>
  <c r="G142" i="3" s="1"/>
  <c r="F74" i="3"/>
  <c r="F93" i="3"/>
  <c r="F88" i="3"/>
  <c r="F75" i="3"/>
  <c r="F62" i="3"/>
  <c r="F80" i="3"/>
  <c r="F81" i="3" s="1"/>
  <c r="F61" i="3"/>
  <c r="D141" i="3"/>
  <c r="D122" i="3"/>
  <c r="I170" i="3"/>
  <c r="I169" i="3"/>
  <c r="E142" i="3"/>
  <c r="F94" i="3"/>
  <c r="F142" i="3" s="1"/>
  <c r="L170" i="3"/>
  <c r="L169" i="3"/>
  <c r="G85" i="3"/>
  <c r="G86" i="3" s="1"/>
  <c r="H84" i="3"/>
  <c r="K170" i="3"/>
  <c r="K169" i="3"/>
  <c r="D97" i="3"/>
  <c r="D110" i="3" s="1"/>
  <c r="I60" i="3"/>
  <c r="B170" i="3"/>
  <c r="B169" i="3"/>
  <c r="E96" i="3"/>
  <c r="E144" i="3"/>
  <c r="D112" i="1"/>
  <c r="D146" i="1"/>
  <c r="F84" i="1"/>
  <c r="G84" i="1" s="1"/>
  <c r="I168" i="1"/>
  <c r="B168" i="1"/>
  <c r="B170" i="1" s="1"/>
  <c r="F168" i="1"/>
  <c r="J168" i="1"/>
  <c r="C168" i="1"/>
  <c r="G168" i="1"/>
  <c r="K168" i="1"/>
  <c r="D168" i="1"/>
  <c r="H168" i="1"/>
  <c r="L168" i="1"/>
  <c r="E168" i="1"/>
  <c r="C96" i="1"/>
  <c r="C69" i="1"/>
  <c r="D75" i="1"/>
  <c r="C76" i="1"/>
  <c r="E44" i="1"/>
  <c r="D93" i="1"/>
  <c r="D144" i="1" s="1"/>
  <c r="D95" i="1"/>
  <c r="D94" i="1"/>
  <c r="D142" i="1" s="1"/>
  <c r="D88" i="1"/>
  <c r="D80" i="1"/>
  <c r="D81" i="1" s="1"/>
  <c r="D145" i="1" s="1"/>
  <c r="D74" i="1"/>
  <c r="D87" i="1"/>
  <c r="C87" i="1"/>
  <c r="C86" i="1"/>
  <c r="C88" i="1"/>
  <c r="D86" i="1"/>
  <c r="E36" i="1"/>
  <c r="E101" i="1" s="1"/>
  <c r="D62" i="1"/>
  <c r="D61" i="1"/>
  <c r="L191" i="10" l="1"/>
  <c r="L192" i="10" s="1"/>
  <c r="C54" i="1"/>
  <c r="C53" i="1" s="1"/>
  <c r="D76" i="1"/>
  <c r="D141" i="1" s="1"/>
  <c r="C55" i="1"/>
  <c r="D50" i="1" s="1"/>
  <c r="D51" i="1" s="1"/>
  <c r="B169" i="1"/>
  <c r="B171" i="1" s="1"/>
  <c r="F89" i="3"/>
  <c r="F143" i="3" s="1"/>
  <c r="L171" i="3"/>
  <c r="H171" i="3"/>
  <c r="E97" i="3"/>
  <c r="E110" i="3" s="1"/>
  <c r="E141" i="3"/>
  <c r="E122" i="3"/>
  <c r="E125" i="3" s="1"/>
  <c r="E147" i="3" s="1"/>
  <c r="C151" i="3"/>
  <c r="C153" i="3" s="1"/>
  <c r="C199" i="3" s="1"/>
  <c r="C150" i="3"/>
  <c r="I171" i="3"/>
  <c r="F145" i="3"/>
  <c r="J171" i="3"/>
  <c r="J60" i="3"/>
  <c r="B171" i="3"/>
  <c r="K171" i="3"/>
  <c r="F144" i="3"/>
  <c r="F96" i="3"/>
  <c r="D51" i="3"/>
  <c r="D55" i="3" s="1"/>
  <c r="F76" i="3"/>
  <c r="D125" i="3"/>
  <c r="D147" i="3" s="1"/>
  <c r="D149" i="3" s="1"/>
  <c r="H85" i="3"/>
  <c r="H86" i="3" s="1"/>
  <c r="I84" i="3"/>
  <c r="C170" i="3"/>
  <c r="C171" i="3" s="1"/>
  <c r="G101" i="3"/>
  <c r="G93" i="3"/>
  <c r="G87" i="3"/>
  <c r="H36" i="3"/>
  <c r="G88" i="3"/>
  <c r="G95" i="3"/>
  <c r="G75" i="3"/>
  <c r="G74" i="3"/>
  <c r="G80" i="3"/>
  <c r="G81" i="3" s="1"/>
  <c r="G61" i="3"/>
  <c r="G62" i="3"/>
  <c r="C116" i="3"/>
  <c r="F69" i="3"/>
  <c r="F146" i="3"/>
  <c r="F112" i="3"/>
  <c r="E132" i="3"/>
  <c r="E121" i="3"/>
  <c r="E109" i="3"/>
  <c r="E123" i="3"/>
  <c r="F85" i="1"/>
  <c r="C122" i="1"/>
  <c r="C125" i="1" s="1"/>
  <c r="C147" i="1" s="1"/>
  <c r="C141" i="1"/>
  <c r="E112" i="1"/>
  <c r="E146" i="1"/>
  <c r="J169" i="1"/>
  <c r="J170" i="1"/>
  <c r="K170" i="1"/>
  <c r="K169" i="1"/>
  <c r="L169" i="1"/>
  <c r="L170" i="1"/>
  <c r="H169" i="1"/>
  <c r="H170" i="1"/>
  <c r="I169" i="1"/>
  <c r="I170" i="1"/>
  <c r="C109" i="1"/>
  <c r="C132" i="1"/>
  <c r="C123" i="1"/>
  <c r="C121" i="1"/>
  <c r="D69" i="1"/>
  <c r="E88" i="1"/>
  <c r="E86" i="1"/>
  <c r="D96" i="1"/>
  <c r="E95" i="1"/>
  <c r="E94" i="1"/>
  <c r="E142" i="1" s="1"/>
  <c r="E93" i="1"/>
  <c r="E144" i="1" s="1"/>
  <c r="E74" i="1"/>
  <c r="E80" i="1"/>
  <c r="E81" i="1" s="1"/>
  <c r="E145" i="1" s="1"/>
  <c r="E87" i="1"/>
  <c r="E75" i="1"/>
  <c r="C89" i="1"/>
  <c r="F44" i="1"/>
  <c r="D89" i="1"/>
  <c r="D143" i="1" s="1"/>
  <c r="H84" i="1"/>
  <c r="G85" i="1"/>
  <c r="F36" i="1"/>
  <c r="F101" i="1" s="1"/>
  <c r="E61" i="1"/>
  <c r="E62" i="1"/>
  <c r="K192" i="10" l="1"/>
  <c r="D122" i="1"/>
  <c r="D125" i="1" s="1"/>
  <c r="D147" i="1" s="1"/>
  <c r="C167" i="1"/>
  <c r="C169" i="1" s="1"/>
  <c r="G89" i="3"/>
  <c r="G143" i="3" s="1"/>
  <c r="F97" i="3"/>
  <c r="F110" i="3" s="1"/>
  <c r="C157" i="3"/>
  <c r="C161" i="3" s="1"/>
  <c r="D151" i="3"/>
  <c r="J84" i="3"/>
  <c r="I85" i="3"/>
  <c r="E50" i="3"/>
  <c r="D167" i="3"/>
  <c r="K60" i="3"/>
  <c r="H93" i="3"/>
  <c r="H101" i="3"/>
  <c r="H87" i="3"/>
  <c r="I36" i="3"/>
  <c r="H95" i="3"/>
  <c r="H88" i="3"/>
  <c r="H74" i="3"/>
  <c r="H80" i="3"/>
  <c r="H81" i="3" s="1"/>
  <c r="H75" i="3"/>
  <c r="H94" i="3"/>
  <c r="H61" i="3"/>
  <c r="H62" i="3"/>
  <c r="E126" i="3"/>
  <c r="E148" i="3" s="1"/>
  <c r="E149" i="3" s="1"/>
  <c r="G96" i="3"/>
  <c r="G144" i="3"/>
  <c r="G69" i="3"/>
  <c r="G145" i="3"/>
  <c r="G146" i="3"/>
  <c r="G112" i="3"/>
  <c r="F141" i="3"/>
  <c r="F122" i="3"/>
  <c r="E124" i="3"/>
  <c r="E133" i="3" s="1"/>
  <c r="E135" i="3" s="1"/>
  <c r="F132" i="3"/>
  <c r="F123" i="3"/>
  <c r="F126" i="3" s="1"/>
  <c r="F148" i="3" s="1"/>
  <c r="F109" i="3"/>
  <c r="F121" i="3"/>
  <c r="F124" i="3" s="1"/>
  <c r="F133" i="3" s="1"/>
  <c r="G76" i="3"/>
  <c r="D113" i="3"/>
  <c r="D114" i="3" s="1"/>
  <c r="D54" i="3"/>
  <c r="D53" i="3" s="1"/>
  <c r="C97" i="1"/>
  <c r="C110" i="1" s="1"/>
  <c r="C114" i="1" s="1"/>
  <c r="C115" i="1" s="1"/>
  <c r="C143" i="1"/>
  <c r="L171" i="1"/>
  <c r="F112" i="1"/>
  <c r="F146" i="1"/>
  <c r="I171" i="1"/>
  <c r="C170" i="1"/>
  <c r="C171" i="1" s="1"/>
  <c r="J171" i="1"/>
  <c r="H171" i="1"/>
  <c r="K171" i="1"/>
  <c r="D54" i="1"/>
  <c r="D53" i="1" s="1"/>
  <c r="D113" i="1"/>
  <c r="C124" i="1"/>
  <c r="C133" i="1" s="1"/>
  <c r="C135" i="1" s="1"/>
  <c r="D109" i="1"/>
  <c r="D132" i="1"/>
  <c r="D123" i="1"/>
  <c r="D121" i="1"/>
  <c r="D97" i="1"/>
  <c r="D110" i="1" s="1"/>
  <c r="C126" i="1"/>
  <c r="C148" i="1" s="1"/>
  <c r="C149" i="1" s="1"/>
  <c r="F86" i="1"/>
  <c r="D55" i="1"/>
  <c r="F94" i="1"/>
  <c r="F142" i="1" s="1"/>
  <c r="F93" i="1"/>
  <c r="F144" i="1" s="1"/>
  <c r="F95" i="1"/>
  <c r="F74" i="1"/>
  <c r="F80" i="1"/>
  <c r="F81" i="1" s="1"/>
  <c r="F145" i="1" s="1"/>
  <c r="F75" i="1"/>
  <c r="F88" i="1"/>
  <c r="G44" i="1"/>
  <c r="F87" i="1"/>
  <c r="E76" i="1"/>
  <c r="E96" i="1"/>
  <c r="E89" i="1"/>
  <c r="H85" i="1"/>
  <c r="I84" i="1"/>
  <c r="E69" i="1"/>
  <c r="G36" i="1"/>
  <c r="G101" i="1" s="1"/>
  <c r="F61" i="1"/>
  <c r="F62" i="1"/>
  <c r="H89" i="3" l="1"/>
  <c r="H143" i="3" s="1"/>
  <c r="C180" i="3"/>
  <c r="C181" i="3" s="1"/>
  <c r="E151" i="3"/>
  <c r="G122" i="3"/>
  <c r="G125" i="3" s="1"/>
  <c r="G147" i="3" s="1"/>
  <c r="G141" i="3"/>
  <c r="D169" i="3"/>
  <c r="D170" i="3"/>
  <c r="I93" i="3"/>
  <c r="I88" i="3"/>
  <c r="I101" i="3"/>
  <c r="I87" i="3"/>
  <c r="J36" i="3"/>
  <c r="J94" i="3" s="1"/>
  <c r="J142" i="3" s="1"/>
  <c r="I95" i="3"/>
  <c r="I74" i="3"/>
  <c r="I75" i="3"/>
  <c r="I80" i="3"/>
  <c r="I81" i="3" s="1"/>
  <c r="I62" i="3"/>
  <c r="I61" i="3"/>
  <c r="D115" i="3"/>
  <c r="D152" i="3" s="1"/>
  <c r="D150" i="3" s="1"/>
  <c r="H69" i="3"/>
  <c r="G132" i="3"/>
  <c r="G123" i="3"/>
  <c r="G126" i="3" s="1"/>
  <c r="G148" i="3" s="1"/>
  <c r="G109" i="3"/>
  <c r="G121" i="3"/>
  <c r="I94" i="3"/>
  <c r="I142" i="3" s="1"/>
  <c r="H142" i="3"/>
  <c r="H146" i="3"/>
  <c r="H112" i="3"/>
  <c r="I86" i="3"/>
  <c r="H144" i="3"/>
  <c r="H96" i="3"/>
  <c r="J85" i="3"/>
  <c r="K84" i="3"/>
  <c r="E51" i="3"/>
  <c r="E55" i="3" s="1"/>
  <c r="F135" i="3"/>
  <c r="F125" i="3"/>
  <c r="F147" i="3" s="1"/>
  <c r="F149" i="3" s="1"/>
  <c r="H145" i="3"/>
  <c r="G97" i="3"/>
  <c r="G110" i="3" s="1"/>
  <c r="H76" i="3"/>
  <c r="C151" i="1"/>
  <c r="E97" i="1"/>
  <c r="E110" i="1" s="1"/>
  <c r="E143" i="1"/>
  <c r="E122" i="1"/>
  <c r="E125" i="1" s="1"/>
  <c r="E147" i="1" s="1"/>
  <c r="E141" i="1"/>
  <c r="G112" i="1"/>
  <c r="G146" i="1"/>
  <c r="D114" i="1"/>
  <c r="D115" i="1" s="1"/>
  <c r="E50" i="1"/>
  <c r="E51" i="1" s="1"/>
  <c r="E54" i="1" s="1"/>
  <c r="E53" i="1" s="1"/>
  <c r="D167" i="1"/>
  <c r="C116" i="1"/>
  <c r="C152" i="1"/>
  <c r="E109" i="1"/>
  <c r="E121" i="1"/>
  <c r="E124" i="1" s="1"/>
  <c r="E133" i="1" s="1"/>
  <c r="E132" i="1"/>
  <c r="E123" i="1"/>
  <c r="F89" i="1"/>
  <c r="F143" i="1" s="1"/>
  <c r="D126" i="1"/>
  <c r="D148" i="1" s="1"/>
  <c r="D149" i="1" s="1"/>
  <c r="D124" i="1"/>
  <c r="D133" i="1" s="1"/>
  <c r="D135" i="1" s="1"/>
  <c r="F76" i="1"/>
  <c r="G88" i="1"/>
  <c r="G87" i="1"/>
  <c r="F96" i="1"/>
  <c r="G94" i="1"/>
  <c r="G142" i="1" s="1"/>
  <c r="H44" i="1"/>
  <c r="G95" i="1"/>
  <c r="G93" i="1"/>
  <c r="G144" i="1" s="1"/>
  <c r="G80" i="1"/>
  <c r="G81" i="1" s="1"/>
  <c r="G145" i="1" s="1"/>
  <c r="G74" i="1"/>
  <c r="G75" i="1"/>
  <c r="G86" i="1"/>
  <c r="I85" i="1"/>
  <c r="J84" i="1"/>
  <c r="F69" i="1"/>
  <c r="H36" i="1"/>
  <c r="H101" i="1" s="1"/>
  <c r="G62" i="1"/>
  <c r="G61" i="1"/>
  <c r="G69" i="1" s="1"/>
  <c r="E55" i="1" l="1"/>
  <c r="E167" i="1" s="1"/>
  <c r="E113" i="1"/>
  <c r="J86" i="3"/>
  <c r="I89" i="3"/>
  <c r="I143" i="3" s="1"/>
  <c r="H97" i="3"/>
  <c r="H110" i="3" s="1"/>
  <c r="D153" i="3"/>
  <c r="D199" i="3" s="1"/>
  <c r="I144" i="3"/>
  <c r="I96" i="3"/>
  <c r="K85" i="3"/>
  <c r="L84" i="3"/>
  <c r="B182" i="3"/>
  <c r="I69" i="3"/>
  <c r="I112" i="3"/>
  <c r="I146" i="3"/>
  <c r="H122" i="3"/>
  <c r="H141" i="3"/>
  <c r="H123" i="3"/>
  <c r="H126" i="3" s="1"/>
  <c r="H148" i="3" s="1"/>
  <c r="H109" i="3"/>
  <c r="H121" i="3"/>
  <c r="H124" i="3" s="1"/>
  <c r="H133" i="3" s="1"/>
  <c r="H132" i="3"/>
  <c r="I76" i="3"/>
  <c r="D171" i="3"/>
  <c r="G149" i="3"/>
  <c r="G124" i="3"/>
  <c r="G133" i="3" s="1"/>
  <c r="G135" i="3" s="1"/>
  <c r="E167" i="3"/>
  <c r="F50" i="3"/>
  <c r="J95" i="3"/>
  <c r="J87" i="3"/>
  <c r="K36" i="3"/>
  <c r="J88" i="3"/>
  <c r="J75" i="3"/>
  <c r="J101" i="3"/>
  <c r="J93" i="3"/>
  <c r="J80" i="3"/>
  <c r="J81" i="3" s="1"/>
  <c r="J74" i="3"/>
  <c r="J62" i="3"/>
  <c r="J61" i="3"/>
  <c r="I145" i="3"/>
  <c r="F151" i="3"/>
  <c r="E113" i="3"/>
  <c r="E114" i="3" s="1"/>
  <c r="E54" i="3"/>
  <c r="E53" i="3" s="1"/>
  <c r="D116" i="3"/>
  <c r="D151" i="1"/>
  <c r="H112" i="1"/>
  <c r="H146" i="1"/>
  <c r="F122" i="1"/>
  <c r="F125" i="1" s="1"/>
  <c r="F147" i="1" s="1"/>
  <c r="F141" i="1"/>
  <c r="C150" i="1"/>
  <c r="C153" i="1"/>
  <c r="C199" i="1" s="1"/>
  <c r="E114" i="1"/>
  <c r="E115" i="1" s="1"/>
  <c r="D116" i="1"/>
  <c r="D152" i="1"/>
  <c r="D169" i="1"/>
  <c r="D170" i="1"/>
  <c r="E126" i="1"/>
  <c r="E148" i="1" s="1"/>
  <c r="E149" i="1" s="1"/>
  <c r="G109" i="1"/>
  <c r="G121" i="1"/>
  <c r="G132" i="1"/>
  <c r="G123" i="1"/>
  <c r="E135" i="1"/>
  <c r="F109" i="1"/>
  <c r="F121" i="1"/>
  <c r="F132" i="1"/>
  <c r="F123" i="1"/>
  <c r="G89" i="1"/>
  <c r="G143" i="1" s="1"/>
  <c r="F97" i="1"/>
  <c r="F110" i="1" s="1"/>
  <c r="H93" i="1"/>
  <c r="H144" i="1" s="1"/>
  <c r="H95" i="1"/>
  <c r="H80" i="1"/>
  <c r="H81" i="1" s="1"/>
  <c r="H145" i="1" s="1"/>
  <c r="H75" i="1"/>
  <c r="H74" i="1"/>
  <c r="H94" i="1"/>
  <c r="H142" i="1" s="1"/>
  <c r="G96" i="1"/>
  <c r="H87" i="1"/>
  <c r="H86" i="1"/>
  <c r="G76" i="1"/>
  <c r="H88" i="1"/>
  <c r="I44" i="1"/>
  <c r="K84" i="1"/>
  <c r="J85" i="1"/>
  <c r="I36" i="1"/>
  <c r="I101" i="1" s="1"/>
  <c r="H62" i="1"/>
  <c r="H61" i="1"/>
  <c r="G124" i="1" l="1"/>
  <c r="G133" i="1" s="1"/>
  <c r="G135" i="1" s="1"/>
  <c r="F50" i="1"/>
  <c r="F51" i="1" s="1"/>
  <c r="F113" i="1" s="1"/>
  <c r="F114" i="1" s="1"/>
  <c r="E151" i="1"/>
  <c r="J89" i="3"/>
  <c r="J143" i="3" s="1"/>
  <c r="K86" i="3"/>
  <c r="J76" i="3"/>
  <c r="J141" i="3" s="1"/>
  <c r="I97" i="3"/>
  <c r="I110" i="3" s="1"/>
  <c r="H114" i="3"/>
  <c r="H115" i="3" s="1"/>
  <c r="H152" i="3" s="1"/>
  <c r="G151" i="3"/>
  <c r="D157" i="3"/>
  <c r="D180" i="3" s="1"/>
  <c r="E115" i="3"/>
  <c r="E152" i="3" s="1"/>
  <c r="J69" i="3"/>
  <c r="K88" i="3"/>
  <c r="K101" i="3"/>
  <c r="L36" i="3"/>
  <c r="K95" i="3"/>
  <c r="K93" i="3"/>
  <c r="K74" i="3"/>
  <c r="K87" i="3"/>
  <c r="K80" i="3"/>
  <c r="K81" i="3" s="1"/>
  <c r="K75" i="3"/>
  <c r="K61" i="3"/>
  <c r="K62" i="3"/>
  <c r="K94" i="3"/>
  <c r="J144" i="3"/>
  <c r="J96" i="3"/>
  <c r="F51" i="3"/>
  <c r="F55" i="3" s="1"/>
  <c r="H135" i="3"/>
  <c r="E169" i="3"/>
  <c r="E170" i="3"/>
  <c r="I121" i="3"/>
  <c r="I124" i="3" s="1"/>
  <c r="I133" i="3" s="1"/>
  <c r="I132" i="3"/>
  <c r="I123" i="3"/>
  <c r="I109" i="3"/>
  <c r="J145" i="3"/>
  <c r="I122" i="3"/>
  <c r="I141" i="3"/>
  <c r="J112" i="3"/>
  <c r="J146" i="3"/>
  <c r="H125" i="3"/>
  <c r="H147" i="3" s="1"/>
  <c r="H149" i="3" s="1"/>
  <c r="F124" i="1"/>
  <c r="F133" i="1" s="1"/>
  <c r="F135" i="1" s="1"/>
  <c r="I112" i="1"/>
  <c r="I146" i="1"/>
  <c r="G126" i="1"/>
  <c r="G148" i="1" s="1"/>
  <c r="G122" i="1"/>
  <c r="G125" i="1" s="1"/>
  <c r="G147" i="1" s="1"/>
  <c r="G141" i="1"/>
  <c r="E116" i="1"/>
  <c r="E152" i="1"/>
  <c r="D171" i="1"/>
  <c r="C157" i="1"/>
  <c r="E169" i="1"/>
  <c r="E170" i="1"/>
  <c r="D150" i="1"/>
  <c r="D153" i="1"/>
  <c r="F126" i="1"/>
  <c r="F148" i="1" s="1"/>
  <c r="F149" i="1" s="1"/>
  <c r="G97" i="1"/>
  <c r="G110" i="1" s="1"/>
  <c r="I88" i="1"/>
  <c r="H89" i="1"/>
  <c r="H143" i="1" s="1"/>
  <c r="H76" i="1"/>
  <c r="J44" i="1"/>
  <c r="H69" i="1"/>
  <c r="I86" i="1"/>
  <c r="I94" i="1"/>
  <c r="I142" i="1" s="1"/>
  <c r="I95" i="1"/>
  <c r="I93" i="1"/>
  <c r="I144" i="1" s="1"/>
  <c r="I75" i="1"/>
  <c r="I74" i="1"/>
  <c r="I80" i="1"/>
  <c r="I81" i="1" s="1"/>
  <c r="I145" i="1" s="1"/>
  <c r="I87" i="1"/>
  <c r="H96" i="1"/>
  <c r="L84" i="1"/>
  <c r="K85" i="1"/>
  <c r="J36" i="1"/>
  <c r="J101" i="1" s="1"/>
  <c r="I61" i="1"/>
  <c r="I62" i="1"/>
  <c r="F55" i="1" l="1"/>
  <c r="G50" i="1" s="1"/>
  <c r="G51" i="1" s="1"/>
  <c r="F54" i="1"/>
  <c r="F53" i="1" s="1"/>
  <c r="K89" i="3"/>
  <c r="K143" i="3" s="1"/>
  <c r="J122" i="3"/>
  <c r="J125" i="3" s="1"/>
  <c r="J147" i="3" s="1"/>
  <c r="J97" i="3"/>
  <c r="J110" i="3" s="1"/>
  <c r="E171" i="3"/>
  <c r="I114" i="3"/>
  <c r="I115" i="3" s="1"/>
  <c r="I152" i="3" s="1"/>
  <c r="D161" i="3"/>
  <c r="H116" i="3"/>
  <c r="H150" i="3"/>
  <c r="K69" i="3"/>
  <c r="K112" i="3"/>
  <c r="K146" i="3"/>
  <c r="L101" i="3"/>
  <c r="L146" i="3" s="1"/>
  <c r="D181" i="3"/>
  <c r="I125" i="3"/>
  <c r="I147" i="3" s="1"/>
  <c r="E153" i="3"/>
  <c r="E150" i="3"/>
  <c r="F167" i="3"/>
  <c r="G50" i="3"/>
  <c r="K76" i="3"/>
  <c r="E116" i="3"/>
  <c r="H151" i="3"/>
  <c r="H153" i="3" s="1"/>
  <c r="H157" i="3" s="1"/>
  <c r="K145" i="3"/>
  <c r="K96" i="3"/>
  <c r="K144" i="3"/>
  <c r="J121" i="3"/>
  <c r="J124" i="3" s="1"/>
  <c r="J133" i="3" s="1"/>
  <c r="J132" i="3"/>
  <c r="J123" i="3"/>
  <c r="J109" i="3"/>
  <c r="I135" i="3"/>
  <c r="F54" i="3"/>
  <c r="F53" i="3" s="1"/>
  <c r="F113" i="3"/>
  <c r="F114" i="3" s="1"/>
  <c r="I126" i="3"/>
  <c r="I148" i="3" s="1"/>
  <c r="K142" i="3"/>
  <c r="L94" i="3"/>
  <c r="G149" i="1"/>
  <c r="G151" i="1" s="1"/>
  <c r="J112" i="1"/>
  <c r="J146" i="1"/>
  <c r="F151" i="1"/>
  <c r="H122" i="1"/>
  <c r="H125" i="1" s="1"/>
  <c r="H147" i="1" s="1"/>
  <c r="H141" i="1"/>
  <c r="C180" i="1"/>
  <c r="C161" i="1"/>
  <c r="D157" i="1"/>
  <c r="D199" i="1"/>
  <c r="E150" i="1"/>
  <c r="E153" i="1"/>
  <c r="E171" i="1"/>
  <c r="F115" i="1"/>
  <c r="F152" i="1" s="1"/>
  <c r="H109" i="1"/>
  <c r="H132" i="1"/>
  <c r="H123" i="1"/>
  <c r="H121" i="1"/>
  <c r="H97" i="1"/>
  <c r="H110" i="1" s="1"/>
  <c r="H114" i="1" s="1"/>
  <c r="I89" i="1"/>
  <c r="I143" i="1" s="1"/>
  <c r="J88" i="1"/>
  <c r="J86" i="1"/>
  <c r="I76" i="1"/>
  <c r="I96" i="1"/>
  <c r="J95" i="1"/>
  <c r="J93" i="1"/>
  <c r="J144" i="1" s="1"/>
  <c r="J74" i="1"/>
  <c r="J75" i="1"/>
  <c r="J80" i="1"/>
  <c r="J81" i="1" s="1"/>
  <c r="J145" i="1" s="1"/>
  <c r="J87" i="1"/>
  <c r="J94" i="1"/>
  <c r="J142" i="1" s="1"/>
  <c r="K44" i="1"/>
  <c r="I69" i="1"/>
  <c r="K36" i="1"/>
  <c r="J62" i="1"/>
  <c r="J61" i="1"/>
  <c r="G113" i="1" l="1"/>
  <c r="G114" i="1" s="1"/>
  <c r="G115" i="1" s="1"/>
  <c r="G54" i="1"/>
  <c r="G53" i="1" s="1"/>
  <c r="F167" i="1"/>
  <c r="F169" i="1" s="1"/>
  <c r="J114" i="3"/>
  <c r="J115" i="3" s="1"/>
  <c r="J152" i="3" s="1"/>
  <c r="K97" i="3"/>
  <c r="K110" i="3" s="1"/>
  <c r="I149" i="3"/>
  <c r="I150" i="3" s="1"/>
  <c r="I116" i="3"/>
  <c r="K122" i="3"/>
  <c r="K141" i="3"/>
  <c r="C182" i="3"/>
  <c r="F115" i="3"/>
  <c r="F152" i="3" s="1"/>
  <c r="G51" i="3"/>
  <c r="F169" i="3"/>
  <c r="F170" i="3"/>
  <c r="E199" i="3"/>
  <c r="E157" i="3"/>
  <c r="L142" i="3"/>
  <c r="L96" i="3"/>
  <c r="L97" i="3" s="1"/>
  <c r="J126" i="3"/>
  <c r="J148" i="3" s="1"/>
  <c r="J149" i="3" s="1"/>
  <c r="J135" i="3"/>
  <c r="H180" i="3"/>
  <c r="H161" i="3"/>
  <c r="K132" i="3"/>
  <c r="K109" i="3"/>
  <c r="K123" i="3"/>
  <c r="L126" i="3" s="1"/>
  <c r="L148" i="3" s="1"/>
  <c r="K121" i="3"/>
  <c r="L124" i="3" s="1"/>
  <c r="L133" i="3" s="1"/>
  <c r="L135" i="3" s="1"/>
  <c r="I122" i="1"/>
  <c r="I125" i="1" s="1"/>
  <c r="I147" i="1" s="1"/>
  <c r="I141" i="1"/>
  <c r="K101" i="1"/>
  <c r="E199" i="1"/>
  <c r="E157" i="1"/>
  <c r="C181" i="1"/>
  <c r="F150" i="1"/>
  <c r="F153" i="1"/>
  <c r="F170" i="1"/>
  <c r="G55" i="1"/>
  <c r="G167" i="1" s="1"/>
  <c r="F116" i="1"/>
  <c r="D180" i="1"/>
  <c r="D161" i="1"/>
  <c r="H126" i="1"/>
  <c r="H148" i="1" s="1"/>
  <c r="H149" i="1" s="1"/>
  <c r="H115" i="1"/>
  <c r="I109" i="1"/>
  <c r="I132" i="1"/>
  <c r="I123" i="1"/>
  <c r="I121" i="1"/>
  <c r="I124" i="1" s="1"/>
  <c r="I133" i="1" s="1"/>
  <c r="J89" i="1"/>
  <c r="J143" i="1" s="1"/>
  <c r="I97" i="1"/>
  <c r="I110" i="1" s="1"/>
  <c r="H124" i="1"/>
  <c r="H133" i="1" s="1"/>
  <c r="H135" i="1" s="1"/>
  <c r="K87" i="1"/>
  <c r="J96" i="1"/>
  <c r="K86" i="1"/>
  <c r="K74" i="1"/>
  <c r="K95" i="1"/>
  <c r="K93" i="1"/>
  <c r="K144" i="1" s="1"/>
  <c r="K80" i="1"/>
  <c r="K81" i="1" s="1"/>
  <c r="K145" i="1" s="1"/>
  <c r="K75" i="1"/>
  <c r="K94" i="1"/>
  <c r="K142" i="1" s="1"/>
  <c r="K88" i="1"/>
  <c r="J76" i="1"/>
  <c r="J69" i="1"/>
  <c r="L36" i="1"/>
  <c r="K61" i="1"/>
  <c r="K62" i="1"/>
  <c r="I114" i="1" l="1"/>
  <c r="I115" i="1" s="1"/>
  <c r="K114" i="3"/>
  <c r="K115" i="3" s="1"/>
  <c r="K152" i="3" s="1"/>
  <c r="K126" i="3"/>
  <c r="K148" i="3" s="1"/>
  <c r="I151" i="3"/>
  <c r="I153" i="3" s="1"/>
  <c r="I157" i="3" s="1"/>
  <c r="I161" i="3" s="1"/>
  <c r="J151" i="3"/>
  <c r="J153" i="3" s="1"/>
  <c r="J157" i="3" s="1"/>
  <c r="J180" i="3" s="1"/>
  <c r="J150" i="3"/>
  <c r="E161" i="3"/>
  <c r="E180" i="3"/>
  <c r="L125" i="3"/>
  <c r="L147" i="3" s="1"/>
  <c r="L149" i="3" s="1"/>
  <c r="L150" i="3" s="1"/>
  <c r="K125" i="3"/>
  <c r="K147" i="3" s="1"/>
  <c r="F116" i="3"/>
  <c r="G54" i="3"/>
  <c r="G53" i="3" s="1"/>
  <c r="G113" i="3"/>
  <c r="G114" i="3" s="1"/>
  <c r="J116" i="3"/>
  <c r="F150" i="3"/>
  <c r="F153" i="3"/>
  <c r="F171" i="3"/>
  <c r="K124" i="3"/>
  <c r="K133" i="3" s="1"/>
  <c r="K135" i="3" s="1"/>
  <c r="G55" i="3"/>
  <c r="G167" i="3" s="1"/>
  <c r="J122" i="1"/>
  <c r="J141" i="1"/>
  <c r="L101" i="1"/>
  <c r="L146" i="1" s="1"/>
  <c r="K146" i="1"/>
  <c r="H151" i="1"/>
  <c r="K112" i="1"/>
  <c r="H116" i="1"/>
  <c r="H152" i="1"/>
  <c r="H150" i="1" s="1"/>
  <c r="F171" i="1"/>
  <c r="F199" i="1"/>
  <c r="F157" i="1"/>
  <c r="E161" i="1"/>
  <c r="E180" i="1"/>
  <c r="G169" i="1"/>
  <c r="G170" i="1"/>
  <c r="G116" i="1"/>
  <c r="G152" i="1"/>
  <c r="B182" i="1"/>
  <c r="D181" i="1"/>
  <c r="C182" i="1" s="1"/>
  <c r="J97" i="1"/>
  <c r="J110" i="1" s="1"/>
  <c r="J109" i="1"/>
  <c r="J121" i="1"/>
  <c r="J132" i="1"/>
  <c r="J123" i="1"/>
  <c r="I135" i="1"/>
  <c r="J125" i="1"/>
  <c r="J147" i="1" s="1"/>
  <c r="I126" i="1"/>
  <c r="I148" i="1" s="1"/>
  <c r="I149" i="1" s="1"/>
  <c r="K89" i="1"/>
  <c r="K143" i="1" s="1"/>
  <c r="K96" i="1"/>
  <c r="L94" i="1"/>
  <c r="K76" i="1"/>
  <c r="K69" i="1"/>
  <c r="H153" i="1" l="1"/>
  <c r="H157" i="1" s="1"/>
  <c r="H161" i="1" s="1"/>
  <c r="J114" i="1"/>
  <c r="J115" i="1" s="1"/>
  <c r="I180" i="3"/>
  <c r="K149" i="3"/>
  <c r="K150" i="3" s="1"/>
  <c r="J161" i="3"/>
  <c r="K116" i="3"/>
  <c r="G169" i="3"/>
  <c r="G170" i="3"/>
  <c r="F157" i="3"/>
  <c r="F199" i="3"/>
  <c r="E181" i="3"/>
  <c r="L151" i="3"/>
  <c r="L153" i="3" s="1"/>
  <c r="L157" i="3" s="1"/>
  <c r="G115" i="3"/>
  <c r="G152" i="3" s="1"/>
  <c r="I151" i="1"/>
  <c r="I116" i="1"/>
  <c r="I152" i="1"/>
  <c r="I150" i="1" s="1"/>
  <c r="K122" i="1"/>
  <c r="K141" i="1"/>
  <c r="L96" i="1"/>
  <c r="L97" i="1" s="1"/>
  <c r="L142" i="1"/>
  <c r="E181" i="1"/>
  <c r="D182" i="1" s="1"/>
  <c r="G171" i="1"/>
  <c r="B172" i="1" s="1"/>
  <c r="F161" i="1"/>
  <c r="F180" i="1"/>
  <c r="G150" i="1"/>
  <c r="G153" i="1"/>
  <c r="K109" i="1"/>
  <c r="K132" i="1"/>
  <c r="K123" i="1"/>
  <c r="L126" i="1" s="1"/>
  <c r="L148" i="1" s="1"/>
  <c r="K121" i="1"/>
  <c r="L124" i="1" s="1"/>
  <c r="L133" i="1" s="1"/>
  <c r="L135" i="1" s="1"/>
  <c r="K97" i="1"/>
  <c r="K110" i="1" s="1"/>
  <c r="J124" i="1"/>
  <c r="J133" i="1" s="1"/>
  <c r="J135" i="1" s="1"/>
  <c r="J126" i="1"/>
  <c r="J148" i="1" s="1"/>
  <c r="J149" i="1" s="1"/>
  <c r="H180" i="1" l="1"/>
  <c r="J151" i="1"/>
  <c r="G171" i="3"/>
  <c r="B172" i="3" s="1"/>
  <c r="C189" i="3" s="1"/>
  <c r="C190" i="3" s="1"/>
  <c r="K151" i="3"/>
  <c r="K153" i="3" s="1"/>
  <c r="K157" i="3" s="1"/>
  <c r="K180" i="3" s="1"/>
  <c r="D182" i="3"/>
  <c r="G153" i="3"/>
  <c r="G150" i="3"/>
  <c r="F161" i="3"/>
  <c r="F180" i="3"/>
  <c r="G116" i="3"/>
  <c r="L180" i="3"/>
  <c r="L161" i="3"/>
  <c r="L125" i="1"/>
  <c r="L147" i="1" s="1"/>
  <c r="K125" i="1"/>
  <c r="K147" i="1" s="1"/>
  <c r="L149" i="1"/>
  <c r="L150" i="1" s="1"/>
  <c r="K114" i="1"/>
  <c r="K115" i="1" s="1"/>
  <c r="J116" i="1"/>
  <c r="J152" i="1"/>
  <c r="J150" i="1" s="1"/>
  <c r="K126" i="1"/>
  <c r="K148" i="1" s="1"/>
  <c r="I153" i="1"/>
  <c r="I157" i="1" s="1"/>
  <c r="G199" i="1"/>
  <c r="G157" i="1"/>
  <c r="C189" i="1"/>
  <c r="C190" i="1" s="1"/>
  <c r="G189" i="1"/>
  <c r="K189" i="1"/>
  <c r="D189" i="1"/>
  <c r="D190" i="1" s="1"/>
  <c r="H189" i="1"/>
  <c r="L189" i="1"/>
  <c r="E189" i="1"/>
  <c r="E190" i="1" s="1"/>
  <c r="I189" i="1"/>
  <c r="B189" i="1"/>
  <c r="B190" i="1" s="1"/>
  <c r="B191" i="1" s="1"/>
  <c r="F189" i="1"/>
  <c r="F190" i="1" s="1"/>
  <c r="J189" i="1"/>
  <c r="F181" i="1"/>
  <c r="E182" i="1" s="1"/>
  <c r="K124" i="1"/>
  <c r="K133" i="1" s="1"/>
  <c r="K135" i="1" s="1"/>
  <c r="H190" i="1" l="1"/>
  <c r="K149" i="1"/>
  <c r="K151" i="1" s="1"/>
  <c r="J153" i="1"/>
  <c r="J157" i="1" s="1"/>
  <c r="F189" i="3"/>
  <c r="F190" i="3" s="1"/>
  <c r="G189" i="3"/>
  <c r="K189" i="3"/>
  <c r="K190" i="3" s="1"/>
  <c r="E189" i="3"/>
  <c r="E190" i="3" s="1"/>
  <c r="J189" i="3"/>
  <c r="J190" i="3" s="1"/>
  <c r="L189" i="3"/>
  <c r="L190" i="3" s="1"/>
  <c r="B189" i="3"/>
  <c r="B190" i="3" s="1"/>
  <c r="B191" i="3" s="1"/>
  <c r="C191" i="3" s="1"/>
  <c r="B192" i="3" s="1"/>
  <c r="D189" i="3"/>
  <c r="D190" i="3" s="1"/>
  <c r="H189" i="3"/>
  <c r="H190" i="3" s="1"/>
  <c r="I189" i="3"/>
  <c r="I190" i="3" s="1"/>
  <c r="K161" i="3"/>
  <c r="B177" i="3"/>
  <c r="G157" i="3"/>
  <c r="G199" i="3"/>
  <c r="F181" i="3"/>
  <c r="K116" i="1"/>
  <c r="K152" i="1"/>
  <c r="L151" i="1"/>
  <c r="L153" i="1" s="1"/>
  <c r="L157" i="1" s="1"/>
  <c r="I180" i="1"/>
  <c r="I190" i="1" s="1"/>
  <c r="I161" i="1"/>
  <c r="C191" i="1"/>
  <c r="G180" i="1"/>
  <c r="G190" i="1" s="1"/>
  <c r="G161" i="1"/>
  <c r="K150" i="1" l="1"/>
  <c r="K153" i="1"/>
  <c r="K157" i="1" s="1"/>
  <c r="B225" i="3"/>
  <c r="B240" i="3"/>
  <c r="B245" i="3"/>
  <c r="B230" i="3"/>
  <c r="B235" i="3"/>
  <c r="B220" i="3"/>
  <c r="B205" i="3"/>
  <c r="B215" i="3"/>
  <c r="B210" i="3"/>
  <c r="E182" i="3"/>
  <c r="G161" i="3"/>
  <c r="G180" i="3"/>
  <c r="G190" i="3" s="1"/>
  <c r="B176" i="3"/>
  <c r="B175" i="3"/>
  <c r="D191" i="3"/>
  <c r="L161" i="1"/>
  <c r="L180" i="1"/>
  <c r="L190" i="1" s="1"/>
  <c r="J180" i="1"/>
  <c r="J190" i="1" s="1"/>
  <c r="J161" i="1"/>
  <c r="G181" i="1"/>
  <c r="D191" i="1"/>
  <c r="C192" i="1" s="1"/>
  <c r="B192" i="1"/>
  <c r="B177" i="1" l="1"/>
  <c r="K161" i="1"/>
  <c r="K180" i="1"/>
  <c r="K190" i="1" s="1"/>
  <c r="B175" i="1"/>
  <c r="B284" i="3"/>
  <c r="B302" i="3"/>
  <c r="B248" i="3"/>
  <c r="B266" i="3"/>
  <c r="B244" i="3"/>
  <c r="B224" i="3"/>
  <c r="B203" i="3"/>
  <c r="B223" i="3"/>
  <c r="B243" i="3"/>
  <c r="B234" i="3"/>
  <c r="B239" i="3"/>
  <c r="B233" i="3"/>
  <c r="B238" i="3"/>
  <c r="B229" i="3"/>
  <c r="B228" i="3"/>
  <c r="B214" i="3"/>
  <c r="B219" i="3"/>
  <c r="B213" i="3"/>
  <c r="B218" i="3"/>
  <c r="B204" i="3"/>
  <c r="B209" i="3"/>
  <c r="B208" i="3"/>
  <c r="E191" i="3"/>
  <c r="D192" i="3" s="1"/>
  <c r="C192" i="3"/>
  <c r="G181" i="3"/>
  <c r="E191" i="1"/>
  <c r="D192" i="1" s="1"/>
  <c r="H181" i="1"/>
  <c r="G182" i="1" s="1"/>
  <c r="F182" i="1"/>
  <c r="H181" i="3" l="1"/>
  <c r="F182" i="3"/>
  <c r="F191" i="3"/>
  <c r="I181" i="1"/>
  <c r="H182" i="1" s="1"/>
  <c r="F191" i="1"/>
  <c r="E192" i="1" s="1"/>
  <c r="I181" i="3" l="1"/>
  <c r="G191" i="3"/>
  <c r="E192" i="3"/>
  <c r="G182" i="3"/>
  <c r="H183" i="1"/>
  <c r="H184" i="1" s="1"/>
  <c r="G191" i="1"/>
  <c r="F192" i="1" s="1"/>
  <c r="J181" i="1"/>
  <c r="I182" i="1" s="1"/>
  <c r="J181" i="3" l="1"/>
  <c r="I182" i="3" s="1"/>
  <c r="H191" i="3"/>
  <c r="G192" i="3" s="1"/>
  <c r="F192" i="3"/>
  <c r="H182" i="3"/>
  <c r="H191" i="1"/>
  <c r="G192" i="1" s="1"/>
  <c r="K181" i="1"/>
  <c r="J182" i="1" s="1"/>
  <c r="H183" i="3" l="1"/>
  <c r="H184" i="3" s="1"/>
  <c r="I191" i="3"/>
  <c r="H192" i="3" s="1"/>
  <c r="K181" i="3"/>
  <c r="J182" i="3" s="1"/>
  <c r="L181" i="1"/>
  <c r="L182" i="1" s="1"/>
  <c r="I191" i="1"/>
  <c r="H192" i="1" s="1"/>
  <c r="K182" i="1" l="1"/>
  <c r="L181" i="3"/>
  <c r="L182" i="3" s="1"/>
  <c r="J191" i="3"/>
  <c r="I192" i="3" s="1"/>
  <c r="J191" i="1"/>
  <c r="I192" i="1" s="1"/>
  <c r="K182" i="3" l="1"/>
  <c r="K191" i="3"/>
  <c r="J192" i="3" s="1"/>
  <c r="I193" i="3"/>
  <c r="I194" i="3" s="1"/>
  <c r="I193" i="1"/>
  <c r="I194" i="1" s="1"/>
  <c r="K191" i="1"/>
  <c r="J192" i="1" s="1"/>
  <c r="L191" i="3" l="1"/>
  <c r="L192" i="3" s="1"/>
  <c r="L191" i="1"/>
  <c r="L192" i="1" s="1"/>
  <c r="K192" i="1" l="1"/>
  <c r="K192" i="3"/>
</calcChain>
</file>

<file path=xl/comments1.xml><?xml version="1.0" encoding="utf-8"?>
<comments xmlns="http://schemas.openxmlformats.org/spreadsheetml/2006/main">
  <authors>
    <author>Administrator</author>
  </authors>
  <commentList>
    <comment ref="A110" authorId="0" shapeId="0">
      <text>
        <r>
          <rPr>
            <b/>
            <sz val="9"/>
            <color indexed="81"/>
            <rFont val="Tahoma"/>
            <family val="2"/>
          </rPr>
          <t>Administrator:</t>
        </r>
        <r>
          <rPr>
            <sz val="9"/>
            <color indexed="81"/>
            <rFont val="Tahoma"/>
            <family val="2"/>
          </rPr>
          <t xml:space="preserve">
Depreciation
Main Cost
Packaging
Total salary
Electricity &amp; Water
Rent
Software</t>
        </r>
      </text>
    </comment>
  </commentList>
</comments>
</file>

<file path=xl/comments2.xml><?xml version="1.0" encoding="utf-8"?>
<comments xmlns="http://schemas.openxmlformats.org/spreadsheetml/2006/main">
  <authors>
    <author>Administrator</author>
  </authors>
  <commentList>
    <comment ref="A110" authorId="0" shapeId="0">
      <text>
        <r>
          <rPr>
            <b/>
            <sz val="9"/>
            <color indexed="81"/>
            <rFont val="Tahoma"/>
            <family val="2"/>
          </rPr>
          <t>Administrator:</t>
        </r>
        <r>
          <rPr>
            <sz val="9"/>
            <color indexed="81"/>
            <rFont val="Tahoma"/>
            <family val="2"/>
          </rPr>
          <t xml:space="preserve">
Depreciation
Main Cost
Packaging
Total salary
Electricity &amp; Water
Rent
Software</t>
        </r>
      </text>
    </comment>
  </commentList>
</comments>
</file>

<file path=xl/comments3.xml><?xml version="1.0" encoding="utf-8"?>
<comments xmlns="http://schemas.openxmlformats.org/spreadsheetml/2006/main">
  <authors>
    <author>Administrator</author>
    <author>tc={F307A970-DB9A-4638-827E-74C166999342}</author>
    <author>tc={8A7DF3FB-CFC4-4A1A-AC12-816A367A0645}</author>
    <author>tc={43DF89EC-D993-440B-8DF2-4205963BB7DA}</author>
    <author>tc={40736801-7D35-46F5-A027-BAFC3B6061CC}</author>
    <author>tc={7FA6AB72-E4F0-4808-9381-486588A1AF7B}</author>
    <author>tc={4954F7E7-98EC-4B7F-8A70-75B2CEF9401B}</author>
    <author>tc={2A689216-B684-4816-ABFB-F0643D1770E9}</author>
  </authors>
  <commentList>
    <comment ref="A110" authorId="0" shapeId="0">
      <text>
        <r>
          <rPr>
            <b/>
            <sz val="9"/>
            <color indexed="81"/>
            <rFont val="Tahoma"/>
            <family val="2"/>
          </rPr>
          <t>Administrator:</t>
        </r>
        <r>
          <rPr>
            <sz val="9"/>
            <color indexed="81"/>
            <rFont val="Tahoma"/>
            <family val="2"/>
          </rPr>
          <t xml:space="preserve">
Depreciation
Main Cost
Packaging
Total salary
Electricity &amp; Water
Rent
Software</t>
        </r>
      </text>
    </comment>
    <comment ref="B202" authorId="1"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Source: Bep Nha Chang from BE app</t>
        </r>
      </text>
    </comment>
    <comment ref="D202" authorId="2"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Soure: Mam 3/2 Healthy Food</t>
        </r>
      </text>
    </comment>
    <comment ref="I202" authorId="3"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Source: Bot Healthy Food Su Van Hanh</t>
        </r>
      </text>
    </comment>
    <comment ref="O202" authorId="4"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Source: Gao Lut Thao Nguyen 3/2</t>
        </r>
      </text>
    </comment>
    <comment ref="P202" authorId="5"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MR.ECO Salad Healthy Le Hong Phong</t>
        </r>
      </text>
    </comment>
    <comment ref="AA202" authorId="6"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Lala Salad Nguyen Dinh Khoi</t>
        </r>
      </text>
    </comment>
    <comment ref="AE202" authorId="7" shapeId="0">
      <text>
        <r>
          <rPr>
            <sz val="12"/>
            <color theme="1"/>
            <rFont val="Arial"/>
            <family val="2"/>
            <charset val="163"/>
          </rPr>
          <t>[Chú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Hem Healthy Food</t>
        </r>
      </text>
    </comment>
  </commentList>
</comments>
</file>

<file path=xl/sharedStrings.xml><?xml version="1.0" encoding="utf-8"?>
<sst xmlns="http://schemas.openxmlformats.org/spreadsheetml/2006/main" count="868" uniqueCount="235">
  <si>
    <t>PARAMETER TABLE</t>
  </si>
  <si>
    <t>Life cycle</t>
  </si>
  <si>
    <t>year 0</t>
  </si>
  <si>
    <t>year 1-9</t>
  </si>
  <si>
    <t>Price</t>
  </si>
  <si>
    <t xml:space="preserve">increase </t>
  </si>
  <si>
    <t>mil. VND/meal</t>
  </si>
  <si>
    <t>Expected Output</t>
  </si>
  <si>
    <t>Ratio of inventory</t>
  </si>
  <si>
    <t>real output</t>
  </si>
  <si>
    <t>Inflation rate</t>
  </si>
  <si>
    <t>/year</t>
  </si>
  <si>
    <t>Working capital</t>
  </si>
  <si>
    <t>AR</t>
  </si>
  <si>
    <t>CB</t>
  </si>
  <si>
    <t>AP</t>
  </si>
  <si>
    <t>sales</t>
  </si>
  <si>
    <t>total main cost</t>
  </si>
  <si>
    <t>ratio</t>
  </si>
  <si>
    <t>interest</t>
  </si>
  <si>
    <t>time</t>
  </si>
  <si>
    <t>years</t>
  </si>
  <si>
    <t>type</t>
  </si>
  <si>
    <t>equal</t>
  </si>
  <si>
    <t>(principal + interest)</t>
  </si>
  <si>
    <t>Real rate Re</t>
  </si>
  <si>
    <t>Tax</t>
  </si>
  <si>
    <t>Loan</t>
  </si>
  <si>
    <t>Phase 1</t>
  </si>
  <si>
    <t>square</t>
  </si>
  <si>
    <t>year 0 rent</t>
  </si>
  <si>
    <t>adjust after</t>
  </si>
  <si>
    <t>year 10</t>
  </si>
  <si>
    <t>life time</t>
  </si>
  <si>
    <t>Software</t>
  </si>
  <si>
    <t>m2</t>
  </si>
  <si>
    <t>mil VND/month</t>
  </si>
  <si>
    <t>year</t>
  </si>
  <si>
    <t>increase</t>
  </si>
  <si>
    <t>year 9</t>
  </si>
  <si>
    <t>mil VND</t>
  </si>
  <si>
    <t>Building rent</t>
  </si>
  <si>
    <t>mil VND/months</t>
  </si>
  <si>
    <t>Phase 2</t>
  </si>
  <si>
    <t>Main cost</t>
  </si>
  <si>
    <t>number</t>
  </si>
  <si>
    <t>change</t>
  </si>
  <si>
    <t>Management</t>
  </si>
  <si>
    <t>&amp; sales</t>
  </si>
  <si>
    <t>Main chef</t>
  </si>
  <si>
    <t>mil</t>
  </si>
  <si>
    <t>Cashier and Packaging staff</t>
  </si>
  <si>
    <t>Business license</t>
  </si>
  <si>
    <t>mil VND/meal</t>
  </si>
  <si>
    <t>Kitchen and Delivery staff</t>
  </si>
  <si>
    <t>Packaging</t>
  </si>
  <si>
    <t>Machine &amp; Equipment</t>
  </si>
  <si>
    <t>meal</t>
  </si>
  <si>
    <t>real</t>
  </si>
  <si>
    <t>year 1-3</t>
  </si>
  <si>
    <t>expected output</t>
  </si>
  <si>
    <t>year 4-6</t>
  </si>
  <si>
    <t xml:space="preserve">real </t>
  </si>
  <si>
    <t>year 7-9</t>
  </si>
  <si>
    <t>CPI</t>
  </si>
  <si>
    <t>Year</t>
  </si>
  <si>
    <t xml:space="preserve">Asset value at the beginning </t>
  </si>
  <si>
    <t>Depreciation</t>
  </si>
  <si>
    <t>Accumulated depreciation</t>
  </si>
  <si>
    <t>Asset value at the end of 
the period</t>
  </si>
  <si>
    <t>Liquidation</t>
  </si>
  <si>
    <t>(1) Balance at the beginning of the period</t>
  </si>
  <si>
    <t>(2) Interest arising</t>
  </si>
  <si>
    <t xml:space="preserve">(3) Repayment </t>
  </si>
  <si>
    <t>Interests</t>
  </si>
  <si>
    <t>(4) Balance at the end of the period</t>
  </si>
  <si>
    <t>cost of machine and equipment</t>
  </si>
  <si>
    <t>Price increase</t>
  </si>
  <si>
    <t>Price (2)</t>
  </si>
  <si>
    <t>Price (1)</t>
  </si>
  <si>
    <t>SALES</t>
  </si>
  <si>
    <t>Real Q2</t>
  </si>
  <si>
    <t>Real Q1</t>
  </si>
  <si>
    <t>Working days</t>
  </si>
  <si>
    <t>day/year</t>
  </si>
  <si>
    <t>Main Cost (1)</t>
  </si>
  <si>
    <t>Main Cost (2)</t>
  </si>
  <si>
    <t>Total Main Cost</t>
  </si>
  <si>
    <t>Increase salary 6%</t>
  </si>
  <si>
    <t>Total Salary</t>
  </si>
  <si>
    <t>Electricity &amp; Water</t>
  </si>
  <si>
    <t>Management &amp; Sale</t>
  </si>
  <si>
    <t>Total</t>
  </si>
  <si>
    <t>Working months</t>
  </si>
  <si>
    <t>months/year</t>
  </si>
  <si>
    <t>Total packaging cost</t>
  </si>
  <si>
    <t>Sales</t>
  </si>
  <si>
    <t>Interest (-)</t>
  </si>
  <si>
    <t>EBT</t>
  </si>
  <si>
    <t>Tax = EBT * Tax rate</t>
  </si>
  <si>
    <t>Net Income</t>
  </si>
  <si>
    <t>Direct Costs</t>
  </si>
  <si>
    <t>Total direct costs</t>
  </si>
  <si>
    <t>Management &amp; Sale Cost (-)</t>
  </si>
  <si>
    <t>Del AR</t>
  </si>
  <si>
    <t>Del AP</t>
  </si>
  <si>
    <t>Del CB</t>
  </si>
  <si>
    <t>CIFs</t>
  </si>
  <si>
    <t>Total CIF</t>
  </si>
  <si>
    <t>COFs</t>
  </si>
  <si>
    <t>Machine expenditure</t>
  </si>
  <si>
    <t>Operation Phase</t>
  </si>
  <si>
    <t>Labor salary</t>
  </si>
  <si>
    <t>Electricity water</t>
  </si>
  <si>
    <t>Management &amp; Selling cost</t>
  </si>
  <si>
    <t>Total COFs</t>
  </si>
  <si>
    <t>Total COFs including tax</t>
  </si>
  <si>
    <t>NCF before tax</t>
  </si>
  <si>
    <t>NCF after tax (TIPV)</t>
  </si>
  <si>
    <t>Business Licence</t>
  </si>
  <si>
    <t>Investment Phase</t>
  </si>
  <si>
    <t>Financing Cashflow</t>
  </si>
  <si>
    <t>Disbursement of loans</t>
  </si>
  <si>
    <t>Payment of loans</t>
  </si>
  <si>
    <t>NCF EPV</t>
  </si>
  <si>
    <t>WACC</t>
  </si>
  <si>
    <t>%D</t>
  </si>
  <si>
    <t>%E</t>
  </si>
  <si>
    <t>Norminal real rate Re</t>
  </si>
  <si>
    <t>CRITERIA</t>
  </si>
  <si>
    <t>ADSCR</t>
  </si>
  <si>
    <t>IRR (TIPV)</t>
  </si>
  <si>
    <t>BCR (TIPV)</t>
  </si>
  <si>
    <t>Subtract operation cost</t>
  </si>
  <si>
    <t>PP (not discounted)</t>
  </si>
  <si>
    <t>months</t>
  </si>
  <si>
    <t>6 years 3 months</t>
  </si>
  <si>
    <t>PP (discounted)</t>
  </si>
  <si>
    <t>Discount Factor</t>
  </si>
  <si>
    <t>month</t>
  </si>
  <si>
    <t>7 years 1 month</t>
  </si>
  <si>
    <t>One-way Risk analysis</t>
  </si>
  <si>
    <t>Price of product 1</t>
  </si>
  <si>
    <t>Price of product 2</t>
  </si>
  <si>
    <t>NPV</t>
  </si>
  <si>
    <t>IRR</t>
  </si>
  <si>
    <t>BCR</t>
  </si>
  <si>
    <t>Output of product 1</t>
  </si>
  <si>
    <t>Output of product 2</t>
  </si>
  <si>
    <t>Main cost of product 1</t>
  </si>
  <si>
    <t>Main cost of product 2</t>
  </si>
  <si>
    <t xml:space="preserve">Building rent </t>
  </si>
  <si>
    <t>Two-way Analysis</t>
  </si>
  <si>
    <t>Price &amp; Main cost for product 1</t>
  </si>
  <si>
    <t>Price &amp; Main cost for product 2</t>
  </si>
  <si>
    <t>Output and Price for Product 1</t>
  </si>
  <si>
    <t>Output and Price for Product 2</t>
  </si>
  <si>
    <t>Best Case (1)</t>
  </si>
  <si>
    <t>Đã tạo bởi Dieu Nguyen bật 12/11/2023
Chỉnh sửa bởi Dieu Nguyen bật 12/11/2023</t>
  </si>
  <si>
    <t>Normal Case (1)</t>
  </si>
  <si>
    <t>Worst Case (1)</t>
  </si>
  <si>
    <t>Đã tạo bởi Dieu Nguyen bật 12/11/2023</t>
  </si>
  <si>
    <t>Tóm tắt Kịch bản</t>
  </si>
  <si>
    <t>Thay đổi các Ô:</t>
  </si>
  <si>
    <t>Giá trị hiện thời:</t>
  </si>
  <si>
    <t>Ô Kết quả:</t>
  </si>
  <si>
    <t>Ghi chú: cột Giá trị Hiện thời thể hiện giá trị của ô thay đổi tại</t>
  </si>
  <si>
    <t>thời điểm Báo cáo Tổng kết Kịch bản được tạo. Thay đổi các ô cho mỗi</t>
  </si>
  <si>
    <t>kịch bản được tô sáng bằng màu xám.</t>
  </si>
  <si>
    <t>Best Case (2)</t>
  </si>
  <si>
    <t>Normal Case (2)</t>
  </si>
  <si>
    <t>Worst Case (2)</t>
  </si>
  <si>
    <t>Number</t>
  </si>
  <si>
    <t>Price of Product 1</t>
  </si>
  <si>
    <t>Price of Product 2</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</si>
  <si>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</si>
  <si>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</si>
  <si>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</si>
  <si>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</si>
  <si>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</si>
  <si>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</si>
  <si>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</si>
  <si>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</si>
  <si>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</si>
  <si>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</si>
  <si>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</si>
  <si>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</si>
  <si>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6e0b27a2-8f1e-44ca-a49b-d9dac5320c7f</t>
  </si>
  <si>
    <t>CB_Block_0</t>
  </si>
  <si>
    <t>㜸〱敤㕣㕢㙣㈴㔷㤹敥㔳敥㙥㜷戵敤戱㌳㥥㕣㈶㠴挴㘱〸〹昱搰ㄹ㑦㌲㠴〰挳攰㑢收㤲㜸挶捥搸㌳〱戱㔱㑦戹晢搴戸㌲㕤㔵㑥㔵戵㘷ㅣ㈲㈵㠲㜰ㄳ〴㈴㜶㐱㥢㈵戰㈸㕡㐵攲㠵㡢戴攲戲换㍥慣戴搲慥㔰㤰㜸㠰〷㈴ㅥ〲㕡挱〳〸〶挱〳㐲㐸昰㝤愷慡扡慢扡摤㘵愷㤳㠰㠳㝣㈶晤晢搴戹搵㌹攷扦㥥晦㍦㤵㥣挸攵㜲㝦㐶攲㕦愶㍣㌳㌷㉤㙤昸㠱戴㉢戳㙥愳㈱㙢㠱攵㍡㝥㘵摡昳㡣㡤㜹换て〶搰愰㔸戵㔰敦ㄷ慡扥昵戸㉣㔵搷愵攷愳㔱㈱㤷㉢㤵㜴つ昵ㅣ㠴扦戱昸㐱㘷慦攱㍣挰昲散捣挲捡愳ㄸ㜵㈹㜰㍤㜹㜰攲㝣搸昷攸搴㔴㘵慡㜲捦扤㔳㙦慦ㅣ㍡㌸㌱摢㙣〴㑤㑦ㅥ㜵㘴㌳昰㡣挶挱㠹挵收㑡挳慡㍤㈸㌷㤶摤㑢搲㌹㉡㔷づ摤扤㘲摣昳㡥愹㝢㡥ㅣ㌱敦扢敦ㅤ挳㜸㜵敥捣散捣愲㈷㑤晦㔵ㅡ戳挰㈹摦㌳㈷㙢ㄶ搷㈶愵㘷㌹ㄷ㉢戳㌳昸㉦㌱㝦㍣摤㕢㔹㕡㤵㌲攰慢愵㈷㥤㥡昴㜵㜴ㅣ戲愷㝤扦㘹慦㜱昳㜴晢㌸㤶㕡㌳晣愰㘰捦捡㐶㐳户攳㔱㑢昶〲昶慥㘱㙣っ摢㑢搲昱慤挰㕡户㠲㡤愲扤㡣㠱敡㈳昶㌹㕦㥥㌵㥣㡢昲㡣㘱换㠲㝤愲㘹搵昳㘱捡つ摣ㅥて㤱㥣㤸㕡㝥㘵摡户㘷㔷つ㑦捤挸攷挶㘴戴㍤敥搵搲㙤て昴ㅥ㤷㔳㔷㙦攰㤸户昵㙥㠷㥡昳㠶搷㙡㌹搹扢㘵戴昸昴っ敥敡摤㍥戱㐷改㍥㙦敤摤㐷㙤㘵扡戵ㄸ㡡攸㕢敤㈸ㄶ愳ㄷ〹〶〹㑡〴㐴愰㕥㈶ㄸ㈲ㄸ〶㄰昹摦㠱㑢㤲ㅤ㔹愵㔵つ慤扡愲㔵㙢㕡戵慥㔵愵㔶㌵戵敡㐵慤扡慡㔵㉤慤晡愸㔶扤㠴㌶㜱㉡つづ㙡㔱㕡晢慦㍦搶ㅥ愹㉣㉦㝣敢㌷㕦昹昷摦摥昱晢〳挳㝢搰攸愱㘸㔲㜳㥥㜱ㄹ愴搶愶攲挳㤵㐳晣户㌵㔷㠰㈹捣㈳收扤收搴㔴晤挸㈱攳㙥愳挰㘵㘵㈰㍦㐵㈸㘳㘸㍢㙣㍥㙣㌹㜵昷戲挲摤㑤㌳㠶㉦摢ㅢ㌷ㄹ搵捤戸㑤愷敥扦㘱昳捡愵挰〸攴㡤㥤㜵敤㐱扡扡㉤㠱慤愴慦摥㜷㜳㘷户昳㐶愳㈹愷慦㔸㘱昵ㅢ㍢慡敤㐵捦㕤改㕤㝢摣㤳㡦戵㙡扢㘶㌴つ愱戶慥挶敥㕡㘵㔸ㄵ捥㙢㘲㜶搵昵愵愳愶㌷㘹㉦㕡戵㑢搲㕢㤲ㄴ㠹戲慥㤶㝡㉤慢㈲慥㥦㕣㜰戰㔰㜰㙢晤㑤挹㔲昳晥㉢〱㤸㔹搶㌱摦㌵改〵ㅢ换挶㑡㐳㕥㤷㙡ㄲ扥ㄳㄵ晢㔳挵挷摤㕡搳㥦㜵㥤挰㜳ㅢ改㥡改晡扡〱㐹㔳㍦敤搶㘵㍥㥦㔳㐲〱〲㜷㘰㐰㠸摣㥤扤㜹㐱㈱㈲㠱㘲㌲昲つ㘹戲慢㥣挵敡戰㡡㠶㈴㑤㙡㙦摥㘲㌰捥㔷挹㤸っづ㑣慣㠹晡㠳㉦扤㘳㡢㘱㕢㤸㝢㙤ㅢ㙢摡㜸戴晡晢搷愵ㄳ㥣㌴㥣㝡㐳㝡㤹摡㑦㜰㐶晡㈸㐰攱㉡〴㐲捦摤愳慡ㄳ㔷挴㐶攱戲㔵て㔶㡢慢搲扡戸ㅡ愰っㅡ戲㔴攲搶㜶㈵晤ㅡㄴ改㝢〹挶〱捡攵㕣㜱ㅦㅢㄵ换㐸戹〲愵㔳〶㉦愷〴㌹晢愵㜸㜹搸㍣㙥㌵〲ㄹち攵㔱ㄳㄸ〹戵㥡㐲摦〸㐹搴㌳㙡愱挲搸㘷捥㠲㑡つ换〹㌶摡㝣摢挵㈵㈱ㄱ敤捡㠲ㅤ㈷ぢ㈸ち搲昲㈰㠳搷㐰㌴ㅤ搲㈰扢㜱㠲㠸挸〶ㄹ㥡ㅤ㈳愷㠹㡣敤㌳㘴〴摡㈷㠹㤰慤て昵㤶ㄱ㈴昶㙥㈲㘵愷㥥晣戸㉢捤㌶戳攵㐳㘹㜶㉤㌶㑥扦㡥攰㝡㠲ㅢ〸昶〳㠸㥦㐳挲㔱捡㈱㥦㑥晡ㅢ昰慣摦㐴昰㐶〰挸㈷㥤㌲㈷ㄲ㔵戴愱戶㘳㐷戲摤〸散㘴㘵ㄴ㠷愲㠸㤶㜱换捥ㅣ戱ㄵ愲㈳慢㜳㘷攸摡扣搲戱㙦改㑤㥢挹攵㤰㈲㌳㥡㈶搷扡㐵搳攴㐶戰㘹㥦㝡敢ㄶ㜴搵㈷〸㙥〵㈸敢㙦㈲㠴㜲愱挱扢㍤㡢㥥㈶攵敢挲㉣ち㡤愱㍥ㄵ㝣㐴挸㍣〲㘴〸戹慥攳换慥つ㑤㜳㜰搲㝣摤摢搰〷㝢昳㜷㠴昴づ扤戹慢㜷攸㉦㝡㤹㔶昴〱戰㤷昸㐹㑦ㅤ㜳ㅢ慡昵户㄰摣づ搰愱㘳㜸晡㝥戹㥥〲㘵ㄶ摢〹捣敤愵搷㐵㔹戹换ㅢ㙢㔲㘹愰㘱㜳搹昰㉥捡〰ㅥ㡣㔳㜳戰㠵㕤捦㤳つㅣ㙡敢慡㠰攷㤷敢搳㠵晥㜱捦戵㔹扥㙢㈳晢慦ぢ挵㤰捦㙢〳戹づㅢ㌹挳搶㑣昸㥣ㄲ㤴㐳ㅤ㝣㜷㙦㈱㤱攸㤴㈶㉦昶换㍥㕦敥㑡㤲㍥㈴挹㕢戱慤晡㥤〰㤰ㄲ攲㐷㍤㈵捡㐱㌶㝢㥢㙡㤶戶㔸改攱换㌸㥤㜴昸㄰扢攴挸㔰攸戰㥤㠱晦挰ㅦ戱㤷㉣扢㈵㉣㠶散㐵改搵攰㕢戰ㅡ戲ㅣ扡㘵㈹㙡㜶㘵挵敢㐴㔶っっ㜴㥤愷㌳晣㙢㡡㑥㍡愴㐴㈶户㘷㔶㘶㥣挵摢㐴㐵㌷㈴㠵㑡㠶㙢愸㈵㠱㐸㜹㙣扢㉢㘲晡㄰㌱㜷㘱攳昴㐳〴㔳〴㠷〱ち摦㠷愴搹敥挶㌳ㅣ㌶戸㑥㤷㜶戵㥡㉢ㄱつ捡㐵昸㘲㑦㘱㜵㠴慦㜹㍢挱扤〰ㅤ收てㅤ㤰ㄹ㠴愸㔰㥥㈰㐴ㄵ挶㌰捦㕢昲㌲㘹㘰㡦㠹挰搲㙣搳て㕣㥢㤱愵ㄱ㜳捥㍤攳〶㜳㤶扦㠶㐸搴戸ㄹ㘵ㅥ㕥㤵づ愸换㠳敤搳㔱收慥慤挹扡㙥㉥戹㑤㠸戶㔳㜳㍢攱㘰㡥敤㠰㉤愹捥收㥡㐰敡敦㝣㡣㈱〴㜶㕡昹㕢改㡤摤㤶昷㥢㠷扥搱昶㡥㉥㕢㐱㐳づ㤹㈱搳㌱㕦㌲戱㡢㠸ㅣ搴〷捤攵㔵㑦捡戹ㄱ昳㠴㘷搵ㅢ㤶㈳㠹っ搸㤸っ搶捤换㡢㠸ㄲ㉣扡㡣〱扡捥㠸戹散ㄹ㡥扦㘶㌰愰戸戱㌷昵愴挲㈲〵㜳挶㜲㝣扣㐶㘱㤱昹㔱㜳㘹搵扤㡣㠸㙤搳㜶㑥ㄸ㙢晥㡥挰ち㠹㍥㑣ち㌵㐲ㄳ㥡㈶㑡㕡愹㕦晣昰㐰㥥换㤱昷昲〴ち㔷戹〲㝤收ㄹ摡㥢㜶㝤ㄴ愳愱㥤捥㌹つ㈳㝡搴㉡ㅣ挸㤴挲攴㔴晤㍥昶㜹㈷挰〳㈷捥㥤㙡㐷收㕥㔱捣扡㐰㉦㝦㠶㡣㔷㘴搱ち㠴搰㐷户㈷㈴ㄵ㤶㤱㜲挰㠱挰㌸㥦㍡挹慦㙣慡㌶愴扥㍤敤散㜱㐴㤲㠶捤㜹㘳㐵㌶㄰㡦戶㡤㘰㑦昸㐰㌳搶㌶ㅡ㝥㔴㌷敢摡戶㐱搲㈲㔹㉥搵っ㔲昰㜴㌳㜰㑦㕢㡥㙥〲㈸晡㡢㡡㡣㉢㈸㌲慥愸愲㘱昳㉣㐳㠳㉡捦戱摣㡢㠶㘷〵慢戶㔵㉢昱㠱攱扢ㅤ㐱㤳㘰㜲㑡摥㌸挵㌲㘳愲挳㥡㍦〷㤳捤慦〰摤ㄵ挸㔱㙥ㅤ搱て捡搵㐴ㄱ晦㐴㥦㡥㈵〸ㄸ攵㈹搵摦㡤搱ち敡㜶〴㐴㡥㑡㔷攳㍢ㄸ㔷㥦㐴㐹㈸㠴㠸昵っㄲ㠱㔷㌰㈱攴改攲㉥㥡攷ㅣ㉢〰昶㠸戱攳㔶㌰攷〳攵〰挸慡攳敤㡤ち慢㠹㑥㤳㉤慤㜰㑢㜷㔵㑡㑤摣摣㕤㥦搴ㅢ㙦摥愴㍡搴㈸〹㐵戲㔵㈳愵㔹㌶㤹攳㑥㔲㌵㐲㈹敥㔸摢㠸㉣户㘹㝢摦㈹㐵㕥㠱㘲㔲㌴㤳搳摦愳〸〵㠱摥㐸㐷搱㘷㥦㑤ㅥ㠹㠸つ㙤㠰㌲昵㔴㔸㌶ㄲ㠵〴㑦攱摡㐹㕤㤶愳㈷昰昷㥥㈸扢搰っ㔲㌵挶㤵昱愸㘶扡搱㔸㜰㘰㈵搴っ慦扥㐳㔸ㅡ㙢ぢ㌵㡣攲捥㝥戵㝦戸扤〹㐶㡣搸㤰㘱㤱っ㍦㌰搸㄰捣㤵㠸愸搲㍡ㅢ攱㔶户㡡㑢㝣㍡㉤つ㐷㘱㘰㈹愸捦挹㜵㘵㠶戵㉤昹㜱搵愱㜵㕡㔴㜲㔴㌷愷㔷㝣愸昴㠰㜲㍣捡㈹〶搷捤戳㜴㑢攱ㄲ〳挴㙥㤴㕢慣〵〸敤戶〶攰挹㘰攷㘰〷㍢ㄲ㠶㑥㘸㥤㔱㠲ㄶ㌳〸㌷扤〸昲㑥㥦ㄸ㠵㈰㌵㔵晡昵㌱昱㉦捦㌲㝤攵㔸㉥捥㐴㑣挴㜰㔷㠶昵〰攴㈶㈳㤳攴愲昱㌸㘰ㅥ㑡㌶㈵戴㠶攳㌲㥡ㄸ㈳㌴昹扣〰户㜸ㄸ换ㅡ㈵摢㌴㜰捦㉤戰愰㑤ㅢㅢ㝢捣㔳㑥慤搱慣㑢愵㡡㘳㔹慤㌴昲㡥挰㤷扡〲ㄸ㜲㔳挶扥㐴㥢㜲ち㐷㈹㉥㤹㐸敡摦敥搶㡦愱扢ㄲ㜲ㄸ㈳㔴㝤っ㐰㘶戸攵㔴㐰慣敢㥥〲敤挳扤敤ぢっ敡昲ㅣ㐴㕡㔷ㄱ㘵搹㍣敥攳戵愲挸㡡摢ㄲ捤收摤㜹㤷㌶㝢愲攸愴ㄵㄶ敤〸ㅣ㘱㥤愱挰㉢ㄶ㘱㡣昴挹ㅤㅣ㈴㜷㌵㡡敥㕥㝤㔲㍤收慥〲ㄵち〳㠲㌱㕥㥥㠲㜲搸㔵㌰ㄲつ㙥慤㙤㜵ぢ㐶㝦㘹㜹敢搳〰㠲㘱㘰ㅡ戴㘸ㄹㅡ㌸戳挸㙦㙤攰摣㠲㔶ㄹㄱ搲㘴㌰㤵㌱捡㜱㌸散㠱㌴㜰ㄳて搲换㉥㤴㔰戰㑦㕤っ㡢敦㈶㑥摡㌸〲戹摥㜵ㅤ㠵㡢㐶㠰敢㉦捥晥㡥攲改㝡㥤收㉥晣㜳㍢〲慢戸扡ㄱ㥡愳晢㍡㉥㘵愹㌵搱扥㍢搰㔱ㄱ㕤ㄶ㍣㍣㔷㌹㘹〴戵搵愵㘰㈳扣戸搵㉦㐹ㄴ扥ぢ㝦挴愶㙦愷捤㥣㜷㜸ㄱ㜵㥤㝢㕦扥攴戸㤷ㅤ㌵慦㠲捦㕢㝦愰㄰㕣愱ㅣ攴㈴换戹㍦攳㥦㑡㕡慥昰㥦ㄸ㜱㍢搳收〰㙤〷〹挷㔱㈹㤴〶ㄳ挸㘷搰〹㙣昷搶慤〱搲挹扥づ㍡㔱㠲㘰㤷㔰㥣㡢慦ㅡ愱㠸晦〰㕡㐹㉣攱㤱ㅣ㝢晥〲㔸㕦㝣〷㈵㐴㌸㥥㈳㌱㔲戸ㄵ戹っ搴㈹㐱ㅥ㕤昱攰㠵㤰扦ㅦ㉣挵摣扣㈹㍢晤ㄵ㤸㔹㝣扢ㄳ㐵㌷ㄳ㐵摦敡㐲㤱攰㌵㄰挵扦て㈰ㄳ愷〲挳戳㉦㉢㄰捥㌵敤ㅥ㐰㕦昳ぢ扦㝦挳〳攸㝣㐴ㅣ捡㐶㐳愸敤㌶㍣户㑣㠴㠱㉥ㄳ㠱挱㝢㘵㈲㥣㐶㐶㌰㡡ㅦ㥡〸㤱て㘴〱〵㕢㥢〸㡣敤㘵ㄸ㠲㠹㔰㙢挲慤挱ㄳ搸㜵㌶晤㘳㈷㜱昱㔶晡㠸攷㐳㘹昹戳昰㐸㕤摦㕤扣㘸㜸㠶扤㕦㤵㥦昰㈴㤴㤹户㡣㥢摣慡ぢ㝢摣戸㘹㡤敡戴㠹慦㈲昶戲敦晡㔳戶㜷㝦ㅤ㤸ち㔳攸扥ㄷ㈵㔱㝣〵㥥ㄲ挱㜳㐳敥㠳晢扥㝡攲愷㡦㍦㝤㡣户搵㈲㕡㉤摣㠹㝣㍦㈱㝢摡ㄳ〸敡㈶㉥㡡㕣换て㜳㑥攳ㄳ㈵㙢慤㈱㘷っ㑦㔹㐱扥㙥挷搹㤰昰ㄲ㠴ㄹㄲ摦㑥㌰㌱㜱敦㈱㌴㌱㉢ㅤ敥㑥昵㘱㤳㜲ㄱ㔶ㄲㄳ㔷㍥扤㌸㙣㈸㝡㉡戲㍥慤捤挲搷愱㡡㕥收㐴搲㔶㈲㑦㥤㑣㐲㝣慤㔳搷ㅤ愱慥ぢて㌲っ晢挷㔲ち昱〷㔲㐸昲㈰挳ぢ〱㑡㑡㥤㐵愶㜰ㄷ㐰㐶㘴慤㌳挴㑢㝦挰慥㄰㤰慤㑢㝦㝤㝥挴㠲㕤〴ㄶ㘳㕦㝣扦㈷㕡摡愲戱㙡㘲愸㔶搹㌴㑢挸愸挳ぢぢ愶攲搲㤴愵㜳ㄸ愵摢㜶㐷昱㈵㈳㜶ㄸ㜸ぢㄹ扢㘰搳搷㔶戶敦㜷㥡戸昹〱㍤㔳㔴ち挳搹换㘲ㅣ㐸㔵㡣㉥㙣㕡づ㡢〸㐷挳㙣慢搳㔰㔴〵㥤攵散挷愹ㄴ挱㍦㝥㈹挴晡挹昶搰搷㜶搶㔰挷㌹㠳㔸㈰㝦戰扦㙥捥㘰㙣扣㤵ㅣ〳〹扢慤㔶愵昰㝡昸㌹㜴攱愲㜳㐲㙦㘷搵戳㌸㠲㍦㌱㘷つ㘸㕤晡㥦搱㙢挵㔹攷搹㥢㘱散㤴晥㝦ㅦち戶搴晦㠲戱㌷㠵挸昷㐷ㄹ㍥ㄴㄸ㍦搹㌲㘴挳ㅤ㠱㘷ㅢ挱ㅢ㜵㌰搶㔵㤶㈱敦㌰户㠴㡦㔷挳㙡㈵挱攱昷捡㜷㕥㡤㘸昵愵㙤㍢搴㔳〰㌲㌶㔴㜸〱㈲愸㘷晦戴摣㡡㑦户挵て愰攳扥搳㔶捤㜳㝤搷っ㈶㤶㄰昴㥤攰户㘷㈶㙣㥥㘹昱㙦㥤㐲敤〰㜶㘲昸ㄱ昴㌹戳〰㠱㝤㐶〶慦㔶㉣㤲㤱㠵敤㐵㌲昸ㅤ搲㔸㈲扣㐴敤攰㕦㘳㍥搴㌴ㅡ昸㜴㜵〱扥捥㠰㐵㍢㐲搹㠵ㅥ攷捥ㅢㅡ摣㍡摣搱㝡㄰晥㈰搹愸㈰㌸愶㤶昰㠱㐷戸慦㥤㝢㤰㙥ㅢ慤捤㘷换晥㝣㙥攵挲昳挰改昶摥㤲㈶ㄹ扥㤳㕦㈴㤷昵㉡㈱㉥敤ㅦ挳摦敤㍢㘸㌹摡㌸攸㍣晡愰㥢㡥戰挹〶摣㘷摢㠸㝥㕦㐰㔷㌱㑤㠰㥦㙥㐴ㄹ㍥〸㝡昹挸㡡攲㑢㔸ㄶㄹ〰昹㕣戱〶搰㥢慡㥦摢㡣慡挷㘲㠱㉣㜸挶㈰㌹㤶挵ㄷ搰㤰摢ㄵ㉥ㅢ㉣挱㘵ぢ㜵㤶㐰㕥㡦㝢㈰㥦ㄳ㍣㑢愸㠹晣㌳㍡戴㈶㘲愱戴昷㐴㍥扦搹㐴〴慤〰戵搰攴昸㘳戱ㄶ搱ㅢ愸搶㙤〲㠷挰〵ㄸ愵㔸愴慣㈹㠶愱㠵敦㄰㌳㐸㍦㠸晥扥㜴散晢㉦㌲晤敡㤸㔰㠲㄰㔵改挹㔳㄰慡挹㝦㈶㌹㜹て愵扤㈷晦捣㘶㤳ㅦ愳㡣攴㑣昴〰㘰㘴㐰㔴昱㐷㉤愶㠹っ昷㤱㍦㜱㠱〰扦搴㉣挶っ㤴愸扥㤷㤱㐱㕦㙥戸㙡㜵〵㤹戸㙦㠱敢捦昸戸㐷搹㐷扣〸㐹㕦㑥㌱㜴挶ㄶ㐳慤㔸戲㈳㉦散㡥㤰つ㔸ㄲ扦㤶敤㈹搲㡢㝤㐶昸挵挷㘲挴㥣㍣ㄹ㝦㌹愵㐵㌱㈷㄰㐶㘸㤱㤲㝥戸㤱攲愳㜱攳㙦㝣戳敤㌲㐵〵ㄲ愸㈷㙣㑣㍡㔳㡤㍦ㄲ㌷㍥㡣慦戲㔴㥢ㅣ㙦㄰㌰扤ㄴ㌷㈶㍤慡挶㑦挷㡤㝦㜹㜸㝦慢㜱㑣㠷攱挸〵ㄲ㐹㠶慤慢慣晦挴ㄷ摡愳㘸㕥㌰愹㍦㠷捣戰㤸㤲㔳㠵㡥ㅢ㑡㠳づ攳㌲㠸㠷㙦愴攷㜱户〹㔷㐰㈰㘴挳晦㔵挲㈹摣㜹㥡㌳〲〳㥦㐰慦㈳搸散改敡㠹㥤㡢收㠲㠷㠲㐱昳㤴㡦㌳㔵㝤㐷㤱〸捣㠱㝣戸扦㕢㌸攵㌳㑣挷昶㝥挴㐱㌲㡤㜷㐸晡㔳ㅥ㉡戰㤲ㄷㅦ㡡㌱㥢㝢慡㑤㌳晡㤳㐰づ愴㈳㈰㌳晡㔳㠰㘱㈰㠶户㤵㜳㘳攴㝦挵摣ㅦ㘲挵㠷〹㥥〶㈸ぢ㌲㍢改愰昸ㄱ㠰搱昸㝦㔴㌱戱慥晣㈵㥡㜸㍣㝥㔹㤲㡣昴㡦戱挳挷〱〶攰扥ㄵㄱㄱ㤶昵㑦愰㈴昹㔲ちづ昵搲㑦戲攲㔳〴捦〰㤴ぢ㥣散戶㜷㡤㙢敡㔳㜳㝤ㅡ㕤挵㔳〴昸改㥦㠹㌲㝣㈸㜰ㅦ摥搵摢㔶收㔱㌸晥戰ㅦ愱捥搴ㄷ晣昷攳㡢晣つ㉥㝡〰晦㐳㤲㠲㌲散昳摡㍢晢ㅢ㡢㑣㐰㥢㕣晤搶戰搹慦㘰ㅣ慥慢ㅤ㐱攱㠸㔴㉡㈵慤㈸㠸㙦㉥㔸戸㜸〳摦㜲㔴㔵〸㐱ㅡ㔰ㄵ㑥㔴㜱っ〵晡㍦戲㈹㜱㑣㍣改晦挴㈷愲㔶㙤攲攷愲っㅦ〴昱慡扡㍦ㅡ㜵㡦㕦㐸㕣慢ち慢攳㠵挴扦慡㔸㑤扥昰㔹づ愶㤰㠵㑣㕡㉢ㄱ㘹㡡㠶扥㠰捣挸挰㈸攷昶㌰㝥摡ㄵ㔱扢㔰扦㜰攱て愳昹㠹ㅢ昳敦㝢敦昰戳㉦㝤敦㘷㥦晤攱㍦ㅣ晤挵㥦㥥㝢敥㠷晦晦搹ㄷ晦昴摤㤵愳晦晢晣昳晦昳挰扦扥昸戳扤收㤷戵㙦晥㘱晥换㑦㑣㕤㝡攲㌱昳摣㥤㈷㥥㜸晦愳て㑤㉤㕥㌳㌹㌰㌰㌸㜸晢昸晦摤㜰挷搸㔳㡦㝤㕢晣昷㡦慦㜷㠴㕡㉥㕥㤰㥥〶㤷慤愶昱㐵㘴㌰つ捥昸㌵㥤〶㤷慢㌶㙡㈵摡愸ㄹㄴ㤴攰搳攰〴㔴㠵㤱慥ㄸ晡ぢ㠵〱戴㌶</t>
  </si>
  <si>
    <t>Decisioneering:7.0.0.0</t>
  </si>
  <si>
    <t>fdc7b01d-8d0a-48ec-a058-acc800265119</t>
  </si>
  <si>
    <t>CB_Block_7.0.0.0:1</t>
  </si>
  <si>
    <t>Main Cost of Product 1</t>
  </si>
  <si>
    <t>Main Cost of Product 2</t>
  </si>
  <si>
    <t>㜸〱敤㕣㕢㙣ㅣ㔷ㄹ摥㌳摥㕤敦慣敤搸㡤搳㑢㑡㘹つ愵㉤㡤㠳ㅢ愷つ愵㐰㐸㝤挹慤㌸戱ㅢ㍢㈹〸搰㘶扣㝢㈶㥥㘶㘷挶㥤㤹㜵攲㔲愹ㄵ戴㕣㐴〱㠹㥢㈸㤴㡢㉡㠴挴〳㌷㈱㤵敢ぢㄲ〸㠴㡡挴㐳㜹㐰攲愱㈰〴て㈰ㄴ㠹ㄷㅥ㤰攰晢捥捣散捥散㝡挷敥戶〵ㄷ昹愴晢晢捣戹捤㌹攷扦㥥晦㍦搳㥣挸攵㜲晦㐶攲㕦愶㍣㌳㌷㉣慥晢㠱戴㈷㘶摣㝡㕤㔶〳换㜵晣㠹㈹捦㌳搶攷㉣㍦攸㐳㠳㘲挵㐲扤㕦愸昸搶挳戲㔴㔹㤳㥥㡦㐶㠵㕣慥㔴搲㌵搴㜳㄰晥㐶攲〷㥤扤〶昳〰㑢㌳搳昳换て㘲搴挵挰昵攴晥戱㜳㘱摦挳㤳㤳ㄳ㤳ㄳ㜷摤㍤昹收㠹〳晢挷㘶ㅡ昵愰攱挹挳㡥㙣〴㥥㔱摦㍦戶搰㔸慥㕢搵㜷捡昵㈵昷愲㜴づ换攵〳㜷㉥ㅢ㜷扤㘵昲慥㐳㠷捣㝢敥㜹换㈰㕥㥤㍢㍤㌳扤攰㐹搳㝦㤹挶㉣㜰捡㜷捤捡慡挵戵㐹改㔹捥㠵㠹㤹㘹晣㤷㤸㍦㥥敥㥥㔸㕣㤱㌲攰慢愵㈷㥤慡昴㜵㜴ㅣ戰愷㝣扦㘱慦㜲昳㜴晢ㄸ㤶㕡㌵晣愰㘰捦挸㝡㕤户攳㔱㑢昶㍣昶慥㙥慣て摡㡢搲昱慤挰㕡戳㠲昵愲扤㠴㠱㙡㐳昶㔹㕦㥥㌱㥣ぢ昲戴㘱换㠲㝤扣㘱搵昲㘱捡昵摤ㄶて㤱㥣㤸㕡晥挴㤴㙦捦慣ㄸ㥥㥡㤱捦㡤挹㘸㝢捣慢愶摢摥摣㝤㕣㑥㕤扤㠱㘳摥搲扤ㅤ㙡捥ㄹ㕥戳攵㜸昷㤶搱攲搳㌳戸愳㝢晢挴ㅥ愵晢摣摥扤㡦摡捡㜴㙢㌱㄰搱户摡㔱㉣㐶㉦ㄲ昴ㄳ㤴〸㠸㐰扤㑣㌰㐰㌰〸㈰昲晦〰㤷㈴㍢戲㑡慢ㄸ㕡㘵㔹慢㔴戵㑡㑤慢㐸慤㘲㙡㤵ぢ㕡㘵㐵慢㔸㕡攵㐱慤㜲ㄱ㙤攲㔴敡敦搷愲㔴㕣晦昹捡敥攷㍦㜴敦㤳户㉦㝦㜳摦搱晥敦つ敥㐲愳晢愳㐹捤㝡挶㈵㤰㕡㡢㡡て㑥ㅣ攰扦捤戹〲㑣㘱ㅥ㌲敦㌶㈷㈷㙢㠷づㄸ㜷ㅡ〵㉥㉢〳昹㈹㐲ㄹ㐱摢㐱昳〱换愹戹㤷ㄴ敥㙥㤸㌶㝣搹摡戸昱愸㙥摡㙤㌸㌵晦㌵ㅢ㔷㉥〶㐶㈰慦㙦慦㙢つ搲搱㙤ㄱ㙣㈵㝤昵扥ㅢ摢扢㥤㌳敡つ㌹㜵搹ち慢㕦摢㔶㙤㉦㜸敥㜲昷摡㘳㥥㝣愸㔹摢㌱愳㈹〸戵㌵㌵㜶挷㉡挳慡㜰㕥㘳㌳㉢慥㉦ㅤ㌵扤㜱㝢挱慡㕥㤴摥愲愴㐸㤴㌵戵搴慢㔹ㄵ㜱晤昸扣㠳㠵㠲㕢㙢慦㑦㤶㥡㐷㉦〷㘰㘶㔹挳㝣㔷愵ㄷ慣㉦ㄹ换㜵㜹㑤慡㐹昸㑥㔴散㑤ㄵㅦ㜳慢つ㝦挶㜵〲捦慤愷㙢愶㙡㙢〶㈴㑤敤㤴㕢㤳昹㝣㑥〹〵〸摣扥㍥㈱㜲晢扡昳㠲㐲㐴〲挵㘴攴敢搲㘴㌷㜱〶慢挳㉡敡㤲㌴愹扤㘱㤳挱㌸㕦㈵㘳㌲㌸㌰戱㈶敡て扥昴㡤㥢っ摢挴摣㉢摢㔸搳㐶愳搵ㅦ㕤㤳㑥㜰挲㜰㙡㜵改㘵㙡㍦挱ㄹ改挳〰㠵㉢㄰〸㕤㜷㡦慡㑥㕣ㄶ敢㠵㑢㔶㉤㔸㈹慥㐸敢挲㑡㠰㌲㘸挸㔲㠹㕢摢㤱昴慢㔰愴敦㈶ㄸ〵㈸㤷㜳挵㍤㙣㔴㉣㈳攵ち㤴㑥ㄹ扣㥣ㄲ攴散㤷攲攵㐱昳㤸㔵て㘴㈸㤴㠷㑤㘰㈴搴㙡ち㝤㐳㈴㔱捦愸㠶ち㘳㡦㌹〳㉡㌵㉣㈷㔸㙦昱㙤〷㤷㠴㐴戴㈳ぢ戶㥤㉣愰㈸㐸换㠳っ㕥〳搱戴㐹㠳散挶〹㈲㈲ㅢ㘴㘸㜶㡣㥣㈶㌲戶捦㤰ㄱ㘸㥦㈴㐲戶㍥搰㕤㐶㤰搸㍢㠹㤴㥤扡昲攳㡥㌴摢挸㤶て愵搹搵搸㌸晤ㅡ㠲㙢〹慥㈳搸ぢ㈰晥っ〹㐷㈹㠷㝣㍡改慦挱戳㝥〳挱㙢〱㈰㥦㜴捡㥣㐸㔴搱㠶摡㡡ㅤ挹㜶㐳戰㤳㤵㔱ㅣ㡡㈲㕡挶㑤㍢㜳挸㔶㠸㡥慣捥敤愱㙢昳㑡挷摥摡㥤㌶㤳换㈱㐵㘶㌴㑤慥㜵㤳愶挹㡤㘰搳ㅥ昵搶㑤攸慡㡦ㄱ扣づ愰慣扦㥥㄰捡㠵〶敦搶㉣㝡㥡㤴慦ち戳㈸㌴㠶㝡㔴昰ㄱ㈱昳〸㤰㈱攴㍡㡥㉦㍢㌶㌴捤挱㜱昳㔵㙦㐳敦敦捥摦ㄱ搲摢昴收㡥摥愱扦攸㐵㕡搱㌷㠳扤挴敦扢敡㤸㕢㔰慤摦㑡㜰ㅢ㐰㥢㡥攱改晢挵㝡ち㤴㔹㙣㈷㌰户㥢㕥ㄷ㘵攵㉥慤慦㑡愵㠱〶捤㈵挳扢㈰〳㜸㌰㑥捥挲ㄶ㜶㍤㑦搶㜱愸慤愹〲㥥㕦慥㑤ㄷ晡挷㍣搷㘶昹㡥㡤散扦㉡ㄴ㐳㍥慦昵攵摡㙣攴っ㕢㌳攱㜳㑡㔰づ㜵昰㥤摤㠵㐴愲㔳㥡扣搸㉦晢㝣戹㈳㐹㝡㤰㈴户㘳㕢昵㝤〰㤰ㄲ攲户㕤㈵捡㝥㌶㝢㤳㙡㤶戶㔸改攱换㌸㥤戴昹㄰㍢攴挸㐰攸戰㥤㠶晦挰ㅦ戲ㄷ㉤扢㈹㉣〶散〵改㔵攱㕢戰敡戲ㅣ扡㘵㈹㙡㜶㘴挵慢㐴㔶昴昵㜵㥣愷㌳晣㙢㡡㑥摡愴㐴㈶户㘷㔶㘶㥣挵㕢㐴㐵㌷㈴㠵㑡㠶㙢愸㈹㠱㐸㜹㙣扢㈳㘲㝡㄰㌱㜷㘰攳昴〳〴㤳〴〷〱ち扦㠶愴搹敡挶㌳ㅣ搶扦㐶㤷㜶愵㤲㉢ㄱつ捡㐵昸㕣㔷㘱㜵㠸慦㜹㌳挱摤〰㙤收てㅤ㤰ㄹ㠴愸㔰㥥㈰㐴ㄵ挶㌰捦㔹昲ㄲ㘹㘰㤷㠹挰搲㑣挳て㕣㥢㤱愵㈱㜳搶㍤敤〶戳㤶扦㡡㐸搴愸ㄹ㘵ㅥ㔸㤱づ愸换㠳敤搳㔶收慥慥捡㥡㙥㉥扡つ㠸戶㤳戳摢攱㘰㡥敤㠰㉤愹捥收㥡㐰敡敤㝣㡣㈱〴㜶㕡昹㕢改㡤摤㤲昷㥢㠷扥攱搶㡥㉥㔹㐱㕤づ㤸㈱搳㌱㕦㌲戱㡢㠸ㅣ搴晡捤愵ㄵ㑦捡搹㈱昳戸㘷搵敡㤶㈳㠹っ搸㤸っ搶捤挹ぢ㠸ㄲ㉣戸㡣〱扡捥㤰戹攴ㄹ㡥扦㙡㌰愰戸扥㍢昵愴挲㈲〵㜳摡㜲㝣扣㐶㘱㤱昹㘱㜳㜱挵扤㠴㠸㙤挳㜶㡥ㅢ慢晥戶挰ち㠹㍥㑣ち㌵㐲ㄳ㥡㈶㑡㕡愹㔷晣昰㐰㥥换㤱昷昲〴ち㔷戹〲㝤收ㄹ摡㥢㜶㝤ㄴ愳愱㥤捥㌹つ㈲㝡搴㉣散换㤴挲攴㔴晤ㅥ昶㜹㉢挰㝤挷捦㥥㙣㐵收㕥㔲捣扡㐰㉦㝦㠶㡣㔷㘴搱っ㠴搰㐷户㉢㈴ㄵ㤶㤱㜲挰㠱挰㌸㥦摡挹慦㙣慡㌶愴扥㕤慤散㌱㐴㤲〶捤㌹㘳㔹搶ㄱ㡦戶㡤㘰㔷昸㐰㌳搶㌶敡㝥㔴㌷攳摡戶㐱搲㈲㔹㉥㔶つ㔲昰㔴㈳㜰㑦㔹㡥㙥〲㈸晡㡢㡡㡣换㈸㌲㉥慢愲㐱昳っ㐳㠳㉡捦戱摣ぢ㠶㘷〵㉢戶㔵㉤昱㠱攱扢㙤㐱㤳㘰㜲㑡摥㌸挵㌲㘳慣捤㥡㍦ぢ㤳捤㥦〰扡㈷㈰㐷戹㜵㐴㍦㈸㔷ㄳ㐵晣ㄳ㍤㍡㤶㈰㘰㤴愷㔴㝦㍢㐶㉢愸摢ㄱ㄰㌹㉡㕤㠹敦㘰㕣㜹ㄴ㈵愱㄰㈲搶㌳㐸〴㕥挱㠴㤰愷㡢扢㘸㥥㜵慣〰搸㈳挶㡥㔹挱慣て㤴〳㈰慢㡥户搷㉢慣㈶㍡㡤㌷戵挲㑤㥤㔵㈹㌵㜱㘳㘷㝤㔲㙦扣㘱㠳敡㔰愳㈴ㄴ挹㘶㡤㤴㘶搹㘰㡥摢㐹搵〸愵戸㘳㙤㈳戲摣愶慤㝤愷ㄴ㜹〹㡡㐹搱㑣㑥㝦㠷㈲ㄴ〴㝡㈳ㅤ㐵㥦㝤㌶㜹㈴㈲㌶戴〱捡搴㔳㘱搹㔰ㄴㄲ㍣㠹㙢㈷㌵㔹㡥㥥挰摦扢愲散㝣㈳㐸搵ㄸ㤷㐷愳㥡愹㝡㝤摥㠱㤵㔰㌵扣摡㌶㘱㘹慣㉤搴㌰㡡㍢㝢搵晥攱昶㈶ㄸ㌱㘲㐳㠶㐵㌲晣挰㘰㐳㌰㔷㈲愲㑡敢㙣㠸㕢摤㉣㉥昱改㤴㌴ㅣ㠵㠱挵愰㌶㉢搷㤴ㄹ搶戲攴㐷㔵㠷收㘹㔱挹㔱摤㥣㕡昶愱搲〳捡昱㈸愷ㄸ㕣㌷捦搰㉤㠵㑢っ㄰扢㔱㙥愱ㅡ㈰戴摢ㅣ㠰㈷㠳敤㠳ㅤ散㐸ㄸ㍡愱㜵㐶〹㕡捣㈰摣昴㈲挸㍢㍤㘲ㄴ㠲搴㔴改敦㐷挴ㄷ㥥㘲晡挶㤱㕣㥣㠹㤸㠸攱慥っ敢〱挸㑤㐶㈶挹㐵愳㜱挰㍣㤴㙣㑡㘸つ挶㘵㌴㌱㠶㘸昲㜹〱㙥昱㌰㤶㌵㑣戶愹攳㥥㕢㘰㐱㥢搶搷㜷㤹㈷㥤㙡扤㔱㤳㑡ㄵ挷戲㕡㘹攴㙤㠱㉦㜵〵㌰攴愶㡣㝤㠹㌶攵㈴㡥㔲㕣㌲㤱搴扢摤慤ㅦ㐱㜷㈵攴㌰㐶愸晡ㄸ㠰捣㜰换愹㠰㔸挷㍤〵摡㠷扢㕢ㄷㄸ搴攵㌹㠸戴㡥㈲捡戲㌹摣挷㙢㐶㤱ㄵ户㈵㥡捤戹㜳㉥㙤昶㐴搱〹㉢㉣摡ㄶ㌸挲㍡㐳㠱㔷㉣挲ㄸ改㤱㍢㌸㐸敥㑡ㄴ摤扤昲愸㝡捣㕤〱㉡ㄴ〶〴㘳扣㍣〵攵戰慢㘰㈴ㅡ摣㕡换敡ㄶ㡣晥搲昲搶愷〰〴挳挰㌴㘸搱㌲㌴㜰㘶㤰摦摣挰戹〹慤㌲㈲愴挹㘰㉡㘳㤴愳㜰搸〳㘹攰㈶ㅥ愴㤷㕣㈸愱㘰㡦扡ㄸㄶ摦㑤ㅣ户㜱〴㜲扤㙢摡ちㄷ㡣〰搷㕦㥣扤㙤挵㔳戵ㅡ捤㕤昸攷戶〵㔶㜱㜵㈳㌴㐷昷戴㕤捡㔲㙢愲㝤㜷㜳㕢㐵㜴㔹昰攰散挴〹㈳愸慥㉣〶敢攱挵慤㕥㐹愲昰ㄳ昸㈳㌶㝣㍢㙤收扣挳㡢愸㙢摣晢昲㐵挷扤攴愸㜹ㄵ㝣摥晡〳㠵攰ち㘵㍦㈷㔹捥晤ㅢ晦㔴搲㜲㠵ㅦ㘳挴慤㑣㥢〳戴ㅣ㈴ㅣ㐷愵㔰ㅡ㡣㈱㥦㐱㈷戰摤㥢户〶㐸㈷㝢摡攸㐴〹㠲ㅤ㐲㜱㉥扣㙣㠴㈲㝥〴戴㤲㔸挲㈳㌹昶晣敢㘰㝤昱㐳㤴㄰攱㜸㡥挴㐸攱㜵挸㘵愰㑥〹昲攸㡡〷㉦㠴晣晦㘰㈹收收つ搹改扦挰捣攲〷敤㈸扡㤱㈸晡㝥〷㡡〴慦㠱㈸晥扤て㤹㌸ㄵㄸ㥥㝤㔱㠱㜰慥㘹攷〰晡㡡㕦昸晤ㅦㅥ㐰攷㈲攲㔰㌶ㅡ㐲㙤户攰戹㘹㈲昴㜵㤸〸っ摥㉢ㄳ攱ㄴ㌲㠲㔱晣搰㐴㠸㝣㈰昳㈸搸摣㐴㘰㙣㉦挳㄰㑣㠴㕡ㄳ㙥つ㥥挰慥戱改ㅦ㍢㠱㡢户搲㐷㍣ㅦ㑡换㥦㠱㐷敡摡捥攲〵挳㌳散扤慡晣戸㈷愱捣扣㈵摣攴㔶㕤搸攳晡つ㙢㔴愷つ㝣ㄵ戱㤷㝤挷㥦戲戵晢敢挰㔴㤸㐲昷扤㈸㠹攲㑢昰㤴〸㥥ㅢ㜲敦摦昳慤攳㝦㜸昸昱㈳扣慤ㄶ搱㙡㘱ㅦ昲扤㠴散㘹㑦㈰愸㥢戸㈸㜲㌵㍦捣㌹㠵㑦㤴慣搵扡㥣㌶㍣㘵〵昹扡ㅤ㘷㐳挲㑢㄰㘶㐸㝣摢挱挴挴扤㠷搰挴㥣㘸㜳㜷慡て㥢㤴㡢㜰㈲㌱㜱攵搳㡢挳㠶愲慢㈲敢搱摡㉣㝣〷慡攸㐵㑥㈴㙤㈵昲搴挹㈴挴户摢㜵摤㈱敡扡昰㈰挳戰㝦㉣愵㄰㝦㈰㠵㈴て㌲扣㄰愰愴搴ㄹ㘴ち㜷〰㘴㐴搶摡㐳扣昴〷散〸〱搹扣昴搷攳㐷㉣搸㐵㘰㌱昶挵昷㝡愲愵㉤ㅡ慢㈶㠶㙡㤵㑤戳㠸㡣㍡扣戰㘰㌲㉥㑤㔹㍡〷㔱扡㘵㜷ㄴ㕦㌲㘴㠷㠱户㤰戱ぢ㌶㝤㙤㘵晢愸搳挰捤て攸㤹愲㔲ㄸ捥㙥ㄶ攳㐰慡㘲㜴㘱搳㜲㔸㐴㌸ㅣ㘶㥢㥤〶愲㉡攸㉣㘷㉦㑥愵〸晥昱㑢㈱搶㡦户㠶扥扡扤㠶㍡捥改挷〲昹㠳晤㜵㘳〶㘳攳慤攴ㄸ㐸搸㉤戵㉡㠵搷挳捦愲ぢㄷ㥤ㄳ㝡㉢慢㥥挵㈱晣㠹㌹慢㑦敢搰晦㡣㕥㉢捥㍡挷摥っ㘳愷昴晦扢㔰戰愹晥ㄷ㡣扤㈹㐴扥㍢捡昰愱挰昸挹愶㈱ㅢ敥〸㍣摢〸摥愸㠳戱慥戲っ㜹㠷戹㐵㝣扣ㅡ㔶㉢〹づ扦㔷扥晤㙡㐴戳㉦㙤摢㠱慥〲㤰戱愱挲搷㈱㠲扡昶㑦换慤昸㜴㕢㝣て㍡敥㌹㘵㔵㍤搷㜷捤㘰㙣ㄱ㐱摦㌱㝥㝢㘶挲收㤹ㄲ㕦㙢ㄷ㙡㌷㘳㈷〶摦㠷㍥愷攷㈱戰㑦换攰攵㡡㐵㌲戲戰戵㐸〶扦㐳ㅡ㐹㠴㤷愸ㅤ晣慢捣晢ㅢ㐶ㅤ㥦慥捥挳搷ㄹ戰㘸㕢㈸扢搰攳摣㝥㐳㠳㕢㠷㍢㕡敦㠴㍦㐸搶㈷㄰ㅣ㔳㑢㜸捦晢戸慦敤㝢㤰㙥ㅢ慤捤㘷换摥㝣㙥攵挲㌳挰改搶摥㤲㈶ㄹ扥㤳㕦㈴㤷昵ち㈱㉥敤ㅦ挱摦慤㍢㘸㌹摡㈸攸㍣晡愰㥢㡥戰昱㍡摣㘷㕢㠸㝥㥦㐷㔷㌱㐵㠰㥦㙥㐴ㄹ㍥〸㝡昹挸㡡攲换㔸ㄶㄹ〰昹㕣戱ち搰㥤慡㥦摥㠸慡㐷㘲㠱㉣㜸挶㈰㌹㤶挵ㄷ搱㤰摢ㄵ㉥ㅢ㉣挱㘵ぢ㜵㤶㐰㕥㡦㝢㈰㥦ㄳ㍣㑢愸㠹㝣ㅥㅤ㥡ㄳ戱㔰摡㝤㈲㥦摢㘸㈲㠲㔶㠰㕡㘸㜲晣㤱㔸㡢攸㜵㔴敢㌶㠱㐳攰〲っ㔳㉣㔲搶ㄴ挳搰挲て㠹ㄹ愴摦㐴㝦㕦㌸昲敢攷㤸晥㜶㐴㈸㐱㠸慡昴攴㈹〸搵攴㍦㤹㥣扣㠷搲敥㤳晦昸㐶㤳ㅦ愱㡣攴㑣昴〰㘰愸㑦㔴昰㐷㉤愶㠱っ昷㤱㍦㜱㥥〰扦搴㉣㐶っ㤴愸扥㤷㤰㐱㕦㙥戸㙡㜵ㄹ㤹戸㙦㠱敢捦昸戸㐷搹㐷扣〸㐹㕦㑥㌱㜴挶ㄶ㐳慤㔸戲㈳㉦散戶㤰つ㔸ㄲ扦㤶敤㉡搲㡢㍤㐶昸挵㠷㘳挴㥣㌸ㄱ㝦㌹愵㐵㌱㈷㄰㐶㘸㤱㤲㝥戸㤱攲㐳㜱攳敦㍥摢㜲㤹愲〲〹搴ㄳ㌶㈶㥤愹挶㑦挴㡤て攲慢㉣搵㈶挷ㅢ〴㑣㉦挴㡤㐹㡦慡昱攳㜱攳扦ㅥ摣摢㙣ㅣ搳㘱㌸㜲㠱㐴㤲㘱敢㉡敢㍦昱㠵昶㌰㥡ㄷ㑣敡捦〱㌳㉣愶攴㔴愱攳扡搲愰㠳戸っ攲攱ㅢ改㌹摣㙤挲ㄵ㄰〸搹昰㝦㤵㜰ㄲ㜷㥥㘶㡤挰挰㈷搰㙢〸㌶㝢扡㝡㘲攷愲㌹敦愱愰摦㍣改攳㑣㔵摢㔶㈴〲㜳㈰ㅦ敥敦㈶㑥昹っ搳戱戵ㅦ㜱㤰㑣攳ㅤ㤲摥㤴㠷ち慣攴挵〷㘲捣收ㅥ㙢搱㡣晥㈸㤰〳改〸挸㡣晥ㄸ㘰ㄸ㠸攱㙤攵摣〸昹㕦㌱昷〷㔸昱㐱㠲挷〱捡㠲捣㑥㍡㈸㍥〱㌰ㅣ晦㡦㉡挶搶㤴扦㐴ㄳて挷㉦㑢㤲㤱晥㘱㜶昸〸㐰ㅦ摣户㈲㈲挲戲晥㔱㤴㈴㕦㑡挱愱㕥晡㌱㔶㍣㐹昰㜱㠰㜲㠱㤳摤昲慥㜱㑤㍤㙡慥㑦愰慢㜸㡣〰㍦晤㤳㔱㠶て〵敥挳摢扡摢捡㍣ち挷ㅦ昶㈳搴㤹晡㠲晦㈸扥挸㕦攷愲晢昰㍦㈴㈹㈸挳㍥慦扤戵户戱挸〴戴挹搵㙦ㄵ㥢晤ㄲ挶攱扡㕡ㄱㄴ㡥㐸愵㔲搲㡡㠲昸收㠲㠵㡢㌷昰㉤㠷㔵㠵㄰愴〱㔵攱㐴ㄵ㐷㔰愰㝦㥡㑤㠹㘳攲㐹晦っ㥦㠸㕡戵㠹㥦㡤㌲㝣㄰挴慢敡晥㘰搴㍤㝥㈱㜱慤㉡慣戶ㄷㄲ晦慡㘲㈵昹挲愷㌸㤸㐲ㄶ㌲㘹慤㐴愴㈹ㅡ晡㈲㌲㐳㝤挳㥣摢〳昸㘹㤷㐵昵㝣敤晣昹㝦づ攷挷慥捦扦敢摥挱愷㕥昸搵ㅦ㍦昵晣㝢て晦攵㕦㑦㍦晤晣㥦㍥昵摣扦㝥戲㝣昸ㄷ捦㍣昳戳晢扥昲摣ㅦ㜷㥢㕦搵㥥晤攷摣㔷ㅦ㤹扣昸挸㐳收搹㝤挷ㅦ㜹昷㠳昷㑦㉥㕣㌵摥搷搷摦㝦摢攸㉦慦㝢攳挸㘳て晤㐰晣昴㜷搷㍡㐲㉤ㄷ㉦㐸㑦㠳换㔶搳昸ㄲ㌲㤸〶㘷晣㡡㑥㠳换㔵ㅢ戵ㅣ㙤搴㌴ち㑡昰㘹㜰〲慡挲㐸㔷っ晣〷㤴㉥戱㤰</t>
  </si>
  <si>
    <t>㜸〱敤㕣㝢㝣㕣㔵㥤㥦㌳㤹戹㤹㌳㐹㥡愱て㈸㔲㈰慢〵㠱搴㌸㤳㘴㌲〹㔰搳㍣㘸ㅢっ㙤摡戴〵ㄴっ㌷㌳㜷㥡愱昳〸㜷㈶㙤㠲㜵㐱㕣㔹ㄵ㐴挵㕤摣ち㔸攴攱㙢挱ㄷ㈲昸㐰㘰㐵㘱ㄵ㤵て攲㠳㡦晡㤱㤷戲扢㈸㔶ㄱㅦ㉢捡㝥扦攷摥㍢㜳攷捥㈴㉤戵㝥戶㝦㜸㘸㝥昳㍢扦昳戸攷晣捥敦㥣昳㍤扦㝢㉥㍥攱昳昹㕥㐲攰㉦㐳㠰捣㡡昱戹㘲挹挸㜵っㄵ戲㔹㈳㔹捡ㄴ昲挵㡥〱搳搴攷㐶㌳挵㔲〳㌲㘸ㄳㄹ愴ㄷ㠳ㄳ挵捣挵㐶㘸㘲愷㘱ㄶ㤱㈹攸昳㠵㐲搲㡦昴㐶晢㉦攲㐴㈴㑢挹〰〹㜲昹愴㐶挲㕣㌲㐴㈲㐱㥡挳㈰㕢㠶〶㌷㑥㕥㠸㘷㡥㤷ち愶戱慡㙤㥢㔵昳敡㔸慣㈳搶搱㥤㠸昵㜴㐴㔷戵つ捤㘴㑢㌳愶戱㍡㙦捣㤴㑣㍤扢慡㙤㙣㘶㌲㥢㐹扥摥㤸摢㔲搸㘱攴㔷ㅢ㤳搱慥㐹扤扢㌷搶ㅤ㡦愷晢晡㝡㠳㝣㜸攷戰㤱捣戰㤵㠶㘱㘶昲摢㍢㠶〶昱捦昵㉣挴ㄲ攸戰㘹ㅡ㔹㥤㍤摥㙣愴搹慡愳㜳〳挵攲㑣㙥㥡愲搸搹〵㜳㐷㜱捡㌰㑡敢㘶㌲愹㠸㍢㠵〲㜷搶捥㜹戳㜶㌲㙢㜳㙥愸㘰愴搳㤹㘴挶挸㤷㤶搹ㄱ戴て㌱㍣ㄷ㝤摥㔲㔸㤴㍢㘳㌶㘹㘴㠷㡣㙣ㄶ愲㘲㑢㙥㙢搱搸慣攷户ㅢㅢ昴㥣ㄱ捣戱㤶〶〴㥦㍦攰㙢㘸戲挷㡢挲〳攱戵搸㠱㈸愳敡昹ㅣㅣ攱慥㥢㠲挰ぢ戰ㅣ户戰〹㐲晦㠴敥㥦㤸昴㑦㈴晤ㄳ㈹晦㠴攱㥦㐸晢㈷戶晢㈷愶晣ㄳㄹ晦挴㠵晥㠹ㅤ挸攳㠴㔰㘳愳摦づ挷㝥晡㠱㍦㠷摦晤㡢昵㌷㥣㜳敢㠳扥ㄳ㌷ㅤ㉤㝥㡢扡㔹晦ぢ㉢㙥㝣昴㠴扤㍢㐶昷㝣昱戹㑢摡扦搴㜷㤷㜸摥㑥愸㈹昱ㅢ㍢挱㌸㌳昹挱挱㕢愷㕦㝦㙤㍡摤㜰㙥㝣收昲ㅦ摣㌴扤㍡晣㠳㘷晢挳戲㤵てㄶ晢散㝣昱㙤㍦晡㔳愹昷㔷㈳敦扡昶慡捥攱㝢㉥㌸扦昹〸愴㙥ㄸㅡㅣ㌳愱昰㐳㘴㝢捤㡢㔹攷㐶㔸摢〶愳㜴愸敡㕣㠲㍡㔱攵㜰㈱愷㘷昲㠷愸搲㈰㈷㘷晣㐰散愲㌲㈱㙣攳㔴㔳㌸㌷㕣㉣㡤改㘶慥搸㥣愳晥っ搳挸㈷㡤愲挷㡡㐳戹㙤扡㐹〳づ㤰㘹捤㔹昳㙦㈴〵扢捦㤴收敡搹戸〸〴昰捦搷昰敡㝡㉤㔳〳搵㌱㔰捣つ㑤改㘶㐹挵㌸㠴〷㘷摤㙤㥥㈷㜰捣挶㌳戹搷ㅢ㘶摥挸昲㈱ㅣ挹㜶㑦㈶戵㡡㔸攳㔰㕥㑥㥣敥㜰㤴㙡愶㡣戶ㄴ搲㙤敢昴㕣㑥㕦㌵㕡㐸慡愵㘶㜵戴㈳㥡攸散挶昲ㄶ敢散㡢㜵昵昶昴㈶扡晡㔶㡤㈷昵慣挱愴㘸㕦㜷㉣摥搳搷摤摤摢搵搳㥤㠸㜶慤ㅡ㥦搲愷㡤搵㥤ㅤ㄰昶昵昴挵ㄳ㠹㐴扣慦户戳㉢㉥㤷愱㙥㜹㈴㠸㜶ㄴ㠸㝦戸㐷㉥愷攴㘸㄰㈱㝥㙥㕢㝤捤㝣攲㠲捣挱搷㡥〱ㄹ搹㘲㘶戰捡捣㘴㜵㜳搵㔹㤹㍣㥦ㅦ㑢㜴㐶㍢㘳㥤昱摥扥㘸扣㌷搱摢搵扢㙡㌴戳挳挸㘶㡣㘲㠹挹摤慢捥搲㘷挹挴ㄳ搱㐴愲㍢摡摢ㄷ㡦㜵㈶攲〹戹〲搵挹㘳㔹昱㜱㈰晥戱戸㍣㥥㤲㌶㄰㈱㝥㙡户收挱㌷㙣昹㕤昶搹慥搱扢摦扥摤㝣搴昸㔸㈶挸㥤愱慢㥥㤶扤㙢昵㕡㙣㄰㐹扤㔸戲㡤㤰㥢挹愱㌵扤晤㕢摥㕡㌳昹户户㍣㍣攴㤰㔸㥥㝣㈵㌴㈴㕦〵愲慤〴㘹搸㌰戶㑤㥥㐰搱㠹㈰㐲㍣㘶て挸ㄵㅦ㍤昹㠹ぢ㥦扡㙤捤攵㐷㑤扦㙥晤㔷㝢慥㄰㔴慣㌲㡦㤳挰㥣㌶㕡搸づっ㤰㐹慥㍡换搰㤵㜵昴昴挱㌶扡㍢㝢㝡㝡㝢㍡㘳〹㤷搵㈶扡㘰㉣㝤戱㍥㔸㐵扣慦愷㌳摡㈷㑦收搳㑥〱搱摡㐱晣挳㜱戹㡡㤲搷㠰〸昱㠸晤晣敤昱㉤て㝦晡㐳㌷慤扢㐳摢㝢散㠷挵敦昷〹慥㉥敡昹慦〵㜳〱㥥扦愱㘰收戰敢㍢つ攸敥㡤㜶㈷㌸㍤㘲㌱㑣㥣㥥㍥捣㡦㔲㙡搸搸愹愶㑥㑦㑦ㅣ昳㈹ㄱ㡦昷㜵挵扡搰捣敥慡㐹ㄷ㡤挶愲㠹摥摥㥥㈸散㌵㠶㔹搴㤳㐸挸㈸㥢ㄴ〳搱㍡㐱晣㘳㍤戲㡢㤲㙥㄰㈱扥㘹㌷搲扢挳〸㐲〵愲っ昱つ㍢㐷捤收昴㥦昳昵敦挱昹㑡㍣㘰㈷㜸愷挸搲㑦慥㝢攲攲愵捦㘱㍢㍢ㄵ㑦昴㠹慦搹昹愲㠱㤳〶㉦㝥挶㍦㜴㑤㙢昰挵㠷㌷摤㜲㐵㤰扢摤换㕦ぢ〹搹愴挲ㄷ〰㔴挵㘰づ昳慣搸搰㔰てㄲ慥搷㡢㔳㈵㝤㌲㙢㉣㤸㐸愰㈰㑦㈷㔹つ搲晣㍡㤰㑤㌶㕥ㄹ㌶昵㕤挰㘲㤵ㅤ慣戳〳敢挸㠱㐰㍣㈰扣㜴㍣㥤㐸挷㘲愹㜸㔴敦搲㠳㕣晡づ㜴㡦㠸戰ㅤ改戳㌳昹㔴㘱㤷摡㌴㔶っ敡㐵愳㌲㤳摢敤戴挱挲㑣㍥㔵㍣愶㝥攲㜸㐹㉦ㄹ慦昰愶㔵㉡愹㈹㌶づ摣㘹ㄴ搵昳㡥昳ㄶ摢愶㘷㘷㡣㠱搹㡣㤵㝣慣㈷ㄹㅢ㙡㘱㜲晥搴戵愶㜱㔱㌹戵愶㐵〳挰敦㍢㔵摤㌵扤戴㤲慣㜶戵つ㑤ㄵ㡡㐶㕥㌵慦㍤㌷㤶㐹敥㌰捣㜱㠳攸摦㐸愹慥㉥㘳㤲扤慢户㙦捣愳愳挰愲愹㔷扡愵改㌳㘶㑢㐶㍥㘵愴搰摥㘹挳㉣捤㙤愱㜱ㅣ㔹㤵挵㝡㈶ㄲ㡥慥ㄲ慦㉤㈴㘷㡡㐳㠵㝣挹㉣㘴慢㔳〶㔲㍢㜵㈰㠹搴㔹㠵㤴〱㈰㄰㘰昰〹㕦㐳㠳㄰扥㔳敡敤ㄳ慣户搸愱〶挲㌵挴挴〵换慢捤慥㘳㌳㝡㠷㕥㘴つ摡愴㝦攵㝥㉡㔳昵戲㥡㤳攷捦攸敡ㄳ㡦㑡捣㝤搲晣戹㔵ㅢ换㈳昷户捤散昷㉦戱㝢㝦挶㑥愰慤昵㝡㍥㤵㌵捣㝡ㄳ户㝣搰ㄳ㙣㤱散〷〹摥㡢㈵㘶㕥敤㜱㜱ㄶ戳㘲㉥戸㉢㤳㉡㑤㘹㔳㐶㘶晢㔴〹㌲ㅣ〶㐳㈱慡戶㈶挸〱㠸攴㈰挹㄰㐸㌸散搳㠶㤹㐹ぢ换㌳慣戸㈰㡡攱晡㈵搷㤲慣〳〹ㄲ换散ㄷ愴戱㑣㠰㔸戴㈵㌷㙣愴㜵㥣ㄴ搵摣ㄲ㝡㌰㘷ㅤ㥣㠶㡤㘲㔲ㄲ㝤㡥挰㔲㘷㌵㜰㤸㝡㍣㡦攵㑢挶㙣㘹㔸㉦改㡤㌹攰㔸攸㐸㈲㔳扢㉡㘵㜱㉣搹愲㘴㑥改戰ㅤ㐳つㄱ挵扡㙡㘹㔲〲慢㈶㤸㉤慣搵搷㘰搳㠵㍢㠱戶㜳扦搷扣㘶㔶㡤㐷㜱ㄴ㑣慤㌳昲㕢收愶㡤㈲戳㠷戴㝡㘳㔹㕥愱扤挶捤捡㌶㈶㈷户㤶㌲搹㘲〷㕡扡捥㉣捣㑣ㅦ捡㝡㔸㤷㕣て攲㠴攰㥤戰愱〳敦ㄳ摤㄰㡤㍢㌹㌶ㄳㄳ扥㄰㙢愳㐴ㄲ搷㑡摡ち㉡㝢〹㍦㉡挸㔱晣㠴ㄷ㑡ぢㄲ〲扦ㅣ散㑥㑣摣㥣㠳㠶戶㤸㠶㍡㜱㠷㔴〴摡㙥挹昱㘸㍦㔹㈸散愰㍤㉤㔲戱戲㑦愰挹㍥搱昰㈰㉥㠴㘸㤸昷㘴捥戳㠱㌶〶搲㌲㤰捤戶㌹㌵ㄶ戵㑤㄰㌵攰慣愱㙤〶戳㜴扤愱㘷㑢㔳㜳㙤㔸㑦改ㄳ改㤸捤ㄶ㘷挵㙤攸㌹捦挵㌵〸攳㔶㍢愱〶攰ㄳ㠸慢愳挱㔶㌰攲ㄳ挸挶昹っ扥㍡挸戳ㄱ㤷攷㤰㥣ぢ㠲㔹愹㌴㡤㐹昹㐶㉢㉡〸收搵愴㍣㡦㤹捥〷ㄱ㠴昴敡㤰昱㈶㌰㑥㄰ㅦ㐶晤ㅣ㙦㌵㘶挷㐱㕣㍢㘶㤳㤰㠶攵〲㘹愲つ㌹㌸㙥㤲㝡㤲搴㡣愴㔶挴〷㔰㜱㕤〵㕣㘳㈷㜸〱㔳㤰挸㜷〱㜰㔰〵攳㜹㍥慢〲〷捤改戵㤹㙣挹㌰搵晡摦㥡挶㡦攵㐷㔲昱ㄶ敥㜹愶㥥戴づ㥦㑢搳㐳搸昶㜰㈶㉦捤㔵㠰㐰捤戶㙢敤㑡㝦〷ㄷ㠷ㅤ戸㔰搰愲ち㘰㉣戰㜹挳㘸㍣昰㘲攱捣㉥㈳攲扥㕡㜷㌱㔲㈶搵㠱㥡慢㡤㡣昹扤㉢愷㜲㍣㤴昳扢㡤㤰戹愳昳㠳づㅡ㝢慤㤱戲搰扣ㅢ㍣昷昰扦挳㈳慦ㅦ摣㠲㐷昴㘶捡㉣㐹㡥㈴㑦㔲〰ㄱ敦挵㘲挴㘵搶㐴㠴㝦ㅦ〶㑣晡㤹㍡㕢㕤挴㍣ㄴ挹㈲㠸㙢㤹㥤㐱㔴摢〹搲敡昸㌶摡㉣ㄳぢ晢〴捦敤㙡改摤〵㐶捥㠲㌴捦㠱㙣㔸㙦㘴〱戵て㤵户㌲㐸㠷挰挲昰〴昶戳ㄸ㤹㡥捣㡤捦攵㤳㔳㘶㈱㡦㌷〰㐴㑤〳㐹戸晢㡡㐲搷㜲愳㠵愱㤹㤲㤶㕢㥦挱㑦㜳㙥戳㌱㙤攸愵㈱ㅣ愵〰挹㐶攱慦㔱㠰㙢㈴㌵晢晦〹挸㤴㐳〱攷昹ち㈶ㄳ摥搹㙢㐱㈳㕢扤ㅤ挳〵扣㘲㌰ㄴ㌴愶摡㌵つ搰昶㌰㐴㕣㍥㜹㌱㕡户昷搷㥦㌸敤㠴敢㍦昵㤲晤㝢〹慣㔰〵戹ㄲ㠹戵㍢昱㕢㈰つ㉦㤴㈶攸㈱㉡敦挴摡㘵㠸㌵挰っ慣摤㜸㌷慡慥扢ㅢ扦搹㑥愸㜱㈸搱つ愴攰挸攵㘰挴ㅣ戲搵㠷㈳敦㐰戲㝣㈷挹扢㐰㕣昳攴㑡㉢㉡攸㑡㔲㜳攲摤捣㜴ㄵ㠸愰㐳㐹挱㤱昷㠰㜱㠲㤸挶㌳捡㜰㠴扥愷㕡㈵扣ㅦ搲戰㕣㈰㑤搰㑤㔵㔶㠲ぢ㡥愴攷㔳㠰㘱㈷搴㜸戴攸㘲㔲ち戸づ㡣㐸捥慢㠰て㈱㔹敥㈵戹〱挴愵㠰ㅢ慤愸㠸攱㔷㈹攰㈶㌰昲㘶㄰㐱㘷㤵㔲挰㉤㘰㥣㈰摥攰㔶㐰㈷挴戵ち昸㌸愴㘱戹㐰㥡愰ぢ慣㥥〲挶收㔳挰㐶㍢愱挶㕢㐶扦㤵㙡昷㘷搹㤴摢㐱〲㜴㄰㉤㜸㠲愱ㅢ㌲㍣㕡搰㔳㙢㠱戶ち㘶愳晤㘶㌰㌴㔴挸㑤攳戸㘶㐶㜸搶ㄹ㠲㤳〰㘰㜹㘷㈶㘵㤸㈱ち挶戱㍡〵攸挷搲搴戲㠳〵ㄷ慦捣㠲挱愶㔰扤㘷㡤㌸㜵慤戴㡦捡敥昷㥦㈳㌵昵晦㘲㔳㙦㍦ㅡ㠵㠱愱攷㑦㝥㡥攴づ㄰㐱㍦ㄷ晢攳挹昰㜹㘶戸ㄳ㈴挸㘲㉦挳㜷搱挴㠲改㙤ㄹ㘳ㄷ㡦㝢㡢搲㜸ㄳ㌸㌴㔳㉣ㄵ搴搹戴㈵㍤㕣搸㔰㈸つ㘷㡡搳㔹㝤㙥㐹摡㘶捥㥥㌲昲昰摢㤸㜰摦㜸㘴㠵改㘹㈳㈵搳攳㠵ㄹ㌳㘹㡣っㅦづ㝥ㅤ昴て㙡㔳㉥ㅤ㍦㡥㑤攲攰㕣ㄵ愸㐲㘰㌰㄰㝣挱〱㔴攸㍤昳扡㈰㔳〵㥤搳ㄷ搸㕡搱攸㤶㑣㈹㙢㌴愵㔵扡攲㐳㘹㘸ㄱ捥戰㔴㘳㝡换ㄴ捥㠲挳㉤改㜵㘶㈶㤵捤攴つづ〶㄰㍦㕦㍤㡤ㅡ摢攱昸ㅡ㉢ㄴ㌳㝣㑦摣㤲摥㘲敡昹㈲捤㌲㥦㥣㕢㕣ㄵ㔳㘶ㄸ㑣て㘶昲㐵㍣㐶㡤㈲昹搶昴昸㔴㘱ㄷ散㙤㈶㤷㕦愷㑦ㄷて㡢㔱攱改捤ち㙡㘸㠴㕦昸晤㈲攴てㅤ散昸㘸㜷愱戶挵敡摤㔷ㅢ捣戴㘴㘶㈶㘷愸㉦昵っ慥㍣〱ㄲ㌵㠴扥攰㈰戸〵㐰㉦愱慦敤㡤愴愷㡤㑤慤㝡晢㔳搷㘱㕤㜶㙤ㄱ敥捡㉦戰捣ㄷ㐱捥㕣户㜵愴攲㠳晥敢慥ㅡ搰㥦攵㠵ㄲ㕥挳㉢扢晣戸〹㉣戲㉣㠸㌲ㅡㄴ㈶㈶っ㠱㌱慦㔵㠶搳㉡てつ㜴㔱㠵㕤ぢ扦㔵㜳㝡㔴㥦㌴戲〰㡤㌹扤戴挸㡡昰〰㠰户㈴㐵㍢つ㉢㕢㑥愷挵搱㕡搵㥢挵㔰㝡㘰愶㔴挰㉢㍥㤹〶㔱㘶㘹㡢昴㔹㠸昴㔹㈵㙡㑥㙦愶ㄳ摣㕡㍣㔱㔷㘱扢㙥㘶㑡㔳戹㑣㌲挴〸ㅤ搵㠷㠵愹㘲敥〳㕦㤷㠳戳㤴㜸愱慣〵敡㌰摣ㅤ〰搶㔴ㅤ㠷ㅦ〶敤ㄷㅡ晥ㄳ〷改㈳挵扡愳昶㔳昹㘵搴ㄶ㈴挶挷ㅡ㘶戵㘵㥦㜳戱㘶摦㈵㤰愸戵㐹搰挵挹㘴㜹户捤㌰㈲攸攷慣戳㘹㝣㠵ㄹ敦㘱〶晡㐰敢㘴戸㤷ㄹ敥〳〹搲摢收敤㜰戵搳㄰慥㐵扥愸ち愸㌷昰㜴㘷㠶攰晡㔳㝥搰愰ㅡ攱㈶㤷晦㔲戳㕣㤷㈱攷戵扥㠶户捥愶㤱ち㕢㙢ㄶㄱ㍦晢攸挷昵ㄳ㝦㐸昳㍡㔷㙡ㅥ㡢捡㜲攳㠶㜲㙣㡡挵㘸㠲昶ㅦ㈰㘱㕡㈰敡㥦挰㡢敡㘱挴〱ㄷ㕥挲㡦ち攱戰扣㥦㑣㔸㡣㠲㍡晤搶㈸〹ㄳち挸慦㤱㝣ㅤ㐴㙣〵㔱ㅢ㜱㘵晤ㄷ㜴㘵つ攰捦愷㍤〰㜲㔴攵愵昶㝥ㄷㅥ㜱づち㜰昱㤱て㠲㠸㜳㐱㌸愷换㘳晣つ昰晢ㅦ㘳㝡捣㌸慣昲㥢㌶挳㠸㌸て挴改ち㔸㜴㐵㈱㠷㠷挰捡㙦㠱〸扡搴敡㘴昸㌶㌳㝣㠷ㄹ摥〴挲㜱搶ㅥ〶㈹敢て慦搶敢攸敦ㄱ㘴㠱晥㈶㐱㥤㍡㐳㤴㔸晡晢㉥㔸昹㈸㐸㜰〷挸〲㑢ㄶ㤰扥换搱戱〸㤹戵昴搶㝣愶㠴搵㠴攳户㌶㔳挲㄰㌶愷㐱挰㉡㡦挴㉢搴㉡攳㉡搴㕥〶㉦挷搷㈶㔵愱㤹攳㙡搳摤昰㘶㘵㥤㘴ぢ昸戸昰捥晥㌲㈹〰㔴愷㡤㠷ㄳ㈲ㄲ搶〹搵〶㐵攲㠴昹晤㌹㉥扤㜳㔷晢㉢昰㤳昶㍤㤴㡦挴扢扢㍢晡㜰㡤㈳搶ㅤ㡤攳㑡㐷捣㈷扦て㌱㡣㤹搸㑡晥〰㉣昱㔵ㄶ扦ぢ摢㡣换摦㐵晣ㅡ㈶挶戲㘴㉤戶㐳㜵㈴㕦〴㑥て摢㌱㙣㐲㡢㙣㜶攳㑣愹㉡㐵㥦㕤㘲愷挰㔹扥㌱て攸㤰搴捤搴㘱戲敦愰㙦ㄶ㍡㔲㕢挸挱㈲㔷搴㠲攰摡㉤㜰ㄶ晢㈱㈴搴㌵ㅤ㑢㉦挷㕤挸㤳㔵ぢ搵㕤昶㈲㠶ㄸ攳㝤〹㌵ち搶昵〸㜵㡣ㄸ㌳㜰〶挰摤慢慣戱㐴ㄵ㈸㐷搵㜶㈰搳〳㤳㐵㐰搲ㄲ〱㠷捤愹㤹㉦搳㥢搵㉤挹㥤〶昰㠱捤㡤㈵㑢㜰㡥㤷㉢攰㍢攳挳㘷㠴愰㤱㠰㍤㑡㐲㡤㤳戶㠰昱㔶㜷㠲㤳敡㈰㐷ㄵ㙢㝥㕡㠵攷晡挵〷昷㌰㝣扣摦攷㌰昶㐱㠵攰㜷〱㤸㡢挵搷敤摢攵㑣㕡攲扣㜲戰㤶㍣戵㥡㌵㍢㌲㘲攱ㄶㅥ㔹捣ㄲ㉥㔶昰㙡㔴㉢愷㑥ㄶ愷㘵㕣摡搱戳搹戹㐵改㤱㝣㌲㍢㤳㌲ㄴ㘶㜴ㄶ㜱〵ㅤて㡢昱㔲ㄷ㤰慤戱㕡㐰㉦戶㔲㐶㜰ぢ搹㜹搱㝥昰攷㐶昹ㄸ搴慡㜶㔰搴ㄱ㤶㍦㐲㡣昳慥㠰摦㤷敤㐸攷㙤㤷挵㤵搷㐰敡挶㉥㤶戶ㅡㄱ搷㌴㝡㐳换扥㜸㌵攳㕣搹㐶ぢ戸ㅥ㠸㜳愷㑢戴㍥㘳㠹づ㡢㜱㐲㍦慤㠵㑦搳㠰㥣て㜲㠶戰㤲㜲搸㜷挹㘰攱㡦捦㥢㙦晢㘵扦㜵㡣昷㠹㡢㤰愶㔰㥣昲㑥㜲ㄳ昲昱㠴攸慦ㅣㄳ㠵㠹戸㐲㙢㍦〱㈳攰摦戱搱㥡㑦㜲㌷㤳㍦〵搹㍦㕡㥢㘱㔹㘶㝦摣㘶ㄸㄱ昴戴㍢挰㠹〲ㅢ慤㍤〱㔶㍥挹っ戳昵㌳㍣挵っ㑦㠳〴改㡣昵㉥㌴昳晡㤵〹〵㠳㌹〲敢㔰㡥㙥㉢㑣㔳つ搷ㄲ攰㌷〷摥搵㥡㐲㜳慣昶㘷㈰摦㝡攸㈱㝡㤸㝣攲㉤㈰㑥〳㠳攰㙤㘴昷㜳戰昲ㄹ㘶戸ㅣ挴㡢㡣摦〱搹〰晥㝣摡㝦㠱㉣㜳敥昳敤ㅦㄷ搳ㄳ慢㌴晤摦㘰〴㕤戲㔵戸昸㔹〸昶慦改㉢㔹ㄶ㝦昲ㄷ㌶挳㠸愰晦搶改〸㔸㐷搳扦〴㉢㥦〳ㄱ㔷㠱搴挹昰㉢㘶搸挷っ敦〱㔱戸昸搷㘰捡戸ㄸ㌷っ敢攰攲攷㤱〵戸昸晤愰㑥㥤慥㜳挵㙦㈱㤶㉦㠰㠸敢㐰扣摡愳㑢搶搲摥敦挰ㅤ〹敤攵搵㙤挴晤慢㙦㉦昲㉢昵晤ㅥ㡣戸〱愴㑡㝤㝦㠴㘰晦敡扢㤱㘵昱㈷晦搷㘶㤴晡㙥㐲挴改〹㔸㐷㝤㝦〲㉢㕦〴ㄱ㌷㠳搴挹昰㘷㘶昸ぢ㌳摣〲愲搴昷ㄲ㤸戲晡㜰昷戱㡥晡搴搱㌶㉣攸㉦㜶敡っ戱㤴㜵慣昰愳㐵戲〱㐴㝣搶㤵〱慣搳㉡慥敦㌲挸っ户搷捦愰㌱㐳㈳㐸㠴ㅥ㔵㠶挸ㅤ搶慦㉦㐲ㄷ㉡㐳攴㑥敢搷㈷扥〰〶㜹昱ㅤ〹慢〴愳愶搱㤷挱㜸㡦挲㌵㘷晦〰㌲〱㝤挲ぢ㌰㕥㥡换挲昳㐲㤶㐷㘳㡢攳ㅣ戴㤲攱㤶㉢㤸㘸㜷挰晢㠶戴㕣昶㜵愸慡㘹愹攷㝡㤹㉡挶ㄴ㍡ㄹ㠲扦晦㑢敤ㄵ慡㜲㜹㌶扣㜲摢㠵㘵ㄸ戴㌰攴㑢捦捡㈴捤㐲戱㤰㉥戵㡤挳愹搸挶敢㝡㘹㙣㑣〳挱ㄷ㔰㘳摤㘷戲㘳㠱㍣㍦ㄳ搹挹ぢ㌴攱ㅤ昹挲慥扣㙡㑤戰挸㕢㡢㝣㥡㙣㙣攴㘳戸㕤愹昰㉡㈸㉦㜲㌷㔸ㄶ㤶捤挸搲搲㄰昹㡡㤵收㡢摣攳㌰昷㍡捣㝤㌶ㄳ扣ㅦ捣㠱ㅥ晦㔹户㤸ㄴ㐹㤱ㄲ㐶愰戱戱收㔸㔳攳㌶㈸㕦㙦搲戴挵㈸ㅢ㝣ㅥ㕤昶㥥㠵敡ㄷ㘲ㅦ㉢ㅡ㘵㘱攵㌵㔸〴戹㙣〵〹㐷攸㐰㘰㠳戴〸愲㡢㠷〶㈷㜰敤挶戹㠸㐳㉢搰㡥㠰扣ㄹ㜲戵㌳㙦挶愵㐲㙤㌱㈴㐷㐰㔲晤搹㠲戶〴攲㐵㄰扢㝣㤲㤱慦摢戵慢㤷㘴敡㑥扥㍣ㄲ搹搴ㄵ㝤昱㈰ㄲㄱ昱挹攵愰㘴㘸戴㠲㥥〵ㅡ慥㜸〶扤愴戹㠰昷㐹摡〰㠷㕢晣っㄲづ㜹昵㤰㝤ㄳ㠹㙡挸㔶㈰ㅦ㠶㡣扥〴㠶〸晤〹っ㤱㙦㕢扦扥挸㜷㙣㐶㍣〲㠶挳㈶㥥㐲㜵㔴愹ㅦㄱ㜹ㅣ㉡㤰挷㠳㠴㈳摦㐵㕣㔵㑡搵㐸敡㐱戲敢㤲ㅤ㡤搰㘷愰ㄲ㌷戳搴戱㈴㈷㌲㜱〵戸㈰捦㡡摥〱㜲戹㍦㕤㠷㔵づ㐷挴攵㐱㔰㐳㝤㐴㝡搳㡣㥥挵愷㈰ㅢ㠱㕡㑢ㄴㅤづ㔸㈷㘰㥤ㅤ昶㙢攵慡ぢ㙦㍣㥦挶收搵㐱戵㤱摡㝤㔳ㄷ昷づづ㌹㠵㠳㍦挴戸ㅤ搸㔳㌰㌸㥥愹㐰㜳ぢ换㤳㤱〰㥣㉢㜸愶㘷ㅥ㜹ち愹ㅤ〴㑦㥦㌵搲㈰㤱昲㠱挳㜲㤶㕦㠲㠵挷晥㠸㤰摥攲昶㉣㑥㈸〷攰㥣㙦㐷㔹㐱㈴㕥搳〶昱ㄳ㐷晡ㅡ收㐱㐴捤㥥㥦㠲㔱戳攷ㄱ㈸挶㤹㍤摡㙢㤱㍥敦ち㉡ㅥ㐶搶摡㈹昵㌸㙡㔲〶ㅥ㐳㘱㑣愹㈷㄰攷㘳戴㑥搰ㄳ㠶〶㠷㌶㑦攰ぢ㐳愳扢㜷戲㍢㙡㐴扢扡㈷愳挹摥㥥㥥敥㥥挹挹㘸㈲摡㡤慦㘰㍡愳㤱㈷敤㌲戲ぢ㘵㈲㑦㌹戱㙥挶㥥㜶㘲㑣㙢㈵愲攳㤴㈶〴㌹愴㈱昲㜳㔴㐷搵㜸㈷㌰愱愱㤲扦㡡㠹愷愲ㄱ敡搳㄰愱㜰ㅤ㐵愷㐳㠴㝦㤶㕥㠹敢㤴㕥扦敡搲㙢㘵㔵扡慦慥ち㠹敥㤴ち搷愰ㅥ愸㤰㐸㡥㈱㐲㌴挷㄰㈱㜴㘳㠸㄰扥㌱〸挲戲晢挹摣㠳㉡戹㉡㐹㐴攴㈰㥢㌷〴ㄲ㡥㄰㤹愹㑡敢慤㑡㐴㙣㉡㔱慤㑡愷戰攸㤹㉣㝡㌲㌸愱㈰ㄷ㐵愳㄰攱㥦搵㌳㐲㉥搵戳摢敢昶散㌳㜵㝢㐶攰愵㥥㌳㠶㝡搰㌳㠲㉣㠶挸㡢搶慦㉦㐲㔴挵㄰昹㡢昵㙢扤っ㔰㍤晢㤴摤㌳慢愱㙣摥㌸㐸㌸㐲搰愴㘴昵㝡㐶㌰㘵ㄵ㐰㝤敡换ㄴ昹〶ㄶ㡤昲ㄹ敡戴㑣㠶㠸㡡㈱㐲昸愴ㄸ㐲㈸挵㄰ㄹ愹ち捥〳搳搲㄰攴收㝥摡晣づ㐵搷㉥搶㡥㘳㜶搵㠵晥㌳㜰㐱㝦㡥扢㐵〳摥愹㕢敦っ〲晥㔳て慥㉥慥㤶㜴慥昰㉦㜸ㄳ㌴昳㔷搴挳慥㔶㜶㝢搶㜸㍣晥攴㥢㈰㙦攵㤶捦挹攵㤹㘰晢晡㈱㘳㔸愳愸㉦㘴晦㐶散摦愵㙢㕡㠹ㄳ慡㑡㝡㉦搶捣敥昹攸㡦㥦扥攲戳晤㝢ㅥ昳ㅦ晦捥昵㙦敢搷慥扣㉦㍥晡㥥挰ㅡ挱慤晥㘸搴敢扤扡晡㈱摡ㄴ摥㜲搴摣摤扤摥㑥昰摥摤㡤㄰㈱愸挱㑢㠱㘹㘹㄰摣收㌹㠰攲㕡㤴愰搶㔴㐷搳㤰戴㜲〳慦㙡慥搵戱〳攸㈸㜷晤慡㤲摥㡥敥晢昷摤㙤㠵敢摦搷晦㘶昵敤搱捤晤摦㝢敢搵㜲㑤摦㙤晤㠲㍢㝦扤㡥㕥㌳㕦㐷晦搵㑥昰摥搱ㄵ摣㡤昰て㤷改㐰戹㍣昱㉦攲㙣㐹㐲敤〷㑣㜶㈴㉡㤹㍢㠰搲㑥ㅥっ戴挳ㄵ㕢㘹攷㝤㙥敤㑣㐳ㅡ攴㘲㕢搷㥢攳晤慥搰晤搹㌳㤵戲㉣㌷㔲〴晡㔳ㅦ㘵て㤴扦挰㍥挲㐱㠵敤捥愷㔲㈷㔴㈴㡥戳搴㈹戶搱㉣㤷挳〷〴㠰攴㐸㘸攷㠷㔵换㉡㌱搷慢户㘳㉡㔲昸挸攱戹㌳㔲㑥㡤㐵慣㈶〱㝦㠳愸㝢㝢挴晥づㄵ㍥㐳愷㠲㌳昲㌳戹㈵攸挳㌱㜵㉥戴っ㘶㑡敡㝤㌸㌷ㅦ㈱戹户㘹㈶㐸攳敡㤵㠳㉢㘳㠹㜸昰摤㔰攱换㜸っ㡡扡愶㈰ㅦ㑡㐹㔸昲搵扣攰扥挷晡㈸ㄲ摣㜱㉡㌶㜳ㄹ㐴搶㑤戲㜷搸愶㔱㌳㌹晥搹㑥昰摥㈴㡢㜰愳㔲挳㝦㌱ㄸっ㍦㜷ㅢ㌵晣㙦㐷㠹昲攴搸つ㘹㉢昷ㄱ晡㐸㌸愲慥㌰晦攴㘸攵愶㔳㔵挲㍢㈹晥攷挸攵摦㝢收捥捦昴㕦昶㤱捣㠹昷て晥㘳扦攰㠶㔳改搸㈶㍣挶敡搸愵昳㜵散ㄲ㍢挱㝢㐳㉣㌲㡡㥡㔴挷㉥〳㠳㡥㜱戳㔱ㅤ㝢㡢扢㘳晦〴㘹敢㘶㤰慡戹㙢昵捥摢戱愵㙢㉣昹㜲晢昷㤵㙢㕡戹昷愸㤲攷㡢㝦戸㝡㈰昸昸㈵摥づ〶㕦㌸㜳昹ㅤ㝢㍥搶㝦敦搹扦昹挳戲㠱㌷昷扦昰攳㘷扦㝦捣晡ㄵ晤㠲晢㑦扤㡥捥捥搷搱㕤㜶㠲昷㈶㔸㤰㕢㔲㕤㈳㔳㉦ㄲ慤慦戸㕣ㅦ捥戵愲ㄳ挱㌴㑦㘷㑤㘹㑢捣㕤㐴扤㐲捡慡〳㙥㌳㙥㉥㤸昸㜴㙤ㄴ昷㜳㜰昷〱摦㙦摢㘷㌵摣摢愱㙢捤戹ㅣ㈶㔵㡣㠵戵昴㐶ㄳ户挵ㅡ搳㈳㐵扣㈴㐹㠵昰昱㑦〹户晤昳㠷挳挱〳㉥㠷〰㜷㕢㉣㠶晣摣捤㕦昷戴捦㘳扣搷挹攸㍡㜲㔵昴攱㌸捡晤扣昰㜰㜰挷づ敤㕤ㄸ㉦晢〶㑦捡㜵㠳㈷㈰㘶㌸挲昸ぢ晢㉥昵扤愴㥡散昳晢攴㤵挸慥慥㑡慡挵〰㈴㉣慦愲㘸ㄸ㌹ㄴ昱〵戹㐷㝢晢㐵搷换㕡㜶摣昳㐹㔹㔳ㄳ㍢敢〴㜸ㄱ㝣㍥ㅡ㤰昶㕥㄰昷㍢晥敡愶ㄵ敡㌶敤㙡㤴昱㌴敤㕦㈸慡㌴㑤㜰㔷㘵昳㥣㄰挹㈲愲愶攵㌵捣昹〱㤲㝦〳〹ぢ㙥㍦慡㈵㝢挰㔴㙥㙦敦攴㕡㕦昴㡢戴搳㠲㘷㍢㡦慥㈸攷㕡㤶攷昲㈷搴ㄸ㔳㌹搷㔳攴㙡〱㜷㉥搵㠲攷㥢〶㝣捦摣㌲㄰攰㙡扡搰㘲捥㕤戱㌱㌷愱昳㝦搶ㄲ捡㑤㘴㡤晣昶搲㔴昹㝦搰㠲㌳㌷敥㉤换扤愸㠴㡦攴㥦攰搲愹㥡㝥〳㤸㡡㍢戸㕡㠵ㄳ㑥〷㝣敥搱扤ㄱ㈵㍣㉡扣㤹㈲㔷〷㜶㈳敥㔶愱攰㠲愶ㅥ昷ㄱ㌰㉥晦㘹昵昳捥慤晢扣㡦戱㜲㉥慢ㄵ㙢晡〴㐵慥攷㜱㐹㜴㍦㉦㐸ぢ㍣攰搹㠱扣〷㝢㕥扤ㄵ㘵〵㙤㥢㜵挸摢㙣㠶ㄱ㐱㑢㔳ㄳ攱㤳㤴搲挸㈸㤶㥦戲ㄹ㐶〴つ慡㤹㠲㌱昴㥣㍢搷改㤰㠶晣㥡愰㤱愹㠴㡤㜶挲㙡㤵㈰〴つ㑦㈵㙣戰ㄳ㠸㘷攵敤慣㠳㠶愵ㅥ昸㌹挶㘸㔳昸㠷扢愹㌶挳㐸㉢㙤㠰㑣㠸ㄶ㈳㌸㤲慡挴攷㈹收㈰㌲㑤摥㘹㌳㡣〸㙡㕦攵戹㡢㔲㉡㥥㘲昹〵㥢㘱㐴摣敡㐸㑦㘱搴づㄱ㙡㈳㠰㠸晣ㄲㄸ散㘶㑡て㡣㔷攵愲㍥㔴慥扢㔵慥㔶㜶攵㙣攴昲捦㡡攴〵愹ぢ㉥昸㐳㙢愰敤ㄵ㠱㜳搶㌴敦㜹晣ㅢ㑦㕥晤攸㜹慢㥦㜹昱扡敢ㅥ㝤晡敡㠷㕥晣昲攴敡〷㙥扣昱晥㌳昷㍥昴攴攲昴つ晥捦晦㘱昴㠶摤戱ㅤ扢㉦㑡㙦㍤㘵摤敥㜳㉦摣ㄴㅢ㍢愲扤愱愱戱昱搵㑢ㅥ㕣㝥㔲攴搲㡢敥ㄲ昷㍤㜶㔴㕥㈸敤戰ㄹ㕦挱㤳ㄸ攸挶㡥㔰㑢慡ㄹ昷愸㘶〸愵ㄱ㈴㔴㌷㤶㥡㔱戹敥戳㜲㈹㥤搴攴愲㙥㔴慥慦㕡戹搸晦㘶晣㠹搳敤㌱ㅢ攴㔳㜱戵㠲㕤㔶〹愷㔵㈷㐴搸㌴搶搰ㄲ㄰㙣㡦捡㜳㙡㜵ㅥ挱㈶愸㠴㍥㑦〲㥦慡ㄲ㝡慢ㄳ㥡晥て挷㈲捦戹</t>
  </si>
  <si>
    <t>Asset value at the beginning</t>
  </si>
  <si>
    <t>DEPRECIATION FOR MACHINE AND EQUIPMENT (MILLION VND)</t>
  </si>
  <si>
    <t>LOAN AND REPAYMENT SCHEDULE  (MILLION VND)</t>
  </si>
  <si>
    <t>SALES  (MILLION VND)</t>
  </si>
  <si>
    <t>PRICE  (MILLION VND)</t>
  </si>
  <si>
    <t>CONSUMPTION  (MILLION VND)</t>
  </si>
  <si>
    <t>EXPENDITURE - MAIN COST  (MILLION VND)</t>
  </si>
  <si>
    <t>EXPENDITURE - PACKAGING COST  (MILLION VND)</t>
  </si>
  <si>
    <t>EXPENDITURE - SALARY COST (MILLION VND)</t>
  </si>
  <si>
    <t>EXPENDITURE - DIRECT COST (MILLION VND)</t>
  </si>
  <si>
    <t>EXPENDITURE - MANAGEMENT &amp; SALE COST (MILLION VND)</t>
  </si>
  <si>
    <t>EXPENDITURE - BUSINESS LICENSE DISTRIBUTION (MILLION VND)</t>
  </si>
  <si>
    <t>INCOME STATEMENT (MILLION VND)</t>
  </si>
  <si>
    <t>WORKING CAPITAL TABLE (MILLION VND)</t>
  </si>
  <si>
    <t>CASHFLOW STATEMENT (MILLION VND)</t>
  </si>
  <si>
    <t>CASHFLOW STATEMENT EPV (MILLION VND)</t>
  </si>
  <si>
    <t>E (MILLION VND)</t>
  </si>
  <si>
    <t>D (MILLION VND)</t>
  </si>
  <si>
    <t>WACC (%)</t>
  </si>
  <si>
    <t>WACC average</t>
  </si>
  <si>
    <t>NPV (TIPV)  (MILLION VND)</t>
  </si>
  <si>
    <t xml:space="preserve">IRR (TIPV) </t>
  </si>
  <si>
    <t>NCF after tax (TIPV) (MILLION VND)</t>
  </si>
  <si>
    <t>PV (MILLION VND)</t>
  </si>
  <si>
    <t>NCF accumulated (MILLION VND)</t>
  </si>
  <si>
    <t>PV accumulated (MILLION VND)</t>
  </si>
  <si>
    <t>DEPRECIATION (MILLION VND)</t>
  </si>
  <si>
    <t>LOAN AND REPAYMENT SCHEDULE (MILLION VND)</t>
  </si>
  <si>
    <t>SALES (MILLION VND)</t>
  </si>
  <si>
    <t>PRICE (MILLION VND)</t>
  </si>
  <si>
    <t>CONSUMPTION (MILLION VND)</t>
  </si>
  <si>
    <t>NPV (TIPV) (MILLION VND)</t>
  </si>
  <si>
    <t>Market Price - Cost</t>
  </si>
  <si>
    <t>Output</t>
  </si>
  <si>
    <t>Product Cost</t>
  </si>
  <si>
    <t>Machine &amp; Equipment Cost</t>
  </si>
  <si>
    <t>Building Rent</t>
  </si>
  <si>
    <t>Electricity&amp;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</si>
</sst>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2"/>
      <color theme="1"/>
      <name val="Arial"/>
      <family val="2"/>
      <charset val="163"/>
    </font>
    <font>
      <b/>
      <sz val="12"/>
      <color theme="1"/>
      <name val="Arial"/>
      <family val="2"/>
    </font>
    <font>
      <b/>
      <sz val="9"/>
      <color indexed="81"/>
      <name val="Tahoma"/>
      <family val="2"/>
    </font>
    <font>
      <sz val="9"/>
      <color indexed="81"/>
      <name val="Tahoma"/>
      <family val="2"/>
    </font>
    <font>
      <b/>
      <sz val="12"/>
      <color theme="0"/>
      <name val="Arial"/>
      <family val="2"/>
    </font>
    <font>
      <sz val="12"/>
      <color theme="1"/>
      <name val="Arial"/>
      <family val="2"/>
    </font>
    <font>
      <b/>
      <sz val="14"/>
      <color indexed="9"/>
      <name val="Arial"/>
      <family val="2"/>
      <charset val="163"/>
    </font>
    <font>
      <b/>
      <sz val="12"/>
      <color indexed="8"/>
      <name val="Arial"/>
      <family val="2"/>
      <charset val="163"/>
    </font>
    <font>
      <b/>
      <sz val="12"/>
      <color indexed="18"/>
      <name val="Arial"/>
      <family val="2"/>
      <charset val="163"/>
    </font>
    <font>
      <sz val="11"/>
      <color indexed="9"/>
      <name val="Arial"/>
      <family val="2"/>
      <charset val="163"/>
    </font>
    <font>
      <sz val="8"/>
      <color theme="1"/>
      <name val="Arial"/>
      <family val="2"/>
    </font>
    <font>
      <sz val="8"/>
      <name val="Arial"/>
      <family val="2"/>
      <charset val="163"/>
    </font>
  </fonts>
  <fills count="2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rgb="FFC0000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rgb="FF00FF00"/>
        <bgColor indexed="64"/>
      </patternFill>
    </fill>
    <fill>
      <patternFill patternType="solid">
        <fgColor rgb="FF00FFFF"/>
        <bgColor indexed="64"/>
      </patternFill>
    </fill>
    <fill>
      <patternFill patternType="solid">
        <fgColor theme="3"/>
        <bgColor indexed="64"/>
      </patternFill>
    </fill>
  </fills>
  <borders count="18">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5">
    <xf numFmtId="0" fontId="0" fillId="0" borderId="0" xfId="0"/>
    <xf numFmtId="0" fontId="1" fillId="0" borderId="0" xfId="0" applyFont="1"/>
    <xf numFmtId="0" fontId="1" fillId="0" borderId="5" xfId="0" applyFont="1" applyBorder="1"/>
    <xf numFmtId="0" fontId="1" fillId="0" borderId="6" xfId="0" applyFont="1" applyBorder="1"/>
    <xf numFmtId="0" fontId="4" fillId="0" borderId="0" xfId="0" applyFont="1"/>
    <xf numFmtId="0" fontId="5" fillId="0" borderId="0" xfId="0" applyFont="1"/>
    <xf numFmtId="0" fontId="0" fillId="0" borderId="0" xfId="0" applyFill="1" applyBorder="1" applyAlignment="1"/>
    <xf numFmtId="2" fontId="0" fillId="0" borderId="0" xfId="0" applyNumberFormat="1" applyFill="1" applyBorder="1" applyAlignment="1"/>
    <xf numFmtId="9" fontId="0" fillId="0" borderId="0" xfId="0" applyNumberFormat="1" applyFill="1" applyBorder="1" applyAlignment="1"/>
    <xf numFmtId="2" fontId="0" fillId="0" borderId="7" xfId="0" applyNumberFormat="1" applyFill="1" applyBorder="1" applyAlignment="1"/>
    <xf numFmtId="0" fontId="6" fillId="21" borderId="9" xfId="0" applyFont="1" applyFill="1" applyBorder="1" applyAlignment="1">
      <alignment horizontal="left"/>
    </xf>
    <xf numFmtId="0" fontId="6" fillId="21" borderId="3" xfId="0" applyFont="1" applyFill="1" applyBorder="1" applyAlignment="1">
      <alignment horizontal="left"/>
    </xf>
    <xf numFmtId="0" fontId="0" fillId="0" borderId="10" xfId="0" applyFill="1" applyBorder="1" applyAlignment="1"/>
    <xf numFmtId="0" fontId="7" fillId="22" borderId="0" xfId="0" applyFont="1" applyFill="1" applyBorder="1" applyAlignment="1">
      <alignment horizontal="left"/>
    </xf>
    <xf numFmtId="0" fontId="8" fillId="22" borderId="10" xfId="0" applyFont="1" applyFill="1" applyBorder="1" applyAlignment="1">
      <alignment horizontal="left"/>
    </xf>
    <xf numFmtId="0" fontId="7" fillId="22" borderId="7" xfId="0" applyFont="1" applyFill="1" applyBorder="1" applyAlignment="1">
      <alignment horizontal="left"/>
    </xf>
    <xf numFmtId="0" fontId="9" fillId="21" borderId="3" xfId="0" applyFont="1" applyFill="1" applyBorder="1" applyAlignment="1">
      <alignment horizontal="right"/>
    </xf>
    <xf numFmtId="0" fontId="9" fillId="21" borderId="9" xfId="0" applyFont="1" applyFill="1" applyBorder="1" applyAlignment="1">
      <alignment horizontal="right"/>
    </xf>
    <xf numFmtId="0" fontId="0" fillId="23" borderId="0" xfId="0" applyFill="1" applyBorder="1" applyAlignment="1"/>
    <xf numFmtId="0" fontId="10" fillId="0" borderId="0" xfId="0" applyFont="1" applyFill="1" applyBorder="1" applyAlignment="1">
      <alignment vertical="top" wrapText="1"/>
    </xf>
    <xf numFmtId="0" fontId="7" fillId="22" borderId="9" xfId="0" applyFont="1" applyFill="1" applyBorder="1" applyAlignment="1">
      <alignment horizontal="left"/>
    </xf>
    <xf numFmtId="2" fontId="0" fillId="0" borderId="9" xfId="0" applyNumberFormat="1" applyFill="1" applyBorder="1" applyAlignment="1"/>
    <xf numFmtId="0" fontId="0" fillId="0" borderId="0" xfId="0" quotePrefix="1"/>
    <xf numFmtId="0" fontId="5" fillId="4" borderId="0" xfId="0" applyFont="1" applyFill="1"/>
    <xf numFmtId="0" fontId="5" fillId="11" borderId="0" xfId="0" applyFont="1" applyFill="1"/>
    <xf numFmtId="0" fontId="5" fillId="16" borderId="0" xfId="0" applyFont="1" applyFill="1"/>
    <xf numFmtId="0" fontId="5" fillId="14" borderId="0" xfId="0" applyFont="1" applyFill="1"/>
    <xf numFmtId="0" fontId="5" fillId="3" borderId="0" xfId="0" applyFont="1" applyFill="1"/>
    <xf numFmtId="0" fontId="1"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5" fillId="0" borderId="5" xfId="0" applyFont="1" applyBorder="1"/>
    <xf numFmtId="0" fontId="5" fillId="0" borderId="1" xfId="0" applyFont="1" applyBorder="1"/>
    <xf numFmtId="0" fontId="5" fillId="24" borderId="0" xfId="0" applyFont="1" applyFill="1"/>
    <xf numFmtId="9" fontId="5" fillId="0" borderId="0" xfId="0" applyNumberFormat="1" applyFont="1"/>
    <xf numFmtId="9" fontId="5" fillId="0" borderId="1" xfId="0" applyNumberFormat="1" applyFont="1" applyBorder="1"/>
    <xf numFmtId="10" fontId="5" fillId="0" borderId="0" xfId="0" applyNumberFormat="1" applyFont="1"/>
    <xf numFmtId="2" fontId="5" fillId="0" borderId="1" xfId="0" applyNumberFormat="1" applyFont="1" applyBorder="1"/>
    <xf numFmtId="2" fontId="5" fillId="0" borderId="0" xfId="0" applyNumberFormat="1" applyFont="1"/>
    <xf numFmtId="1" fontId="5" fillId="0" borderId="0" xfId="0" applyNumberFormat="1" applyFont="1"/>
    <xf numFmtId="0" fontId="5" fillId="0" borderId="7" xfId="0" applyFont="1" applyBorder="1"/>
    <xf numFmtId="9" fontId="5" fillId="0" borderId="7" xfId="0" applyNumberFormat="1" applyFont="1" applyBorder="1"/>
    <xf numFmtId="0" fontId="5" fillId="0" borderId="8" xfId="0" applyFont="1" applyBorder="1"/>
    <xf numFmtId="2" fontId="5" fillId="8" borderId="0" xfId="0" applyNumberFormat="1" applyFont="1" applyFill="1"/>
    <xf numFmtId="164" fontId="5" fillId="0" borderId="0" xfId="0" applyNumberFormat="1" applyFont="1"/>
    <xf numFmtId="2" fontId="5" fillId="11" borderId="0" xfId="0" applyNumberFormat="1" applyFont="1" applyFill="1"/>
    <xf numFmtId="2" fontId="5" fillId="14" borderId="0" xfId="0" applyNumberFormat="1" applyFont="1" applyFill="1"/>
    <xf numFmtId="2" fontId="5" fillId="0" borderId="0" xfId="0" applyNumberFormat="1" applyFont="1" applyFill="1"/>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1" fillId="0" borderId="14" xfId="0" applyFont="1" applyBorder="1"/>
    <xf numFmtId="0" fontId="1" fillId="0" borderId="0" xfId="0" applyFont="1" applyBorder="1"/>
    <xf numFmtId="0" fontId="1" fillId="0" borderId="15" xfId="0" applyFont="1" applyBorder="1"/>
    <xf numFmtId="0" fontId="5" fillId="0" borderId="16" xfId="0" applyFont="1" applyBorder="1"/>
    <xf numFmtId="0" fontId="5" fillId="0" borderId="9" xfId="0" applyFont="1" applyBorder="1"/>
    <xf numFmtId="2" fontId="5" fillId="0" borderId="9" xfId="0" applyNumberFormat="1" applyFont="1" applyBorder="1"/>
    <xf numFmtId="2" fontId="5" fillId="0" borderId="17" xfId="0" applyNumberFormat="1" applyFont="1" applyBorder="1"/>
    <xf numFmtId="0" fontId="1" fillId="6" borderId="11" xfId="0" applyFont="1" applyFill="1" applyBorder="1" applyAlignment="1">
      <alignment horizontal="center"/>
    </xf>
    <xf numFmtId="0" fontId="1" fillId="6" borderId="12" xfId="0" applyFont="1" applyFill="1" applyBorder="1" applyAlignment="1">
      <alignment horizontal="center"/>
    </xf>
    <xf numFmtId="0" fontId="5" fillId="0" borderId="13" xfId="0" applyFont="1" applyBorder="1"/>
    <xf numFmtId="0" fontId="5" fillId="0" borderId="0" xfId="0" applyFont="1" applyBorder="1"/>
    <xf numFmtId="0" fontId="5" fillId="0" borderId="15" xfId="0" applyFont="1" applyBorder="1"/>
    <xf numFmtId="0" fontId="5" fillId="0" borderId="14" xfId="0" applyFont="1" applyBorder="1"/>
    <xf numFmtId="0" fontId="5" fillId="6" borderId="0" xfId="0" applyFont="1" applyFill="1" applyBorder="1"/>
    <xf numFmtId="0" fontId="5" fillId="0" borderId="17" xfId="0" applyFont="1" applyBorder="1"/>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2" fontId="5" fillId="0" borderId="0" xfId="0" applyNumberFormat="1" applyFont="1" applyBorder="1"/>
    <xf numFmtId="2" fontId="5" fillId="0" borderId="15" xfId="0" applyNumberFormat="1" applyFont="1" applyBorder="1"/>
    <xf numFmtId="2" fontId="5" fillId="8" borderId="17" xfId="0" applyNumberFormat="1" applyFont="1" applyFill="1" applyBorder="1"/>
    <xf numFmtId="0" fontId="4" fillId="10" borderId="11" xfId="0" applyFont="1" applyFill="1" applyBorder="1" applyAlignment="1">
      <alignment horizontal="center"/>
    </xf>
    <xf numFmtId="0" fontId="4" fillId="10" borderId="12" xfId="0" applyFont="1" applyFill="1" applyBorder="1" applyAlignment="1">
      <alignment horizontal="center"/>
    </xf>
    <xf numFmtId="0" fontId="4" fillId="10" borderId="13" xfId="0" applyFont="1" applyFill="1" applyBorder="1" applyAlignment="1">
      <alignment horizontal="center"/>
    </xf>
    <xf numFmtId="0" fontId="1" fillId="9" borderId="14" xfId="0" applyFont="1" applyFill="1" applyBorder="1" applyAlignment="1">
      <alignment horizontal="center"/>
    </xf>
    <xf numFmtId="0" fontId="1" fillId="9" borderId="0" xfId="0" applyFont="1" applyFill="1" applyBorder="1" applyAlignment="1">
      <alignment horizontal="center"/>
    </xf>
    <xf numFmtId="0" fontId="1" fillId="9" borderId="15" xfId="0" applyFont="1" applyFill="1" applyBorder="1" applyAlignment="1">
      <alignment horizontal="center"/>
    </xf>
    <xf numFmtId="0" fontId="1" fillId="3" borderId="16" xfId="0" applyFont="1" applyFill="1" applyBorder="1"/>
    <xf numFmtId="0" fontId="1" fillId="3" borderId="9" xfId="0" applyFont="1" applyFill="1" applyBorder="1"/>
    <xf numFmtId="2" fontId="1" fillId="3" borderId="9" xfId="0" applyNumberFormat="1" applyFont="1" applyFill="1" applyBorder="1"/>
    <xf numFmtId="0" fontId="1" fillId="3" borderId="17" xfId="0" applyFont="1" applyFill="1" applyBorder="1"/>
    <xf numFmtId="0" fontId="4" fillId="12" borderId="11" xfId="0" applyFont="1" applyFill="1" applyBorder="1" applyAlignment="1">
      <alignment horizontal="center"/>
    </xf>
    <xf numFmtId="0" fontId="4" fillId="12" borderId="12" xfId="0" applyFont="1" applyFill="1" applyBorder="1" applyAlignment="1">
      <alignment horizontal="center"/>
    </xf>
    <xf numFmtId="0" fontId="4" fillId="12" borderId="13" xfId="0" applyFont="1" applyFill="1" applyBorder="1" applyAlignment="1">
      <alignment horizontal="center"/>
    </xf>
    <xf numFmtId="0" fontId="1" fillId="11" borderId="14" xfId="0" applyFont="1" applyFill="1" applyBorder="1"/>
    <xf numFmtId="0" fontId="1" fillId="11" borderId="0" xfId="0" applyFont="1" applyFill="1" applyBorder="1"/>
    <xf numFmtId="2" fontId="1" fillId="11" borderId="0" xfId="0" applyNumberFormat="1" applyFont="1" applyFill="1" applyBorder="1"/>
    <xf numFmtId="0" fontId="1" fillId="11" borderId="15" xfId="0" applyFont="1" applyFill="1" applyBorder="1"/>
    <xf numFmtId="0" fontId="4" fillId="12" borderId="14" xfId="0" applyFont="1" applyFill="1" applyBorder="1" applyAlignment="1">
      <alignment horizontal="center"/>
    </xf>
    <xf numFmtId="0" fontId="4" fillId="12" borderId="0" xfId="0" applyFont="1" applyFill="1" applyBorder="1" applyAlignment="1">
      <alignment horizontal="center"/>
    </xf>
    <xf numFmtId="0" fontId="4" fillId="12" borderId="15" xfId="0" applyFont="1" applyFill="1" applyBorder="1" applyAlignment="1">
      <alignment horizontal="center"/>
    </xf>
    <xf numFmtId="164" fontId="5" fillId="0" borderId="0" xfId="0" applyNumberFormat="1" applyFont="1" applyBorder="1"/>
    <xf numFmtId="2" fontId="1" fillId="11" borderId="15" xfId="0" applyNumberFormat="1" applyFont="1" applyFill="1" applyBorder="1"/>
    <xf numFmtId="0" fontId="1" fillId="6" borderId="14" xfId="0" applyFont="1" applyFill="1" applyBorder="1"/>
    <xf numFmtId="0" fontId="1" fillId="6" borderId="0" xfId="0" applyFont="1" applyFill="1" applyBorder="1"/>
    <xf numFmtId="2" fontId="1" fillId="6" borderId="0" xfId="0" applyNumberFormat="1" applyFont="1" applyFill="1" applyBorder="1"/>
    <xf numFmtId="2" fontId="1" fillId="6" borderId="15" xfId="0" applyNumberFormat="1" applyFont="1" applyFill="1" applyBorder="1"/>
    <xf numFmtId="0" fontId="1" fillId="0" borderId="16" xfId="0" applyFont="1" applyBorder="1"/>
    <xf numFmtId="0" fontId="4" fillId="13" borderId="11" xfId="0" applyFont="1" applyFill="1" applyBorder="1" applyAlignment="1">
      <alignment horizontal="center"/>
    </xf>
    <xf numFmtId="0" fontId="4" fillId="13" borderId="12" xfId="0" applyFont="1" applyFill="1" applyBorder="1" applyAlignment="1">
      <alignment horizontal="center"/>
    </xf>
    <xf numFmtId="0" fontId="4" fillId="13" borderId="13" xfId="0" applyFont="1" applyFill="1" applyBorder="1" applyAlignment="1">
      <alignment horizontal="center"/>
    </xf>
    <xf numFmtId="0" fontId="1" fillId="14" borderId="14" xfId="0" applyFont="1" applyFill="1" applyBorder="1"/>
    <xf numFmtId="0" fontId="1" fillId="14" borderId="0" xfId="0" applyFont="1" applyFill="1" applyBorder="1"/>
    <xf numFmtId="2" fontId="1" fillId="14" borderId="0" xfId="0" applyNumberFormat="1" applyFont="1" applyFill="1" applyBorder="1"/>
    <xf numFmtId="0" fontId="1" fillId="14" borderId="15" xfId="0" applyFont="1" applyFill="1" applyBorder="1"/>
    <xf numFmtId="0" fontId="4" fillId="15" borderId="11" xfId="0" applyFont="1" applyFill="1" applyBorder="1" applyAlignment="1">
      <alignment horizontal="center"/>
    </xf>
    <xf numFmtId="0" fontId="4" fillId="15" borderId="12" xfId="0" applyFont="1" applyFill="1" applyBorder="1" applyAlignment="1">
      <alignment horizontal="center"/>
    </xf>
    <xf numFmtId="0" fontId="4" fillId="15" borderId="13" xfId="0" applyFont="1" applyFill="1" applyBorder="1" applyAlignment="1">
      <alignment horizontal="center"/>
    </xf>
    <xf numFmtId="0" fontId="5" fillId="11" borderId="14" xfId="0" applyFont="1" applyFill="1" applyBorder="1"/>
    <xf numFmtId="0" fontId="5" fillId="11" borderId="0" xfId="0" applyFont="1" applyFill="1" applyBorder="1"/>
    <xf numFmtId="0" fontId="5" fillId="11" borderId="15" xfId="0" applyFont="1" applyFill="1" applyBorder="1"/>
    <xf numFmtId="2" fontId="5" fillId="11" borderId="0" xfId="0" applyNumberFormat="1" applyFont="1" applyFill="1" applyBorder="1"/>
    <xf numFmtId="2" fontId="5" fillId="11" borderId="15" xfId="0" applyNumberFormat="1" applyFont="1" applyFill="1" applyBorder="1"/>
    <xf numFmtId="0" fontId="5" fillId="11" borderId="16" xfId="0" applyFont="1" applyFill="1" applyBorder="1"/>
    <xf numFmtId="0" fontId="5" fillId="11" borderId="9" xfId="0" applyFont="1" applyFill="1" applyBorder="1"/>
    <xf numFmtId="2" fontId="5" fillId="11" borderId="9" xfId="0" applyNumberFormat="1" applyFont="1" applyFill="1" applyBorder="1"/>
    <xf numFmtId="2" fontId="5" fillId="11" borderId="17" xfId="0" applyNumberFormat="1" applyFont="1" applyFill="1" applyBorder="1"/>
    <xf numFmtId="0" fontId="4" fillId="17" borderId="14" xfId="0" applyFont="1" applyFill="1" applyBorder="1" applyAlignment="1">
      <alignment horizontal="left"/>
    </xf>
    <xf numFmtId="0" fontId="4" fillId="17" borderId="0" xfId="0" applyFont="1" applyFill="1" applyBorder="1" applyAlignment="1">
      <alignment horizontal="left"/>
    </xf>
    <xf numFmtId="0" fontId="4" fillId="17" borderId="15" xfId="0" applyFont="1" applyFill="1" applyBorder="1" applyAlignment="1">
      <alignment horizontal="left"/>
    </xf>
    <xf numFmtId="0" fontId="1" fillId="16" borderId="14" xfId="0" applyFont="1" applyFill="1" applyBorder="1"/>
    <xf numFmtId="0" fontId="1" fillId="16" borderId="0" xfId="0" applyFont="1" applyFill="1" applyBorder="1"/>
    <xf numFmtId="2" fontId="1" fillId="16" borderId="0" xfId="0" applyNumberFormat="1" applyFont="1" applyFill="1" applyBorder="1"/>
    <xf numFmtId="2" fontId="1" fillId="16" borderId="15" xfId="0" applyNumberFormat="1" applyFont="1" applyFill="1" applyBorder="1"/>
    <xf numFmtId="0" fontId="4" fillId="18" borderId="14" xfId="0" applyFont="1" applyFill="1" applyBorder="1" applyAlignment="1">
      <alignment horizontal="left"/>
    </xf>
    <xf numFmtId="0" fontId="4" fillId="18" borderId="0" xfId="0" applyFont="1" applyFill="1" applyBorder="1" applyAlignment="1">
      <alignment horizontal="left"/>
    </xf>
    <xf numFmtId="0" fontId="4" fillId="18" borderId="15" xfId="0" applyFont="1" applyFill="1" applyBorder="1" applyAlignment="1">
      <alignment horizontal="left"/>
    </xf>
    <xf numFmtId="0" fontId="1" fillId="0" borderId="14" xfId="0" applyFont="1" applyBorder="1" applyAlignment="1">
      <alignment horizontal="left"/>
    </xf>
    <xf numFmtId="0" fontId="1" fillId="0" borderId="0" xfId="0" applyFont="1" applyBorder="1" applyAlignment="1">
      <alignment horizontal="left"/>
    </xf>
    <xf numFmtId="0" fontId="1" fillId="0" borderId="15" xfId="0" applyFont="1" applyBorder="1" applyAlignment="1">
      <alignment horizontal="left"/>
    </xf>
    <xf numFmtId="0" fontId="1" fillId="14" borderId="16" xfId="0" applyFont="1" applyFill="1" applyBorder="1"/>
    <xf numFmtId="2" fontId="1" fillId="14" borderId="9" xfId="0" applyNumberFormat="1" applyFont="1" applyFill="1" applyBorder="1"/>
    <xf numFmtId="2" fontId="1" fillId="14" borderId="17" xfId="0" applyNumberFormat="1" applyFont="1" applyFill="1" applyBorder="1"/>
    <xf numFmtId="2" fontId="5" fillId="14" borderId="0" xfId="0" applyNumberFormat="1" applyFont="1" applyFill="1" applyBorder="1"/>
    <xf numFmtId="2" fontId="5" fillId="14" borderId="15" xfId="0" applyNumberFormat="1" applyFont="1" applyFill="1" applyBorder="1"/>
    <xf numFmtId="0" fontId="1" fillId="19" borderId="16" xfId="0" applyFont="1" applyFill="1" applyBorder="1"/>
    <xf numFmtId="2" fontId="1" fillId="19" borderId="9" xfId="0" applyNumberFormat="1" applyFont="1" applyFill="1" applyBorder="1"/>
    <xf numFmtId="2" fontId="1" fillId="19" borderId="17" xfId="0" applyNumberFormat="1" applyFont="1" applyFill="1" applyBorder="1"/>
    <xf numFmtId="0" fontId="5" fillId="0" borderId="11" xfId="0" applyFont="1" applyBorder="1"/>
    <xf numFmtId="10" fontId="5" fillId="0" borderId="12" xfId="0" applyNumberFormat="1" applyFont="1" applyBorder="1"/>
    <xf numFmtId="0" fontId="5" fillId="0" borderId="12" xfId="0" applyFont="1" applyBorder="1"/>
    <xf numFmtId="0" fontId="1" fillId="7" borderId="14" xfId="0" applyFont="1" applyFill="1" applyBorder="1" applyAlignment="1">
      <alignment horizontal="center"/>
    </xf>
    <xf numFmtId="0" fontId="1" fillId="7" borderId="0" xfId="0" applyFont="1" applyFill="1" applyBorder="1" applyAlignment="1">
      <alignment horizontal="center"/>
    </xf>
    <xf numFmtId="0" fontId="1" fillId="7" borderId="15" xfId="0" applyFont="1" applyFill="1" applyBorder="1" applyAlignment="1">
      <alignment horizontal="center"/>
    </xf>
    <xf numFmtId="0" fontId="1" fillId="4" borderId="16" xfId="0" applyFont="1" applyFill="1" applyBorder="1"/>
    <xf numFmtId="2" fontId="1" fillId="4" borderId="9" xfId="0" applyNumberFormat="1" applyFont="1" applyFill="1" applyBorder="1"/>
    <xf numFmtId="0" fontId="5" fillId="4" borderId="9" xfId="0" applyFont="1" applyFill="1" applyBorder="1"/>
    <xf numFmtId="0" fontId="5" fillId="4" borderId="17" xfId="0" applyFont="1" applyFill="1" applyBorder="1"/>
    <xf numFmtId="2" fontId="5" fillId="25" borderId="0" xfId="0" applyNumberFormat="1" applyFont="1" applyFill="1" applyBorder="1"/>
    <xf numFmtId="9" fontId="5" fillId="0" borderId="0" xfId="0" applyNumberFormat="1" applyFont="1" applyBorder="1"/>
    <xf numFmtId="0" fontId="1" fillId="20" borderId="14" xfId="0" applyFont="1" applyFill="1" applyBorder="1" applyAlignment="1">
      <alignment horizontal="center"/>
    </xf>
    <xf numFmtId="0" fontId="1" fillId="20" borderId="0" xfId="0" applyFont="1" applyFill="1" applyBorder="1" applyAlignment="1">
      <alignment horizontal="center"/>
    </xf>
    <xf numFmtId="0" fontId="1" fillId="20" borderId="15" xfId="0" applyFont="1" applyFill="1" applyBorder="1" applyAlignment="1">
      <alignment horizontal="center"/>
    </xf>
    <xf numFmtId="1" fontId="5" fillId="0" borderId="0" xfId="0" applyNumberFormat="1" applyFont="1" applyBorder="1"/>
    <xf numFmtId="0" fontId="1" fillId="14" borderId="9" xfId="0" applyFont="1" applyFill="1" applyBorder="1"/>
    <xf numFmtId="0" fontId="4" fillId="26" borderId="11" xfId="0" applyFont="1" applyFill="1" applyBorder="1" applyAlignment="1">
      <alignment horizontal="center"/>
    </xf>
    <xf numFmtId="0" fontId="4" fillId="26" borderId="12" xfId="0" applyFont="1" applyFill="1" applyBorder="1" applyAlignment="1">
      <alignment horizontal="center"/>
    </xf>
    <xf numFmtId="0" fontId="4" fillId="26" borderId="13" xfId="0" applyFont="1" applyFill="1" applyBorder="1" applyAlignment="1">
      <alignment horizontal="center"/>
    </xf>
    <xf numFmtId="0" fontId="5" fillId="16" borderId="14" xfId="0" applyFont="1" applyFill="1" applyBorder="1"/>
    <xf numFmtId="0" fontId="5" fillId="16" borderId="0" xfId="0" applyFont="1" applyFill="1" applyBorder="1"/>
    <xf numFmtId="0" fontId="5" fillId="16" borderId="15" xfId="0" applyFont="1" applyFill="1" applyBorder="1"/>
    <xf numFmtId="0" fontId="5" fillId="16" borderId="16" xfId="0" applyFont="1" applyFill="1" applyBorder="1"/>
    <xf numFmtId="0" fontId="5" fillId="16" borderId="9" xfId="0" applyFont="1" applyFill="1" applyBorder="1"/>
    <xf numFmtId="0" fontId="5" fillId="16" borderId="17" xfId="0" applyFont="1" applyFill="1" applyBorder="1"/>
    <xf numFmtId="0" fontId="5" fillId="0" borderId="0" xfId="0" applyFont="1" applyAlignment="1">
      <alignment wrapText="1"/>
    </xf>
    <xf numFmtId="2" fontId="5" fillId="4" borderId="0" xfId="0" applyNumberFormat="1" applyFont="1" applyFill="1"/>
    <xf numFmtId="164" fontId="5" fillId="4" borderId="0" xfId="0" applyNumberFormat="1" applyFont="1" applyFill="1"/>
    <xf numFmtId="2" fontId="5" fillId="5" borderId="0" xfId="0" applyNumberFormat="1" applyFont="1" applyFill="1"/>
    <xf numFmtId="2" fontId="5" fillId="16" borderId="0" xfId="0" applyNumberFormat="1" applyFont="1" applyFill="1"/>
    <xf numFmtId="2" fontId="5" fillId="3" borderId="0" xfId="0" applyNumberFormat="1" applyFont="1" applyFill="1"/>
    <xf numFmtId="164" fontId="5" fillId="0" borderId="0" xfId="0" applyNumberFormat="1" applyFont="1" applyFill="1"/>
    <xf numFmtId="0" fontId="5" fillId="14" borderId="0" xfId="0" applyFont="1" applyFill="1" applyBorder="1"/>
    <xf numFmtId="0" fontId="5" fillId="14" borderId="1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eu Huyen" id="{B3025BBB-A402-4117-A6E4-0D7FBF731C9D}" userId="482663e96b0d8aa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1" dT="2023-12-11T08:37:28.71" personId="{B3025BBB-A402-4117-A6E4-0D7FBF731C9D}" id="{F307A970-DB9A-4638-827E-74C166999342}">
    <text>Source: Bep Nha Chang from BE app</text>
  </threadedComment>
  <threadedComment ref="D201" dT="2023-12-11T08:39:05.55" personId="{B3025BBB-A402-4117-A6E4-0D7FBF731C9D}" id="{8A7DF3FB-CFC4-4A1A-AC12-816A367A0645}">
    <text>Soure: Mam 3/2 Healthy Food</text>
  </threadedComment>
  <threadedComment ref="I201" dT="2023-12-11T08:39:27.85" personId="{B3025BBB-A402-4117-A6E4-0D7FBF731C9D}" id="{43DF89EC-D993-440B-8DF2-4205963BB7DA}">
    <text>Source: Bot Healthy Food Su Van Hanh</text>
  </threadedComment>
  <threadedComment ref="O201" dT="2023-12-11T08:40:53.79" personId="{B3025BBB-A402-4117-A6E4-0D7FBF731C9D}" id="{40736801-7D35-46F5-A027-BAFC3B6061CC}">
    <text>Source: Gao Lut Thao Nguyen 3/2</text>
  </threadedComment>
  <threadedComment ref="P201" dT="2023-12-11T08:41:29.14" personId="{B3025BBB-A402-4117-A6E4-0D7FBF731C9D}" id="{7FA6AB72-E4F0-4808-9381-486588A1AF7B}">
    <text>MR.ECO Salad Healthy Le Hong Phong</text>
  </threadedComment>
  <threadedComment ref="AA201" dT="2023-12-11T08:42:47.85" personId="{B3025BBB-A402-4117-A6E4-0D7FBF731C9D}" id="{4954F7E7-98EC-4B7F-8A70-75B2CEF9401B}">
    <text>Lala Salad Nguyen Dinh Khoi</text>
  </threadedComment>
  <threadedComment ref="AE201" dT="2023-12-11T08:43:28.96" personId="{B3025BBB-A402-4117-A6E4-0D7FBF731C9D}" id="{2A689216-B684-4816-ABFB-F0643D1770E9}">
    <text>Hem Healthy Food</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9"/>
  <sheetViews>
    <sheetView tabSelected="1" topLeftCell="A172" zoomScale="80" zoomScaleNormal="80" workbookViewId="0">
      <selection activeCell="D203" sqref="D203"/>
    </sheetView>
  </sheetViews>
  <sheetFormatPr defaultRowHeight="15" x14ac:dyDescent="0.2"/>
  <cols>
    <col min="1" max="1" width="26.88671875" style="5" customWidth="1"/>
    <col min="2" max="2" width="17.6640625" style="5" bestFit="1" customWidth="1"/>
    <col min="3" max="18" width="13.77734375" style="5" customWidth="1"/>
    <col min="19" max="16384" width="8.88671875" style="5"/>
  </cols>
  <sheetData>
    <row r="1" spans="1:22" ht="15.75" x14ac:dyDescent="0.25">
      <c r="A1" s="29" t="s">
        <v>0</v>
      </c>
      <c r="B1" s="30"/>
      <c r="C1" s="30"/>
      <c r="D1" s="30"/>
      <c r="E1" s="30"/>
      <c r="F1" s="30"/>
      <c r="G1" s="30"/>
      <c r="H1" s="30"/>
      <c r="I1" s="30"/>
      <c r="J1" s="30"/>
      <c r="K1" s="30"/>
      <c r="L1" s="30"/>
      <c r="M1" s="30"/>
      <c r="N1" s="30"/>
      <c r="O1" s="30"/>
      <c r="P1" s="30"/>
      <c r="Q1" s="30"/>
      <c r="R1" s="31"/>
    </row>
    <row r="2" spans="1:22" ht="15.75" x14ac:dyDescent="0.25">
      <c r="A2" s="32"/>
      <c r="O2" s="1"/>
      <c r="R2" s="33"/>
      <c r="U2" s="1"/>
    </row>
    <row r="3" spans="1:22" ht="15.75" x14ac:dyDescent="0.25">
      <c r="A3" s="2" t="s">
        <v>1</v>
      </c>
      <c r="D3" s="5">
        <v>1</v>
      </c>
      <c r="E3" s="5" t="s">
        <v>2</v>
      </c>
      <c r="I3" s="1" t="s">
        <v>28</v>
      </c>
      <c r="N3" s="1" t="s">
        <v>43</v>
      </c>
      <c r="R3" s="33"/>
    </row>
    <row r="4" spans="1:22" ht="15.75" x14ac:dyDescent="0.25">
      <c r="A4" s="2"/>
      <c r="D4" s="5">
        <v>9</v>
      </c>
      <c r="E4" s="5" t="s">
        <v>3</v>
      </c>
      <c r="I4" s="1"/>
      <c r="R4" s="33"/>
    </row>
    <row r="5" spans="1:22" ht="15.75" x14ac:dyDescent="0.25">
      <c r="A5" s="2" t="s">
        <v>4</v>
      </c>
      <c r="C5" s="5">
        <v>1</v>
      </c>
      <c r="D5" s="5">
        <v>0.06</v>
      </c>
      <c r="E5" s="5" t="s">
        <v>6</v>
      </c>
      <c r="I5" s="1" t="s">
        <v>41</v>
      </c>
      <c r="J5" s="5" t="s">
        <v>29</v>
      </c>
      <c r="K5" s="5">
        <v>33</v>
      </c>
      <c r="L5" s="5" t="s">
        <v>35</v>
      </c>
      <c r="N5" s="1" t="s">
        <v>44</v>
      </c>
      <c r="O5" s="5">
        <v>1</v>
      </c>
      <c r="P5" s="5">
        <v>0.03</v>
      </c>
      <c r="Q5" s="5" t="s">
        <v>53</v>
      </c>
      <c r="R5" s="33"/>
    </row>
    <row r="6" spans="1:22" ht="15.75" x14ac:dyDescent="0.25">
      <c r="A6" s="2"/>
      <c r="C6" s="5">
        <v>2</v>
      </c>
      <c r="D6" s="5">
        <v>7.0000000000000007E-2</v>
      </c>
      <c r="E6" s="5" t="s">
        <v>6</v>
      </c>
      <c r="I6" s="1"/>
      <c r="J6" s="5" t="s">
        <v>30</v>
      </c>
      <c r="K6" s="5">
        <v>10</v>
      </c>
      <c r="L6" s="5" t="s">
        <v>36</v>
      </c>
      <c r="N6" s="1"/>
      <c r="O6" s="5">
        <v>2</v>
      </c>
      <c r="P6" s="5">
        <v>3.5000000000000003E-2</v>
      </c>
      <c r="Q6" s="35" t="s">
        <v>53</v>
      </c>
      <c r="R6" s="36"/>
      <c r="S6" s="35"/>
      <c r="T6" s="35"/>
      <c r="U6" s="35"/>
      <c r="V6" s="35"/>
    </row>
    <row r="7" spans="1:22" ht="15.75" x14ac:dyDescent="0.25">
      <c r="A7" s="2"/>
      <c r="C7" s="5" t="s">
        <v>5</v>
      </c>
      <c r="D7" s="35">
        <v>0.06</v>
      </c>
      <c r="I7" s="1"/>
      <c r="J7" s="5" t="s">
        <v>31</v>
      </c>
      <c r="K7" s="5">
        <v>3</v>
      </c>
      <c r="L7" s="5" t="s">
        <v>21</v>
      </c>
      <c r="O7" s="5" t="s">
        <v>38</v>
      </c>
      <c r="P7" s="35">
        <v>0.04</v>
      </c>
      <c r="R7" s="33"/>
      <c r="S7" s="35"/>
      <c r="T7" s="35"/>
      <c r="U7" s="35"/>
      <c r="V7" s="35"/>
    </row>
    <row r="8" spans="1:22" ht="15.75" x14ac:dyDescent="0.25">
      <c r="A8" s="2" t="s">
        <v>7</v>
      </c>
      <c r="C8" s="5">
        <v>1</v>
      </c>
      <c r="D8" s="5">
        <v>80</v>
      </c>
      <c r="E8" s="5" t="s">
        <v>57</v>
      </c>
      <c r="I8" s="1"/>
      <c r="J8" s="5" t="s">
        <v>38</v>
      </c>
      <c r="K8" s="35">
        <v>0.1</v>
      </c>
      <c r="R8" s="36"/>
    </row>
    <row r="9" spans="1:22" ht="15.75" x14ac:dyDescent="0.25">
      <c r="A9" s="32"/>
      <c r="C9" s="5">
        <v>2</v>
      </c>
      <c r="D9" s="5">
        <v>20</v>
      </c>
      <c r="E9" s="5" t="s">
        <v>57</v>
      </c>
      <c r="I9" s="1"/>
      <c r="J9" s="5" t="s">
        <v>32</v>
      </c>
      <c r="K9" s="35">
        <v>0.5</v>
      </c>
      <c r="L9" s="5" t="s">
        <v>39</v>
      </c>
      <c r="N9" s="1" t="s">
        <v>49</v>
      </c>
      <c r="O9" s="5" t="s">
        <v>45</v>
      </c>
      <c r="P9" s="5">
        <v>1</v>
      </c>
      <c r="R9" s="33"/>
    </row>
    <row r="10" spans="1:22" ht="15.75" x14ac:dyDescent="0.25">
      <c r="A10" s="2"/>
      <c r="B10" s="5" t="s">
        <v>59</v>
      </c>
      <c r="C10" s="5" t="s">
        <v>58</v>
      </c>
      <c r="D10" s="35">
        <v>0.7</v>
      </c>
      <c r="E10" s="5" t="s">
        <v>60</v>
      </c>
      <c r="I10" s="1"/>
      <c r="N10" s="1"/>
      <c r="O10" s="5" t="s">
        <v>3</v>
      </c>
      <c r="P10" s="5">
        <v>15</v>
      </c>
      <c r="Q10" s="5" t="s">
        <v>36</v>
      </c>
      <c r="R10" s="33"/>
    </row>
    <row r="11" spans="1:22" ht="15.75" x14ac:dyDescent="0.25">
      <c r="A11" s="2"/>
      <c r="B11" s="5" t="s">
        <v>61</v>
      </c>
      <c r="C11" s="5" t="s">
        <v>62</v>
      </c>
      <c r="D11" s="35">
        <v>0.85</v>
      </c>
      <c r="E11" s="5" t="s">
        <v>60</v>
      </c>
      <c r="I11" s="1" t="s">
        <v>56</v>
      </c>
      <c r="J11" s="5" t="s">
        <v>2</v>
      </c>
      <c r="K11" s="5">
        <v>120</v>
      </c>
      <c r="L11" s="5" t="s">
        <v>40</v>
      </c>
      <c r="N11" s="1"/>
      <c r="O11" s="5" t="s">
        <v>38</v>
      </c>
      <c r="P11" s="35">
        <v>0.06</v>
      </c>
      <c r="R11" s="33"/>
    </row>
    <row r="12" spans="1:22" ht="15.75" x14ac:dyDescent="0.25">
      <c r="A12" s="2"/>
      <c r="B12" s="5" t="s">
        <v>63</v>
      </c>
      <c r="C12" s="5" t="s">
        <v>58</v>
      </c>
      <c r="D12" s="35">
        <v>0.95</v>
      </c>
      <c r="E12" s="5" t="s">
        <v>60</v>
      </c>
      <c r="I12" s="1"/>
      <c r="J12" s="5" t="s">
        <v>33</v>
      </c>
      <c r="K12" s="5">
        <v>10</v>
      </c>
      <c r="L12" s="5" t="s">
        <v>37</v>
      </c>
      <c r="R12" s="33"/>
    </row>
    <row r="13" spans="1:22" ht="15.75" x14ac:dyDescent="0.25">
      <c r="A13" s="2"/>
      <c r="I13" s="1"/>
      <c r="N13" s="1" t="s">
        <v>51</v>
      </c>
      <c r="O13" s="5" t="s">
        <v>45</v>
      </c>
      <c r="P13" s="5">
        <v>2</v>
      </c>
      <c r="R13" s="33"/>
    </row>
    <row r="14" spans="1:22" ht="15.75" x14ac:dyDescent="0.25">
      <c r="A14" s="2" t="s">
        <v>8</v>
      </c>
      <c r="D14" s="35">
        <v>0</v>
      </c>
      <c r="E14" s="5" t="s">
        <v>9</v>
      </c>
      <c r="I14" s="1" t="s">
        <v>34</v>
      </c>
      <c r="J14" s="5" t="s">
        <v>3</v>
      </c>
      <c r="K14" s="5">
        <v>1</v>
      </c>
      <c r="L14" s="5" t="s">
        <v>42</v>
      </c>
      <c r="O14" s="5" t="s">
        <v>3</v>
      </c>
      <c r="P14" s="5">
        <v>3</v>
      </c>
      <c r="Q14" s="5" t="s">
        <v>36</v>
      </c>
      <c r="R14" s="33"/>
    </row>
    <row r="15" spans="1:22" ht="15.75" x14ac:dyDescent="0.25">
      <c r="A15" s="2"/>
      <c r="J15" s="5" t="s">
        <v>33</v>
      </c>
      <c r="N15" s="1"/>
      <c r="O15" s="5" t="s">
        <v>38</v>
      </c>
      <c r="P15" s="35">
        <v>0.06</v>
      </c>
      <c r="R15" s="33"/>
    </row>
    <row r="16" spans="1:22" ht="15.75" x14ac:dyDescent="0.25">
      <c r="A16" s="2" t="s">
        <v>10</v>
      </c>
      <c r="D16" s="35">
        <v>0.04</v>
      </c>
      <c r="E16" s="5" t="s">
        <v>11</v>
      </c>
      <c r="R16" s="33"/>
    </row>
    <row r="17" spans="1:22" ht="15.75" x14ac:dyDescent="0.25">
      <c r="A17" s="2"/>
      <c r="I17" s="1" t="s">
        <v>52</v>
      </c>
      <c r="J17" s="5" t="s">
        <v>2</v>
      </c>
      <c r="K17" s="5">
        <v>1</v>
      </c>
      <c r="L17" s="5" t="s">
        <v>50</v>
      </c>
      <c r="N17" s="1" t="s">
        <v>54</v>
      </c>
      <c r="O17" s="5" t="s">
        <v>45</v>
      </c>
      <c r="P17" s="5">
        <v>5</v>
      </c>
      <c r="R17" s="33"/>
    </row>
    <row r="18" spans="1:22" ht="15.75" x14ac:dyDescent="0.25">
      <c r="A18" s="2" t="s">
        <v>12</v>
      </c>
      <c r="B18" s="5" t="s">
        <v>13</v>
      </c>
      <c r="D18" s="35">
        <v>0</v>
      </c>
      <c r="E18" s="5" t="s">
        <v>16</v>
      </c>
      <c r="N18" s="1"/>
      <c r="O18" s="5" t="s">
        <v>3</v>
      </c>
      <c r="P18" s="5">
        <v>8</v>
      </c>
      <c r="Q18" s="35" t="s">
        <v>36</v>
      </c>
      <c r="R18" s="33"/>
      <c r="S18" s="35"/>
      <c r="T18" s="35"/>
      <c r="U18" s="35"/>
      <c r="V18" s="35"/>
    </row>
    <row r="19" spans="1:22" ht="15.75" x14ac:dyDescent="0.25">
      <c r="A19" s="2"/>
      <c r="B19" s="5" t="s">
        <v>14</v>
      </c>
      <c r="D19" s="35">
        <v>0.01</v>
      </c>
      <c r="E19" s="5" t="s">
        <v>16</v>
      </c>
      <c r="N19" s="1"/>
      <c r="O19" s="5" t="s">
        <v>38</v>
      </c>
      <c r="P19" s="35">
        <v>0.06</v>
      </c>
      <c r="Q19" s="35"/>
      <c r="R19" s="36"/>
      <c r="S19" s="35"/>
      <c r="T19" s="35"/>
      <c r="U19" s="35"/>
      <c r="V19" s="35"/>
    </row>
    <row r="20" spans="1:22" ht="15.75" x14ac:dyDescent="0.25">
      <c r="A20" s="2"/>
      <c r="B20" s="5" t="s">
        <v>15</v>
      </c>
      <c r="D20" s="35">
        <v>0.05</v>
      </c>
      <c r="E20" s="5" t="s">
        <v>17</v>
      </c>
      <c r="N20" s="1"/>
      <c r="R20" s="36"/>
    </row>
    <row r="21" spans="1:22" ht="15.75" x14ac:dyDescent="0.25">
      <c r="A21" s="2"/>
      <c r="R21" s="33"/>
    </row>
    <row r="22" spans="1:22" ht="15.75" x14ac:dyDescent="0.25">
      <c r="A22" s="2" t="s">
        <v>27</v>
      </c>
      <c r="B22" s="5" t="s">
        <v>18</v>
      </c>
      <c r="D22" s="5">
        <v>0.7</v>
      </c>
      <c r="E22" s="5" t="s">
        <v>76</v>
      </c>
      <c r="N22" s="1" t="s">
        <v>90</v>
      </c>
      <c r="O22" s="5" t="s">
        <v>3</v>
      </c>
      <c r="P22" s="5">
        <v>8</v>
      </c>
      <c r="Q22" s="5" t="s">
        <v>36</v>
      </c>
      <c r="R22" s="33"/>
      <c r="S22" s="35"/>
      <c r="T22" s="35"/>
      <c r="U22" s="35"/>
      <c r="V22" s="35"/>
    </row>
    <row r="23" spans="1:22" ht="15.75" x14ac:dyDescent="0.25">
      <c r="A23" s="2"/>
      <c r="B23" s="5" t="s">
        <v>19</v>
      </c>
      <c r="D23" s="37">
        <v>6.5000000000000002E-2</v>
      </c>
      <c r="E23" s="5" t="s">
        <v>11</v>
      </c>
      <c r="N23" s="1"/>
      <c r="O23" s="5" t="s">
        <v>46</v>
      </c>
      <c r="P23" s="35">
        <f>F18</f>
        <v>0</v>
      </c>
      <c r="Q23" s="35"/>
      <c r="R23" s="33"/>
    </row>
    <row r="24" spans="1:22" ht="15.75" x14ac:dyDescent="0.25">
      <c r="A24" s="2"/>
      <c r="B24" s="5" t="s">
        <v>20</v>
      </c>
      <c r="D24" s="5">
        <v>5</v>
      </c>
      <c r="E24" s="5" t="s">
        <v>21</v>
      </c>
      <c r="O24" s="5" t="s">
        <v>38</v>
      </c>
      <c r="P24" s="35">
        <v>0.04</v>
      </c>
      <c r="R24" s="33"/>
    </row>
    <row r="25" spans="1:22" ht="15.75" x14ac:dyDescent="0.25">
      <c r="A25" s="2"/>
      <c r="B25" s="5" t="s">
        <v>22</v>
      </c>
      <c r="D25" s="5" t="s">
        <v>23</v>
      </c>
      <c r="E25" s="5" t="s">
        <v>24</v>
      </c>
      <c r="R25" s="38"/>
      <c r="S25" s="39"/>
      <c r="T25" s="39"/>
      <c r="U25" s="39"/>
      <c r="V25" s="39"/>
    </row>
    <row r="26" spans="1:22" ht="15.75" x14ac:dyDescent="0.25">
      <c r="A26" s="2"/>
      <c r="N26" s="1" t="s">
        <v>47</v>
      </c>
      <c r="O26" s="5" t="s">
        <v>3</v>
      </c>
      <c r="P26" s="5">
        <v>20</v>
      </c>
      <c r="Q26" s="39" t="s">
        <v>36</v>
      </c>
      <c r="R26" s="33"/>
    </row>
    <row r="27" spans="1:22" ht="15.75" x14ac:dyDescent="0.25">
      <c r="A27" s="2" t="s">
        <v>25</v>
      </c>
      <c r="D27" s="5">
        <v>0.11</v>
      </c>
      <c r="N27" s="1" t="s">
        <v>48</v>
      </c>
      <c r="O27" s="5" t="s">
        <v>32</v>
      </c>
      <c r="P27" s="39">
        <v>0.5</v>
      </c>
      <c r="Q27" s="5" t="s">
        <v>39</v>
      </c>
      <c r="R27" s="33"/>
    </row>
    <row r="28" spans="1:22" ht="15.75" x14ac:dyDescent="0.25">
      <c r="A28" s="2"/>
      <c r="R28" s="36"/>
      <c r="S28" s="35"/>
      <c r="T28" s="35"/>
      <c r="U28" s="35"/>
      <c r="V28" s="35"/>
    </row>
    <row r="29" spans="1:22" ht="15.75" x14ac:dyDescent="0.25">
      <c r="A29" s="2" t="s">
        <v>26</v>
      </c>
      <c r="D29" s="37">
        <v>1.4999999999999999E-2</v>
      </c>
      <c r="E29" s="5" t="s">
        <v>16</v>
      </c>
      <c r="N29" s="1" t="s">
        <v>55</v>
      </c>
      <c r="O29" s="5" t="s">
        <v>3</v>
      </c>
      <c r="P29" s="5">
        <f>3000/1000000</f>
        <v>3.0000000000000001E-3</v>
      </c>
      <c r="Q29" s="5" t="s">
        <v>53</v>
      </c>
      <c r="R29" s="33"/>
    </row>
    <row r="30" spans="1:22" ht="15.75" x14ac:dyDescent="0.25">
      <c r="A30" s="2"/>
      <c r="D30" s="37"/>
      <c r="O30" s="5" t="s">
        <v>38</v>
      </c>
      <c r="P30" s="35">
        <v>0.04</v>
      </c>
      <c r="Q30" s="35"/>
      <c r="R30" s="33"/>
    </row>
    <row r="31" spans="1:22" ht="15.75" x14ac:dyDescent="0.25">
      <c r="A31" s="2" t="s">
        <v>83</v>
      </c>
      <c r="D31" s="40">
        <v>338</v>
      </c>
      <c r="E31" s="5" t="s">
        <v>84</v>
      </c>
      <c r="P31" s="35"/>
      <c r="Q31" s="35"/>
      <c r="R31" s="33"/>
    </row>
    <row r="32" spans="1:22" ht="16.5" thickBot="1" x14ac:dyDescent="0.3">
      <c r="A32" s="3" t="s">
        <v>93</v>
      </c>
      <c r="B32" s="41"/>
      <c r="C32" s="41"/>
      <c r="D32" s="41">
        <v>12</v>
      </c>
      <c r="E32" s="41" t="s">
        <v>94</v>
      </c>
      <c r="F32" s="41"/>
      <c r="G32" s="41"/>
      <c r="H32" s="41"/>
      <c r="I32" s="41"/>
      <c r="J32" s="41"/>
      <c r="K32" s="41"/>
      <c r="L32" s="41"/>
      <c r="M32" s="41"/>
      <c r="N32" s="41"/>
      <c r="O32" s="41"/>
      <c r="P32" s="42"/>
      <c r="Q32" s="42"/>
      <c r="R32" s="43"/>
    </row>
    <row r="34" spans="1:13" ht="15.75" x14ac:dyDescent="0.25">
      <c r="A34" s="49" t="s">
        <v>64</v>
      </c>
      <c r="B34" s="50"/>
      <c r="C34" s="50"/>
      <c r="D34" s="50"/>
      <c r="E34" s="50"/>
      <c r="F34" s="50"/>
      <c r="G34" s="50"/>
      <c r="H34" s="50"/>
      <c r="I34" s="50"/>
      <c r="J34" s="50"/>
      <c r="K34" s="50"/>
      <c r="L34" s="51"/>
    </row>
    <row r="35" spans="1:13" ht="15.75" x14ac:dyDescent="0.25">
      <c r="A35" s="52" t="s">
        <v>65</v>
      </c>
      <c r="B35" s="53">
        <v>0</v>
      </c>
      <c r="C35" s="53">
        <f>B35+1</f>
        <v>1</v>
      </c>
      <c r="D35" s="53">
        <f t="shared" ref="D35:L35" si="0">C35+1</f>
        <v>2</v>
      </c>
      <c r="E35" s="53">
        <f t="shared" si="0"/>
        <v>3</v>
      </c>
      <c r="F35" s="53">
        <f t="shared" si="0"/>
        <v>4</v>
      </c>
      <c r="G35" s="53">
        <f t="shared" si="0"/>
        <v>5</v>
      </c>
      <c r="H35" s="53">
        <f t="shared" si="0"/>
        <v>6</v>
      </c>
      <c r="I35" s="53">
        <f t="shared" si="0"/>
        <v>7</v>
      </c>
      <c r="J35" s="53">
        <f t="shared" si="0"/>
        <v>8</v>
      </c>
      <c r="K35" s="53">
        <f t="shared" si="0"/>
        <v>9</v>
      </c>
      <c r="L35" s="54">
        <f t="shared" si="0"/>
        <v>10</v>
      </c>
    </row>
    <row r="36" spans="1:13" x14ac:dyDescent="0.2">
      <c r="A36" s="55" t="s">
        <v>64</v>
      </c>
      <c r="B36" s="56">
        <v>1</v>
      </c>
      <c r="C36" s="57">
        <f t="shared" ref="C36:L36" si="1">B36*(1+$D$16)</f>
        <v>1.04</v>
      </c>
      <c r="D36" s="57">
        <f t="shared" si="1"/>
        <v>1.0816000000000001</v>
      </c>
      <c r="E36" s="57">
        <f t="shared" si="1"/>
        <v>1.1248640000000001</v>
      </c>
      <c r="F36" s="57">
        <f t="shared" si="1"/>
        <v>1.1698585600000002</v>
      </c>
      <c r="G36" s="57">
        <f t="shared" si="1"/>
        <v>1.2166529024000003</v>
      </c>
      <c r="H36" s="57">
        <f t="shared" si="1"/>
        <v>1.2653190184960004</v>
      </c>
      <c r="I36" s="57">
        <f t="shared" si="1"/>
        <v>1.3159317792358405</v>
      </c>
      <c r="J36" s="57">
        <f t="shared" si="1"/>
        <v>1.3685690504052741</v>
      </c>
      <c r="K36" s="57">
        <f t="shared" si="1"/>
        <v>1.4233118124214852</v>
      </c>
      <c r="L36" s="58">
        <f t="shared" si="1"/>
        <v>1.4802442849183446</v>
      </c>
    </row>
    <row r="39" spans="1:13" ht="15.75" x14ac:dyDescent="0.25">
      <c r="A39" s="59" t="s">
        <v>223</v>
      </c>
      <c r="B39" s="60"/>
      <c r="C39" s="60"/>
      <c r="D39" s="60"/>
      <c r="E39" s="60"/>
      <c r="F39" s="60"/>
      <c r="G39" s="60"/>
      <c r="H39" s="60"/>
      <c r="I39" s="60"/>
      <c r="J39" s="60"/>
      <c r="K39" s="60"/>
      <c r="L39" s="60"/>
      <c r="M39" s="61"/>
    </row>
    <row r="40" spans="1:13" ht="15.75" x14ac:dyDescent="0.25">
      <c r="A40" s="52" t="s">
        <v>56</v>
      </c>
      <c r="B40" s="62"/>
      <c r="C40" s="62"/>
      <c r="D40" s="62"/>
      <c r="E40" s="62"/>
      <c r="F40" s="62"/>
      <c r="G40" s="62"/>
      <c r="H40" s="62"/>
      <c r="I40" s="62"/>
      <c r="J40" s="62"/>
      <c r="K40" s="62"/>
      <c r="L40" s="62"/>
      <c r="M40" s="63"/>
    </row>
    <row r="41" spans="1:13" ht="15.75" x14ac:dyDescent="0.25">
      <c r="A41" s="52" t="s">
        <v>65</v>
      </c>
      <c r="B41" s="53">
        <v>0</v>
      </c>
      <c r="C41" s="53">
        <f>B41+1</f>
        <v>1</v>
      </c>
      <c r="D41" s="53">
        <f t="shared" ref="D41:L41" si="2">C41+1</f>
        <v>2</v>
      </c>
      <c r="E41" s="53">
        <f t="shared" si="2"/>
        <v>3</v>
      </c>
      <c r="F41" s="53">
        <f t="shared" si="2"/>
        <v>4</v>
      </c>
      <c r="G41" s="53">
        <f t="shared" si="2"/>
        <v>5</v>
      </c>
      <c r="H41" s="53">
        <f t="shared" si="2"/>
        <v>6</v>
      </c>
      <c r="I41" s="53">
        <f t="shared" si="2"/>
        <v>7</v>
      </c>
      <c r="J41" s="53">
        <f t="shared" si="2"/>
        <v>8</v>
      </c>
      <c r="K41" s="53">
        <f t="shared" si="2"/>
        <v>9</v>
      </c>
      <c r="L41" s="53">
        <f t="shared" si="2"/>
        <v>10</v>
      </c>
      <c r="M41" s="63"/>
    </row>
    <row r="42" spans="1:13" x14ac:dyDescent="0.2">
      <c r="A42" s="64" t="s">
        <v>66</v>
      </c>
      <c r="B42" s="62"/>
      <c r="C42" s="62">
        <f>B45</f>
        <v>120</v>
      </c>
      <c r="D42" s="62">
        <f t="shared" ref="D42:L42" si="3">C45</f>
        <v>108</v>
      </c>
      <c r="E42" s="62">
        <f t="shared" si="3"/>
        <v>96</v>
      </c>
      <c r="F42" s="62">
        <f t="shared" si="3"/>
        <v>84</v>
      </c>
      <c r="G42" s="62">
        <f t="shared" si="3"/>
        <v>72</v>
      </c>
      <c r="H42" s="62">
        <f t="shared" si="3"/>
        <v>60</v>
      </c>
      <c r="I42" s="62">
        <f t="shared" si="3"/>
        <v>48</v>
      </c>
      <c r="J42" s="62">
        <f t="shared" si="3"/>
        <v>36</v>
      </c>
      <c r="K42" s="62">
        <f t="shared" si="3"/>
        <v>24</v>
      </c>
      <c r="L42" s="65">
        <f t="shared" si="3"/>
        <v>12</v>
      </c>
      <c r="M42" s="63" t="s">
        <v>70</v>
      </c>
    </row>
    <row r="43" spans="1:13" x14ac:dyDescent="0.2">
      <c r="A43" s="64" t="s">
        <v>67</v>
      </c>
      <c r="B43" s="62"/>
      <c r="C43" s="62">
        <f>$B$45/$K$12</f>
        <v>12</v>
      </c>
      <c r="D43" s="62">
        <f t="shared" ref="D43:K43" si="4">$B$45/$K$12</f>
        <v>12</v>
      </c>
      <c r="E43" s="62">
        <f t="shared" si="4"/>
        <v>12</v>
      </c>
      <c r="F43" s="62">
        <f t="shared" si="4"/>
        <v>12</v>
      </c>
      <c r="G43" s="62">
        <f t="shared" si="4"/>
        <v>12</v>
      </c>
      <c r="H43" s="62">
        <f t="shared" si="4"/>
        <v>12</v>
      </c>
      <c r="I43" s="62">
        <f t="shared" si="4"/>
        <v>12</v>
      </c>
      <c r="J43" s="62">
        <f t="shared" si="4"/>
        <v>12</v>
      </c>
      <c r="K43" s="62">
        <f t="shared" si="4"/>
        <v>12</v>
      </c>
      <c r="L43" s="62"/>
      <c r="M43" s="63"/>
    </row>
    <row r="44" spans="1:13" x14ac:dyDescent="0.2">
      <c r="A44" s="64" t="s">
        <v>68</v>
      </c>
      <c r="B44" s="62"/>
      <c r="C44" s="62">
        <f>B44+C43</f>
        <v>12</v>
      </c>
      <c r="D44" s="62">
        <f t="shared" ref="D44:K44" si="5">C44+D43</f>
        <v>24</v>
      </c>
      <c r="E44" s="62">
        <f t="shared" si="5"/>
        <v>36</v>
      </c>
      <c r="F44" s="62">
        <f t="shared" si="5"/>
        <v>48</v>
      </c>
      <c r="G44" s="62">
        <f t="shared" si="5"/>
        <v>60</v>
      </c>
      <c r="H44" s="62">
        <f t="shared" si="5"/>
        <v>72</v>
      </c>
      <c r="I44" s="62">
        <f t="shared" si="5"/>
        <v>84</v>
      </c>
      <c r="J44" s="62">
        <f t="shared" si="5"/>
        <v>96</v>
      </c>
      <c r="K44" s="62">
        <f t="shared" si="5"/>
        <v>108</v>
      </c>
      <c r="L44" s="62"/>
      <c r="M44" s="63"/>
    </row>
    <row r="45" spans="1:13" x14ac:dyDescent="0.2">
      <c r="A45" s="55" t="s">
        <v>69</v>
      </c>
      <c r="B45" s="56">
        <v>120</v>
      </c>
      <c r="C45" s="56">
        <f>C42-C43</f>
        <v>108</v>
      </c>
      <c r="D45" s="56">
        <f t="shared" ref="D45:K45" si="6">D42-D43</f>
        <v>96</v>
      </c>
      <c r="E45" s="56">
        <f t="shared" si="6"/>
        <v>84</v>
      </c>
      <c r="F45" s="56">
        <f t="shared" si="6"/>
        <v>72</v>
      </c>
      <c r="G45" s="56">
        <f t="shared" si="6"/>
        <v>60</v>
      </c>
      <c r="H45" s="56">
        <f t="shared" si="6"/>
        <v>48</v>
      </c>
      <c r="I45" s="56">
        <f t="shared" si="6"/>
        <v>36</v>
      </c>
      <c r="J45" s="56">
        <f t="shared" si="6"/>
        <v>24</v>
      </c>
      <c r="K45" s="56">
        <f t="shared" si="6"/>
        <v>12</v>
      </c>
      <c r="L45" s="56"/>
      <c r="M45" s="66"/>
    </row>
    <row r="48" spans="1:13" ht="15.75" x14ac:dyDescent="0.25">
      <c r="A48" s="67" t="s">
        <v>224</v>
      </c>
      <c r="B48" s="68"/>
      <c r="C48" s="68"/>
      <c r="D48" s="68"/>
      <c r="E48" s="68"/>
      <c r="F48" s="68"/>
      <c r="G48" s="69"/>
    </row>
    <row r="49" spans="1:12" ht="15.75" x14ac:dyDescent="0.25">
      <c r="A49" s="52" t="s">
        <v>65</v>
      </c>
      <c r="B49" s="53">
        <v>0</v>
      </c>
      <c r="C49" s="53">
        <f>B49+1</f>
        <v>1</v>
      </c>
      <c r="D49" s="53">
        <f>C49+1</f>
        <v>2</v>
      </c>
      <c r="E49" s="53">
        <f>D49+1</f>
        <v>3</v>
      </c>
      <c r="F49" s="53">
        <f>E49+1</f>
        <v>4</v>
      </c>
      <c r="G49" s="54">
        <f>F49+1</f>
        <v>5</v>
      </c>
    </row>
    <row r="50" spans="1:12" ht="15.75" x14ac:dyDescent="0.25">
      <c r="A50" s="64" t="s">
        <v>71</v>
      </c>
      <c r="B50" s="62"/>
      <c r="C50" s="70">
        <f>B55</f>
        <v>84</v>
      </c>
      <c r="D50" s="70">
        <f t="shared" ref="D50:G50" si="7">C55</f>
        <v>69.24669884181111</v>
      </c>
      <c r="E50" s="70">
        <f t="shared" si="7"/>
        <v>53.534433108339954</v>
      </c>
      <c r="F50" s="70">
        <f t="shared" si="7"/>
        <v>36.800870102193166</v>
      </c>
      <c r="G50" s="71">
        <f t="shared" si="7"/>
        <v>18.97962550064684</v>
      </c>
      <c r="H50" s="1"/>
      <c r="I50" s="1"/>
      <c r="J50" s="1"/>
      <c r="K50" s="1"/>
      <c r="L50" s="1"/>
    </row>
    <row r="51" spans="1:12" x14ac:dyDescent="0.2">
      <c r="A51" s="64" t="s">
        <v>72</v>
      </c>
      <c r="B51" s="62"/>
      <c r="C51" s="70">
        <f>C50*$D$23</f>
        <v>5.46</v>
      </c>
      <c r="D51" s="70">
        <f>D50*$D$23</f>
        <v>4.5010354247177222</v>
      </c>
      <c r="E51" s="70">
        <f>E50*$D$23</f>
        <v>3.4797381520420969</v>
      </c>
      <c r="F51" s="70">
        <f>F50*$D$23</f>
        <v>2.3920565566425558</v>
      </c>
      <c r="G51" s="71">
        <f>G50*$D$23</f>
        <v>1.2336756575420447</v>
      </c>
    </row>
    <row r="52" spans="1:12" x14ac:dyDescent="0.2">
      <c r="A52" s="64" t="s">
        <v>73</v>
      </c>
      <c r="B52" s="62"/>
      <c r="C52" s="70">
        <f>-PMT($D$23,$D$24,$C$50)</f>
        <v>20.213301158188884</v>
      </c>
      <c r="D52" s="70">
        <f>-PMT($D$23,$D$24,$C$50)</f>
        <v>20.213301158188884</v>
      </c>
      <c r="E52" s="70">
        <f>-PMT($D$23,$D$24,$C$50)</f>
        <v>20.213301158188884</v>
      </c>
      <c r="F52" s="70">
        <f>-PMT($D$23,$D$24,$C$50)</f>
        <v>20.213301158188884</v>
      </c>
      <c r="G52" s="71">
        <f>-PMT($D$23,$D$24,$C$50)</f>
        <v>20.213301158188884</v>
      </c>
    </row>
    <row r="53" spans="1:12" x14ac:dyDescent="0.2">
      <c r="A53" s="64" t="s">
        <v>27</v>
      </c>
      <c r="B53" s="62"/>
      <c r="C53" s="70">
        <f>C52-C54</f>
        <v>14.753301158188883</v>
      </c>
      <c r="D53" s="70">
        <f t="shared" ref="D53:G53" si="8">D52-D54</f>
        <v>15.712265733471162</v>
      </c>
      <c r="E53" s="70">
        <f t="shared" si="8"/>
        <v>16.733563006146788</v>
      </c>
      <c r="F53" s="70">
        <f t="shared" si="8"/>
        <v>17.821244601546329</v>
      </c>
      <c r="G53" s="71">
        <f t="shared" si="8"/>
        <v>18.97962550064684</v>
      </c>
    </row>
    <row r="54" spans="1:12" x14ac:dyDescent="0.2">
      <c r="A54" s="64" t="s">
        <v>74</v>
      </c>
      <c r="B54" s="62"/>
      <c r="C54" s="70">
        <f>C51</f>
        <v>5.46</v>
      </c>
      <c r="D54" s="70">
        <f t="shared" ref="D54:G54" si="9">D51</f>
        <v>4.5010354247177222</v>
      </c>
      <c r="E54" s="70">
        <f t="shared" si="9"/>
        <v>3.4797381520420969</v>
      </c>
      <c r="F54" s="70">
        <f t="shared" si="9"/>
        <v>2.3920565566425558</v>
      </c>
      <c r="G54" s="71">
        <f t="shared" si="9"/>
        <v>1.2336756575420447</v>
      </c>
    </row>
    <row r="55" spans="1:12" x14ac:dyDescent="0.2">
      <c r="A55" s="55" t="s">
        <v>75</v>
      </c>
      <c r="B55" s="56">
        <f>$D$22*K11</f>
        <v>84</v>
      </c>
      <c r="C55" s="57">
        <f>C50+C51-C52</f>
        <v>69.24669884181111</v>
      </c>
      <c r="D55" s="57">
        <f t="shared" ref="D55:G55" si="10">D50+D51-D52</f>
        <v>53.534433108339954</v>
      </c>
      <c r="E55" s="57">
        <f t="shared" si="10"/>
        <v>36.800870102193166</v>
      </c>
      <c r="F55" s="57">
        <f t="shared" si="10"/>
        <v>18.97962550064684</v>
      </c>
      <c r="G55" s="72">
        <f t="shared" si="10"/>
        <v>0</v>
      </c>
    </row>
    <row r="57" spans="1:12" ht="15.75" x14ac:dyDescent="0.25">
      <c r="A57" s="73" t="s">
        <v>225</v>
      </c>
      <c r="B57" s="74"/>
      <c r="C57" s="74"/>
      <c r="D57" s="74"/>
      <c r="E57" s="74"/>
      <c r="F57" s="74"/>
      <c r="G57" s="74"/>
      <c r="H57" s="74"/>
      <c r="I57" s="74"/>
      <c r="J57" s="74"/>
      <c r="K57" s="74"/>
      <c r="L57" s="75"/>
    </row>
    <row r="58" spans="1:12" ht="15.75" x14ac:dyDescent="0.25">
      <c r="A58" s="76" t="s">
        <v>226</v>
      </c>
      <c r="B58" s="77"/>
      <c r="C58" s="77"/>
      <c r="D58" s="77"/>
      <c r="E58" s="77"/>
      <c r="F58" s="77"/>
      <c r="G58" s="77"/>
      <c r="H58" s="77"/>
      <c r="I58" s="77"/>
      <c r="J58" s="77"/>
      <c r="K58" s="77"/>
      <c r="L58" s="78"/>
    </row>
    <row r="59" spans="1:12" ht="15.75" x14ac:dyDescent="0.25">
      <c r="A59" s="52" t="s">
        <v>65</v>
      </c>
      <c r="B59" s="53">
        <v>0</v>
      </c>
      <c r="C59" s="53">
        <f>B59+1</f>
        <v>1</v>
      </c>
      <c r="D59" s="53">
        <f t="shared" ref="D59:L59" si="11">C59+1</f>
        <v>2</v>
      </c>
      <c r="E59" s="53">
        <f t="shared" si="11"/>
        <v>3</v>
      </c>
      <c r="F59" s="53">
        <f t="shared" si="11"/>
        <v>4</v>
      </c>
      <c r="G59" s="53">
        <f t="shared" si="11"/>
        <v>5</v>
      </c>
      <c r="H59" s="53">
        <f t="shared" si="11"/>
        <v>6</v>
      </c>
      <c r="I59" s="53">
        <f t="shared" si="11"/>
        <v>7</v>
      </c>
      <c r="J59" s="53">
        <f t="shared" si="11"/>
        <v>8</v>
      </c>
      <c r="K59" s="53">
        <f t="shared" si="11"/>
        <v>9</v>
      </c>
      <c r="L59" s="54">
        <f t="shared" si="11"/>
        <v>10</v>
      </c>
    </row>
    <row r="60" spans="1:12" x14ac:dyDescent="0.2">
      <c r="A60" s="64" t="s">
        <v>77</v>
      </c>
      <c r="B60" s="70">
        <v>1</v>
      </c>
      <c r="C60" s="70">
        <f>B60*(1+$D$7)</f>
        <v>1.06</v>
      </c>
      <c r="D60" s="70">
        <f t="shared" ref="D60:K60" si="12">C60*(1+$D$7)</f>
        <v>1.1236000000000002</v>
      </c>
      <c r="E60" s="70">
        <f t="shared" si="12"/>
        <v>1.1910160000000003</v>
      </c>
      <c r="F60" s="70">
        <f t="shared" si="12"/>
        <v>1.2624769600000003</v>
      </c>
      <c r="G60" s="70">
        <f t="shared" si="12"/>
        <v>1.3382255776000005</v>
      </c>
      <c r="H60" s="70">
        <f t="shared" si="12"/>
        <v>1.4185191122560006</v>
      </c>
      <c r="I60" s="70">
        <f t="shared" si="12"/>
        <v>1.5036302589913606</v>
      </c>
      <c r="J60" s="70">
        <f t="shared" si="12"/>
        <v>1.5938480745308423</v>
      </c>
      <c r="K60" s="70">
        <f t="shared" si="12"/>
        <v>1.6894789590026928</v>
      </c>
      <c r="L60" s="63"/>
    </row>
    <row r="61" spans="1:12" x14ac:dyDescent="0.2">
      <c r="A61" s="64" t="s">
        <v>79</v>
      </c>
      <c r="B61" s="70">
        <f t="shared" ref="B61:K61" si="13">$D$5*B60*B36</f>
        <v>0.06</v>
      </c>
      <c r="C61" s="70">
        <f t="shared" si="13"/>
        <v>6.6144000000000008E-2</v>
      </c>
      <c r="D61" s="70">
        <f t="shared" si="13"/>
        <v>7.2917145600000011E-2</v>
      </c>
      <c r="E61" s="70">
        <f t="shared" si="13"/>
        <v>8.038386130944003E-2</v>
      </c>
      <c r="F61" s="70">
        <f t="shared" si="13"/>
        <v>8.8615168707526684E-2</v>
      </c>
      <c r="G61" s="70">
        <f t="shared" si="13"/>
        <v>9.7689361983177458E-2</v>
      </c>
      <c r="H61" s="70">
        <f t="shared" si="13"/>
        <v>0.10769275265025482</v>
      </c>
      <c r="I61" s="70">
        <f t="shared" si="13"/>
        <v>0.11872049052164092</v>
      </c>
      <c r="J61" s="70">
        <f t="shared" si="13"/>
        <v>0.13087746875105696</v>
      </c>
      <c r="K61" s="70">
        <f t="shared" si="13"/>
        <v>0.14427932155116521</v>
      </c>
      <c r="L61" s="63"/>
    </row>
    <row r="62" spans="1:12" x14ac:dyDescent="0.2">
      <c r="A62" s="64" t="s">
        <v>78</v>
      </c>
      <c r="B62" s="70">
        <f t="shared" ref="B62:K62" si="14">$D$6*B60*B36</f>
        <v>7.0000000000000007E-2</v>
      </c>
      <c r="C62" s="70">
        <f t="shared" si="14"/>
        <v>7.7168000000000014E-2</v>
      </c>
      <c r="D62" s="70">
        <f t="shared" si="14"/>
        <v>8.5070003200000022E-2</v>
      </c>
      <c r="E62" s="70">
        <f t="shared" si="14"/>
        <v>9.3781171527680049E-2</v>
      </c>
      <c r="F62" s="70">
        <f t="shared" si="14"/>
        <v>0.10338436349211448</v>
      </c>
      <c r="G62" s="70">
        <f t="shared" si="14"/>
        <v>0.11397092231370703</v>
      </c>
      <c r="H62" s="70">
        <f t="shared" si="14"/>
        <v>0.12564154475863065</v>
      </c>
      <c r="I62" s="70">
        <f t="shared" si="14"/>
        <v>0.13850723894191444</v>
      </c>
      <c r="J62" s="70">
        <f t="shared" si="14"/>
        <v>0.15269038020956649</v>
      </c>
      <c r="K62" s="70">
        <f t="shared" si="14"/>
        <v>0.16832587514302608</v>
      </c>
      <c r="L62" s="63"/>
    </row>
    <row r="63" spans="1:12" x14ac:dyDescent="0.2">
      <c r="A63" s="64"/>
      <c r="B63" s="62"/>
      <c r="C63" s="62"/>
      <c r="D63" s="62"/>
      <c r="E63" s="62"/>
      <c r="F63" s="62"/>
      <c r="G63" s="62"/>
      <c r="H63" s="62"/>
      <c r="I63" s="62"/>
      <c r="J63" s="62"/>
      <c r="K63" s="62"/>
      <c r="L63" s="63"/>
    </row>
    <row r="64" spans="1:12" ht="15.75" x14ac:dyDescent="0.25">
      <c r="A64" s="76" t="s">
        <v>227</v>
      </c>
      <c r="B64" s="77"/>
      <c r="C64" s="77"/>
      <c r="D64" s="77"/>
      <c r="E64" s="77"/>
      <c r="F64" s="77"/>
      <c r="G64" s="77"/>
      <c r="H64" s="77"/>
      <c r="I64" s="77"/>
      <c r="J64" s="77"/>
      <c r="K64" s="77"/>
      <c r="L64" s="78"/>
    </row>
    <row r="65" spans="1:12" ht="15.75" x14ac:dyDescent="0.25">
      <c r="A65" s="52" t="s">
        <v>65</v>
      </c>
      <c r="B65" s="53">
        <v>0</v>
      </c>
      <c r="C65" s="53">
        <f>B65+1</f>
        <v>1</v>
      </c>
      <c r="D65" s="53">
        <f t="shared" ref="D65:L65" si="15">C65+1</f>
        <v>2</v>
      </c>
      <c r="E65" s="53">
        <f t="shared" si="15"/>
        <v>3</v>
      </c>
      <c r="F65" s="53">
        <f t="shared" si="15"/>
        <v>4</v>
      </c>
      <c r="G65" s="53">
        <f t="shared" si="15"/>
        <v>5</v>
      </c>
      <c r="H65" s="53">
        <f t="shared" si="15"/>
        <v>6</v>
      </c>
      <c r="I65" s="53">
        <f t="shared" si="15"/>
        <v>7</v>
      </c>
      <c r="J65" s="53">
        <f t="shared" si="15"/>
        <v>8</v>
      </c>
      <c r="K65" s="53">
        <f t="shared" si="15"/>
        <v>9</v>
      </c>
      <c r="L65" s="54">
        <f t="shared" si="15"/>
        <v>10</v>
      </c>
    </row>
    <row r="66" spans="1:12" x14ac:dyDescent="0.2">
      <c r="A66" s="64" t="s">
        <v>82</v>
      </c>
      <c r="B66" s="62"/>
      <c r="C66" s="62">
        <f>$D$8*$D$10*$D$31</f>
        <v>18928</v>
      </c>
      <c r="D66" s="62">
        <f t="shared" ref="D66:E66" si="16">$D$8*$D$10*$D$31</f>
        <v>18928</v>
      </c>
      <c r="E66" s="62">
        <f t="shared" si="16"/>
        <v>18928</v>
      </c>
      <c r="F66" s="62">
        <f>$D$8*$D$11*$D$31</f>
        <v>22984</v>
      </c>
      <c r="G66" s="62">
        <f t="shared" ref="G66:H66" si="17">$D$8*$D$11*$D$31</f>
        <v>22984</v>
      </c>
      <c r="H66" s="62">
        <f t="shared" si="17"/>
        <v>22984</v>
      </c>
      <c r="I66" s="62">
        <f>$D$8*$D$12*$D$31</f>
        <v>25688</v>
      </c>
      <c r="J66" s="62">
        <f t="shared" ref="J66:K66" si="18">$D$8*$D$12*$D$31</f>
        <v>25688</v>
      </c>
      <c r="K66" s="62">
        <f t="shared" si="18"/>
        <v>25688</v>
      </c>
      <c r="L66" s="63"/>
    </row>
    <row r="67" spans="1:12" x14ac:dyDescent="0.2">
      <c r="A67" s="64" t="s">
        <v>81</v>
      </c>
      <c r="B67" s="62"/>
      <c r="C67" s="62">
        <f>$D$9*$D$10*$D$31</f>
        <v>4732</v>
      </c>
      <c r="D67" s="62">
        <f t="shared" ref="D67:E67" si="19">$D$9*$D$10*$D$31</f>
        <v>4732</v>
      </c>
      <c r="E67" s="62">
        <f t="shared" si="19"/>
        <v>4732</v>
      </c>
      <c r="F67" s="62">
        <f>$D$9*$D$11*$D$31</f>
        <v>5746</v>
      </c>
      <c r="G67" s="62">
        <f t="shared" ref="G67:H67" si="20">$D$9*$D$11*$D$31</f>
        <v>5746</v>
      </c>
      <c r="H67" s="62">
        <f t="shared" si="20"/>
        <v>5746</v>
      </c>
      <c r="I67" s="62">
        <f>$D$9*$D$12*$D$31</f>
        <v>6422</v>
      </c>
      <c r="J67" s="62">
        <f t="shared" ref="J67:K67" si="21">$D$9*$D$12*$D$31</f>
        <v>6422</v>
      </c>
      <c r="K67" s="62">
        <f t="shared" si="21"/>
        <v>6422</v>
      </c>
      <c r="L67" s="63"/>
    </row>
    <row r="68" spans="1:12" x14ac:dyDescent="0.2">
      <c r="A68" s="64"/>
      <c r="B68" s="62"/>
      <c r="C68" s="62"/>
      <c r="D68" s="62"/>
      <c r="E68" s="62"/>
      <c r="F68" s="62"/>
      <c r="G68" s="62"/>
      <c r="H68" s="62"/>
      <c r="I68" s="62"/>
      <c r="J68" s="62"/>
      <c r="K68" s="62"/>
      <c r="L68" s="63"/>
    </row>
    <row r="69" spans="1:12" ht="15.75" x14ac:dyDescent="0.25">
      <c r="A69" s="79" t="s">
        <v>80</v>
      </c>
      <c r="B69" s="80"/>
      <c r="C69" s="81">
        <f>C61*C66+C62*C67</f>
        <v>1617.1326080000003</v>
      </c>
      <c r="D69" s="81">
        <f t="shared" ref="D69:K69" si="22">D61*D66+D62*D67</f>
        <v>1782.7269870592004</v>
      </c>
      <c r="E69" s="81">
        <f t="shared" si="22"/>
        <v>1965.2782305340629</v>
      </c>
      <c r="F69" s="81">
        <f t="shared" si="22"/>
        <v>2630.7775901994833</v>
      </c>
      <c r="G69" s="81">
        <f t="shared" si="22"/>
        <v>2900.1692154359116</v>
      </c>
      <c r="H69" s="81">
        <f t="shared" si="22"/>
        <v>3197.1465430965491</v>
      </c>
      <c r="I69" s="81">
        <f t="shared" si="22"/>
        <v>3939.1854490048863</v>
      </c>
      <c r="J69" s="81">
        <f t="shared" si="22"/>
        <v>4342.5580389829875</v>
      </c>
      <c r="K69" s="81">
        <f t="shared" si="22"/>
        <v>4787.235982174845</v>
      </c>
      <c r="L69" s="82"/>
    </row>
    <row r="72" spans="1:12" ht="15.75" x14ac:dyDescent="0.25">
      <c r="A72" s="83" t="s">
        <v>203</v>
      </c>
      <c r="B72" s="84"/>
      <c r="C72" s="84"/>
      <c r="D72" s="84"/>
      <c r="E72" s="84"/>
      <c r="F72" s="84"/>
      <c r="G72" s="84"/>
      <c r="H72" s="84"/>
      <c r="I72" s="84"/>
      <c r="J72" s="84"/>
      <c r="K72" s="84"/>
      <c r="L72" s="85"/>
    </row>
    <row r="73" spans="1:12" ht="15.75" x14ac:dyDescent="0.25">
      <c r="A73" s="52" t="s">
        <v>65</v>
      </c>
      <c r="B73" s="53">
        <v>0</v>
      </c>
      <c r="C73" s="53">
        <f>B73+1</f>
        <v>1</v>
      </c>
      <c r="D73" s="53">
        <f t="shared" ref="D73:L73" si="23">C73+1</f>
        <v>2</v>
      </c>
      <c r="E73" s="53">
        <f t="shared" si="23"/>
        <v>3</v>
      </c>
      <c r="F73" s="53">
        <f t="shared" si="23"/>
        <v>4</v>
      </c>
      <c r="G73" s="53">
        <f t="shared" si="23"/>
        <v>5</v>
      </c>
      <c r="H73" s="53">
        <f t="shared" si="23"/>
        <v>6</v>
      </c>
      <c r="I73" s="53">
        <f t="shared" si="23"/>
        <v>7</v>
      </c>
      <c r="J73" s="53">
        <f t="shared" si="23"/>
        <v>8</v>
      </c>
      <c r="K73" s="53">
        <f t="shared" si="23"/>
        <v>9</v>
      </c>
      <c r="L73" s="54">
        <f t="shared" si="23"/>
        <v>10</v>
      </c>
    </row>
    <row r="74" spans="1:12" x14ac:dyDescent="0.2">
      <c r="A74" s="64" t="s">
        <v>85</v>
      </c>
      <c r="B74" s="62">
        <f>$P$5*B36*B66</f>
        <v>0</v>
      </c>
      <c r="C74" s="70">
        <f>$P$5*C36</f>
        <v>3.1199999999999999E-2</v>
      </c>
      <c r="D74" s="70">
        <f t="shared" ref="D74:J74" si="24">$P$5*D36</f>
        <v>3.2448000000000005E-2</v>
      </c>
      <c r="E74" s="70">
        <f t="shared" si="24"/>
        <v>3.3745919999999999E-2</v>
      </c>
      <c r="F74" s="70">
        <f t="shared" si="24"/>
        <v>3.5095756800000003E-2</v>
      </c>
      <c r="G74" s="70">
        <f t="shared" si="24"/>
        <v>3.649958707200001E-2</v>
      </c>
      <c r="H74" s="70">
        <f t="shared" si="24"/>
        <v>3.7959570554880008E-2</v>
      </c>
      <c r="I74" s="70">
        <f t="shared" si="24"/>
        <v>3.9477953377075214E-2</v>
      </c>
      <c r="J74" s="70">
        <f t="shared" si="24"/>
        <v>4.1057071512158219E-2</v>
      </c>
      <c r="K74" s="70">
        <f>$P$5*K36</f>
        <v>4.2699354372644556E-2</v>
      </c>
      <c r="L74" s="63"/>
    </row>
    <row r="75" spans="1:12" x14ac:dyDescent="0.2">
      <c r="A75" s="64" t="s">
        <v>86</v>
      </c>
      <c r="B75" s="62">
        <f>$P$6*B67*B36</f>
        <v>0</v>
      </c>
      <c r="C75" s="70">
        <f>$P$6*C36</f>
        <v>3.6400000000000002E-2</v>
      </c>
      <c r="D75" s="70">
        <f t="shared" ref="D75:J75" si="25">$P$6*D36</f>
        <v>3.7856000000000008E-2</v>
      </c>
      <c r="E75" s="70">
        <f t="shared" si="25"/>
        <v>3.9370240000000008E-2</v>
      </c>
      <c r="F75" s="70">
        <f t="shared" si="25"/>
        <v>4.0945049600000012E-2</v>
      </c>
      <c r="G75" s="70">
        <f t="shared" si="25"/>
        <v>4.2582851584000013E-2</v>
      </c>
      <c r="H75" s="70">
        <f t="shared" si="25"/>
        <v>4.4286165647360015E-2</v>
      </c>
      <c r="I75" s="70">
        <f t="shared" si="25"/>
        <v>4.6057612273254424E-2</v>
      </c>
      <c r="J75" s="70">
        <f t="shared" si="25"/>
        <v>4.7899916764184598E-2</v>
      </c>
      <c r="K75" s="70">
        <f t="shared" ref="K75" si="26">$P$6*K36</f>
        <v>4.9815913434751988E-2</v>
      </c>
      <c r="L75" s="63"/>
    </row>
    <row r="76" spans="1:12" ht="15.75" x14ac:dyDescent="0.25">
      <c r="A76" s="86" t="s">
        <v>87</v>
      </c>
      <c r="B76" s="87"/>
      <c r="C76" s="88">
        <f>C74*C66+C67*C75</f>
        <v>762.7983999999999</v>
      </c>
      <c r="D76" s="88">
        <f t="shared" ref="D76:J76" si="27">D74*D66+D67*D75</f>
        <v>793.31033600000012</v>
      </c>
      <c r="E76" s="88">
        <f t="shared" si="27"/>
        <v>825.04274944000008</v>
      </c>
      <c r="F76" s="88">
        <f t="shared" si="27"/>
        <v>1041.9111292928001</v>
      </c>
      <c r="G76" s="88">
        <f t="shared" si="27"/>
        <v>1083.5875744645123</v>
      </c>
      <c r="H76" s="88">
        <f t="shared" si="27"/>
        <v>1126.9310774430928</v>
      </c>
      <c r="I76" s="88">
        <f t="shared" si="27"/>
        <v>1309.891652369148</v>
      </c>
      <c r="J76" s="88">
        <f t="shared" si="27"/>
        <v>1362.2873184639138</v>
      </c>
      <c r="K76" s="88">
        <f>K74*K66+K67*K75</f>
        <v>1416.7788112024707</v>
      </c>
      <c r="L76" s="89"/>
    </row>
    <row r="77" spans="1:12" x14ac:dyDescent="0.2">
      <c r="A77" s="64"/>
      <c r="B77" s="62"/>
      <c r="C77" s="62"/>
      <c r="D77" s="62"/>
      <c r="E77" s="62"/>
      <c r="F77" s="62"/>
      <c r="G77" s="62"/>
      <c r="H77" s="62"/>
      <c r="I77" s="62"/>
      <c r="J77" s="62"/>
      <c r="K77" s="62"/>
      <c r="L77" s="63"/>
    </row>
    <row r="78" spans="1:12" ht="15.75" x14ac:dyDescent="0.25">
      <c r="A78" s="90" t="s">
        <v>204</v>
      </c>
      <c r="B78" s="91"/>
      <c r="C78" s="91"/>
      <c r="D78" s="91"/>
      <c r="E78" s="91"/>
      <c r="F78" s="91"/>
      <c r="G78" s="91"/>
      <c r="H78" s="91"/>
      <c r="I78" s="91"/>
      <c r="J78" s="91"/>
      <c r="K78" s="91"/>
      <c r="L78" s="92"/>
    </row>
    <row r="79" spans="1:12" ht="15.75" x14ac:dyDescent="0.25">
      <c r="A79" s="52" t="s">
        <v>65</v>
      </c>
      <c r="B79" s="53">
        <v>0</v>
      </c>
      <c r="C79" s="53">
        <f>B79+1</f>
        <v>1</v>
      </c>
      <c r="D79" s="53">
        <f t="shared" ref="D79:L79" si="28">C79+1</f>
        <v>2</v>
      </c>
      <c r="E79" s="53">
        <f t="shared" si="28"/>
        <v>3</v>
      </c>
      <c r="F79" s="53">
        <f t="shared" si="28"/>
        <v>4</v>
      </c>
      <c r="G79" s="53">
        <f t="shared" si="28"/>
        <v>5</v>
      </c>
      <c r="H79" s="53">
        <f t="shared" si="28"/>
        <v>6</v>
      </c>
      <c r="I79" s="53">
        <f t="shared" si="28"/>
        <v>7</v>
      </c>
      <c r="J79" s="53">
        <f t="shared" si="28"/>
        <v>8</v>
      </c>
      <c r="K79" s="53">
        <f t="shared" si="28"/>
        <v>9</v>
      </c>
      <c r="L79" s="54">
        <f t="shared" si="28"/>
        <v>10</v>
      </c>
    </row>
    <row r="80" spans="1:12" x14ac:dyDescent="0.2">
      <c r="A80" s="64" t="s">
        <v>55</v>
      </c>
      <c r="B80" s="62"/>
      <c r="C80" s="93">
        <f>$P$29*C36</f>
        <v>3.1200000000000004E-3</v>
      </c>
      <c r="D80" s="93">
        <f t="shared" ref="D80:K80" si="29">$P$29*D36</f>
        <v>3.2448000000000004E-3</v>
      </c>
      <c r="E80" s="93">
        <f t="shared" si="29"/>
        <v>3.3745920000000005E-3</v>
      </c>
      <c r="F80" s="93">
        <f t="shared" si="29"/>
        <v>3.5095756800000008E-3</v>
      </c>
      <c r="G80" s="93">
        <f t="shared" si="29"/>
        <v>3.6499587072000013E-3</v>
      </c>
      <c r="H80" s="93">
        <f t="shared" si="29"/>
        <v>3.7959570554880013E-3</v>
      </c>
      <c r="I80" s="93">
        <f t="shared" si="29"/>
        <v>3.9477953377075213E-3</v>
      </c>
      <c r="J80" s="93">
        <f t="shared" si="29"/>
        <v>4.1057071512158221E-3</v>
      </c>
      <c r="K80" s="93">
        <f t="shared" si="29"/>
        <v>4.2699354372644554E-3</v>
      </c>
      <c r="L80" s="63"/>
    </row>
    <row r="81" spans="1:12" ht="15.75" x14ac:dyDescent="0.25">
      <c r="A81" s="86" t="s">
        <v>95</v>
      </c>
      <c r="B81" s="87"/>
      <c r="C81" s="88">
        <f>C80*(C66+C67)</f>
        <v>73.819200000000009</v>
      </c>
      <c r="D81" s="88">
        <f t="shared" ref="D81:K81" si="30">D80*(D66+D67)</f>
        <v>76.771968000000015</v>
      </c>
      <c r="E81" s="88">
        <f t="shared" si="30"/>
        <v>79.842846720000011</v>
      </c>
      <c r="F81" s="88">
        <f t="shared" si="30"/>
        <v>100.83010928640002</v>
      </c>
      <c r="G81" s="88">
        <f t="shared" si="30"/>
        <v>104.86331365785604</v>
      </c>
      <c r="H81" s="88">
        <f t="shared" si="30"/>
        <v>109.05784620417027</v>
      </c>
      <c r="I81" s="88">
        <f t="shared" si="30"/>
        <v>126.76370829378851</v>
      </c>
      <c r="J81" s="88">
        <f t="shared" si="30"/>
        <v>131.83425662554004</v>
      </c>
      <c r="K81" s="88">
        <f t="shared" si="30"/>
        <v>137.10762689056168</v>
      </c>
      <c r="L81" s="89"/>
    </row>
    <row r="82" spans="1:12" x14ac:dyDescent="0.2">
      <c r="A82" s="64"/>
      <c r="B82" s="62"/>
      <c r="C82" s="62"/>
      <c r="D82" s="62"/>
      <c r="E82" s="62"/>
      <c r="F82" s="62"/>
      <c r="G82" s="62"/>
      <c r="H82" s="62"/>
      <c r="I82" s="62"/>
      <c r="J82" s="62"/>
      <c r="K82" s="62"/>
      <c r="L82" s="63"/>
    </row>
    <row r="83" spans="1:12" ht="15.75" x14ac:dyDescent="0.25">
      <c r="A83" s="90" t="s">
        <v>205</v>
      </c>
      <c r="B83" s="91"/>
      <c r="C83" s="91"/>
      <c r="D83" s="91"/>
      <c r="E83" s="91"/>
      <c r="F83" s="91"/>
      <c r="G83" s="91"/>
      <c r="H83" s="91"/>
      <c r="I83" s="91"/>
      <c r="J83" s="91"/>
      <c r="K83" s="91"/>
      <c r="L83" s="92"/>
    </row>
    <row r="84" spans="1:12" ht="15.75" x14ac:dyDescent="0.25">
      <c r="A84" s="52" t="s">
        <v>65</v>
      </c>
      <c r="B84" s="53">
        <v>0</v>
      </c>
      <c r="C84" s="53">
        <f>B84+1</f>
        <v>1</v>
      </c>
      <c r="D84" s="53">
        <f t="shared" ref="D84:L84" si="31">C84+1</f>
        <v>2</v>
      </c>
      <c r="E84" s="53">
        <f t="shared" si="31"/>
        <v>3</v>
      </c>
      <c r="F84" s="53">
        <f t="shared" si="31"/>
        <v>4</v>
      </c>
      <c r="G84" s="53">
        <f t="shared" si="31"/>
        <v>5</v>
      </c>
      <c r="H84" s="53">
        <f t="shared" si="31"/>
        <v>6</v>
      </c>
      <c r="I84" s="53">
        <f t="shared" si="31"/>
        <v>7</v>
      </c>
      <c r="J84" s="53">
        <f t="shared" si="31"/>
        <v>8</v>
      </c>
      <c r="K84" s="53">
        <f t="shared" si="31"/>
        <v>9</v>
      </c>
      <c r="L84" s="54">
        <f t="shared" si="31"/>
        <v>10</v>
      </c>
    </row>
    <row r="85" spans="1:12" ht="15.75" x14ac:dyDescent="0.25">
      <c r="A85" s="52" t="s">
        <v>88</v>
      </c>
      <c r="B85" s="62">
        <v>1</v>
      </c>
      <c r="C85" s="70">
        <f>(1+$P$11)^C84</f>
        <v>1.06</v>
      </c>
      <c r="D85" s="70">
        <f t="shared" ref="D85:K85" si="32">(1+$P$11)^D84</f>
        <v>1.1236000000000002</v>
      </c>
      <c r="E85" s="70">
        <f t="shared" si="32"/>
        <v>1.1910160000000003</v>
      </c>
      <c r="F85" s="70">
        <f t="shared" si="32"/>
        <v>1.2624769600000003</v>
      </c>
      <c r="G85" s="70">
        <f t="shared" si="32"/>
        <v>1.3382255776000005</v>
      </c>
      <c r="H85" s="70">
        <f t="shared" si="32"/>
        <v>1.4185191122560006</v>
      </c>
      <c r="I85" s="70">
        <f t="shared" si="32"/>
        <v>1.5036302589913608</v>
      </c>
      <c r="J85" s="70">
        <f t="shared" si="32"/>
        <v>1.5938480745308423</v>
      </c>
      <c r="K85" s="70">
        <f t="shared" si="32"/>
        <v>1.6894789590026928</v>
      </c>
      <c r="L85" s="71"/>
    </row>
    <row r="86" spans="1:12" ht="15.75" x14ac:dyDescent="0.25">
      <c r="A86" s="52" t="s">
        <v>49</v>
      </c>
      <c r="B86" s="62"/>
      <c r="C86" s="70">
        <f t="shared" ref="C86:K86" si="33">$P$9*$P$10*C85*C36</f>
        <v>16.536000000000001</v>
      </c>
      <c r="D86" s="70">
        <f t="shared" si="33"/>
        <v>18.229286400000007</v>
      </c>
      <c r="E86" s="70">
        <f t="shared" si="33"/>
        <v>20.095965327360005</v>
      </c>
      <c r="F86" s="70">
        <f t="shared" si="33"/>
        <v>22.153792176881673</v>
      </c>
      <c r="G86" s="70">
        <f t="shared" si="33"/>
        <v>24.422340495794362</v>
      </c>
      <c r="H86" s="70">
        <f t="shared" si="33"/>
        <v>26.923188162563708</v>
      </c>
      <c r="I86" s="70">
        <f t="shared" si="33"/>
        <v>29.680122630410235</v>
      </c>
      <c r="J86" s="70">
        <f t="shared" si="33"/>
        <v>32.719367187764242</v>
      </c>
      <c r="K86" s="70">
        <f t="shared" si="33"/>
        <v>36.069830387791306</v>
      </c>
      <c r="L86" s="63"/>
    </row>
    <row r="87" spans="1:12" ht="15.75" x14ac:dyDescent="0.25">
      <c r="A87" s="52" t="s">
        <v>51</v>
      </c>
      <c r="B87" s="62"/>
      <c r="C87" s="70">
        <f t="shared" ref="C87:K87" si="34">$P$13*$P$14*C36*C85</f>
        <v>6.6144000000000007</v>
      </c>
      <c r="D87" s="70">
        <f t="shared" si="34"/>
        <v>7.2917145600000026</v>
      </c>
      <c r="E87" s="70">
        <f t="shared" si="34"/>
        <v>8.0383861309440032</v>
      </c>
      <c r="F87" s="70">
        <f t="shared" si="34"/>
        <v>8.8615168707526699</v>
      </c>
      <c r="G87" s="70">
        <f t="shared" si="34"/>
        <v>9.7689361983177445</v>
      </c>
      <c r="H87" s="70">
        <f t="shared" si="34"/>
        <v>10.769275265025483</v>
      </c>
      <c r="I87" s="70">
        <f t="shared" si="34"/>
        <v>11.872049052164096</v>
      </c>
      <c r="J87" s="70">
        <f t="shared" si="34"/>
        <v>13.087746875105697</v>
      </c>
      <c r="K87" s="70">
        <f t="shared" si="34"/>
        <v>14.427932155116522</v>
      </c>
      <c r="L87" s="63"/>
    </row>
    <row r="88" spans="1:12" ht="15.75" x14ac:dyDescent="0.25">
      <c r="A88" s="52" t="s">
        <v>54</v>
      </c>
      <c r="B88" s="62"/>
      <c r="C88" s="70">
        <f t="shared" ref="C88:K88" si="35">$P$17*$P$18*C36*C85</f>
        <v>44.096000000000004</v>
      </c>
      <c r="D88" s="70">
        <f t="shared" si="35"/>
        <v>48.61143040000001</v>
      </c>
      <c r="E88" s="70">
        <f t="shared" si="35"/>
        <v>53.589240872960019</v>
      </c>
      <c r="F88" s="70">
        <f t="shared" si="35"/>
        <v>59.076779138351128</v>
      </c>
      <c r="G88" s="70">
        <f t="shared" si="35"/>
        <v>65.12624132211829</v>
      </c>
      <c r="H88" s="70">
        <f t="shared" si="35"/>
        <v>71.795168433503221</v>
      </c>
      <c r="I88" s="70">
        <f t="shared" si="35"/>
        <v>79.14699368109396</v>
      </c>
      <c r="J88" s="70">
        <f t="shared" si="35"/>
        <v>87.251645834037973</v>
      </c>
      <c r="K88" s="70">
        <f t="shared" si="35"/>
        <v>96.186214367443469</v>
      </c>
      <c r="L88" s="63"/>
    </row>
    <row r="89" spans="1:12" ht="15.75" x14ac:dyDescent="0.25">
      <c r="A89" s="86" t="s">
        <v>89</v>
      </c>
      <c r="B89" s="87"/>
      <c r="C89" s="88">
        <f>SUM(C86:C88)*12</f>
        <v>806.95680000000016</v>
      </c>
      <c r="D89" s="88">
        <f t="shared" ref="D89:K89" si="36">SUM(D86:D88)*12</f>
        <v>889.58917632000032</v>
      </c>
      <c r="E89" s="88">
        <f t="shared" si="36"/>
        <v>980.68310797516835</v>
      </c>
      <c r="F89" s="88">
        <f t="shared" si="36"/>
        <v>1081.1050582318258</v>
      </c>
      <c r="G89" s="88">
        <f t="shared" si="36"/>
        <v>1191.8102161947647</v>
      </c>
      <c r="H89" s="88">
        <f t="shared" si="36"/>
        <v>1313.851582333109</v>
      </c>
      <c r="I89" s="88">
        <f t="shared" si="36"/>
        <v>1448.3899843640197</v>
      </c>
      <c r="J89" s="88">
        <f t="shared" si="36"/>
        <v>1596.7051187628952</v>
      </c>
      <c r="K89" s="88">
        <f t="shared" si="36"/>
        <v>1760.2077229242157</v>
      </c>
      <c r="L89" s="89"/>
    </row>
    <row r="90" spans="1:12" ht="15.75" x14ac:dyDescent="0.25">
      <c r="A90" s="52"/>
      <c r="B90" s="62"/>
      <c r="C90" s="62"/>
      <c r="D90" s="62"/>
      <c r="E90" s="62"/>
      <c r="F90" s="62"/>
      <c r="G90" s="62"/>
      <c r="H90" s="62"/>
      <c r="I90" s="62"/>
      <c r="J90" s="62"/>
      <c r="K90" s="62"/>
      <c r="L90" s="63"/>
    </row>
    <row r="91" spans="1:12" ht="15.75" x14ac:dyDescent="0.25">
      <c r="A91" s="90" t="s">
        <v>206</v>
      </c>
      <c r="B91" s="91"/>
      <c r="C91" s="91"/>
      <c r="D91" s="91"/>
      <c r="E91" s="91"/>
      <c r="F91" s="91"/>
      <c r="G91" s="91"/>
      <c r="H91" s="91"/>
      <c r="I91" s="91"/>
      <c r="J91" s="91"/>
      <c r="K91" s="91"/>
      <c r="L91" s="92"/>
    </row>
    <row r="92" spans="1:12" ht="15.75" x14ac:dyDescent="0.25">
      <c r="A92" s="52" t="s">
        <v>65</v>
      </c>
      <c r="B92" s="53">
        <v>0</v>
      </c>
      <c r="C92" s="53">
        <f>B92+1</f>
        <v>1</v>
      </c>
      <c r="D92" s="53">
        <f t="shared" ref="D92:L92" si="37">C92+1</f>
        <v>2</v>
      </c>
      <c r="E92" s="53">
        <f t="shared" si="37"/>
        <v>3</v>
      </c>
      <c r="F92" s="53">
        <f t="shared" si="37"/>
        <v>4</v>
      </c>
      <c r="G92" s="53">
        <f t="shared" si="37"/>
        <v>5</v>
      </c>
      <c r="H92" s="53">
        <f t="shared" si="37"/>
        <v>6</v>
      </c>
      <c r="I92" s="53">
        <f t="shared" si="37"/>
        <v>7</v>
      </c>
      <c r="J92" s="53">
        <f t="shared" si="37"/>
        <v>8</v>
      </c>
      <c r="K92" s="53">
        <f t="shared" si="37"/>
        <v>9</v>
      </c>
      <c r="L92" s="54">
        <f t="shared" si="37"/>
        <v>10</v>
      </c>
    </row>
    <row r="93" spans="1:12" x14ac:dyDescent="0.2">
      <c r="A93" s="64" t="s">
        <v>90</v>
      </c>
      <c r="B93" s="62"/>
      <c r="C93" s="70">
        <f t="shared" ref="C93:K93" si="38">$P$22*C36</f>
        <v>8.32</v>
      </c>
      <c r="D93" s="70">
        <f t="shared" si="38"/>
        <v>8.6528000000000009</v>
      </c>
      <c r="E93" s="70">
        <f t="shared" si="38"/>
        <v>8.9989120000000007</v>
      </c>
      <c r="F93" s="70">
        <f t="shared" si="38"/>
        <v>9.3588684800000017</v>
      </c>
      <c r="G93" s="70">
        <f t="shared" si="38"/>
        <v>9.7332232192000028</v>
      </c>
      <c r="H93" s="70">
        <f t="shared" si="38"/>
        <v>10.122552147968003</v>
      </c>
      <c r="I93" s="70">
        <f t="shared" si="38"/>
        <v>10.527454233886724</v>
      </c>
      <c r="J93" s="70">
        <f t="shared" si="38"/>
        <v>10.948552403242193</v>
      </c>
      <c r="K93" s="70">
        <f t="shared" si="38"/>
        <v>11.386494499371882</v>
      </c>
      <c r="L93" s="63"/>
    </row>
    <row r="94" spans="1:12" x14ac:dyDescent="0.2">
      <c r="A94" s="64" t="s">
        <v>41</v>
      </c>
      <c r="B94" s="62"/>
      <c r="C94" s="70">
        <f>$K$6*C36</f>
        <v>10.4</v>
      </c>
      <c r="D94" s="70">
        <f>$K$6*D36</f>
        <v>10.816000000000001</v>
      </c>
      <c r="E94" s="70">
        <f>$K$6*E36</f>
        <v>11.248640000000002</v>
      </c>
      <c r="F94" s="70">
        <f>$E$94*F36*(1+$K$8)</f>
        <v>14.475249571594246</v>
      </c>
      <c r="G94" s="70">
        <f>$E$94*G36*(1+$K$8)</f>
        <v>15.054259554458017</v>
      </c>
      <c r="H94" s="70">
        <f>$E$94*H36*(1+$K$8)</f>
        <v>15.656429936636338</v>
      </c>
      <c r="I94" s="70">
        <f>$H$94*I36*(1+$K$8)</f>
        <v>22.663073073299049</v>
      </c>
      <c r="J94" s="70">
        <f>$H$94*J36*(1+$K$8)</f>
        <v>23.569595996231008</v>
      </c>
      <c r="K94" s="70">
        <f>$H$94*K36*(1+$K$8)</f>
        <v>24.512379836080253</v>
      </c>
      <c r="L94" s="71">
        <f>K94*L36*$K$9</f>
        <v>18.142155081052731</v>
      </c>
    </row>
    <row r="95" spans="1:12" x14ac:dyDescent="0.2">
      <c r="A95" s="64" t="s">
        <v>34</v>
      </c>
      <c r="B95" s="62"/>
      <c r="C95" s="70">
        <f t="shared" ref="C95:K95" si="39">$K$17*C36</f>
        <v>1.04</v>
      </c>
      <c r="D95" s="70">
        <f t="shared" si="39"/>
        <v>1.0816000000000001</v>
      </c>
      <c r="E95" s="70">
        <f t="shared" si="39"/>
        <v>1.1248640000000001</v>
      </c>
      <c r="F95" s="70">
        <f t="shared" si="39"/>
        <v>1.1698585600000002</v>
      </c>
      <c r="G95" s="70">
        <f t="shared" si="39"/>
        <v>1.2166529024000003</v>
      </c>
      <c r="H95" s="70">
        <f t="shared" si="39"/>
        <v>1.2653190184960004</v>
      </c>
      <c r="I95" s="70">
        <f t="shared" si="39"/>
        <v>1.3159317792358405</v>
      </c>
      <c r="J95" s="70">
        <f t="shared" si="39"/>
        <v>1.3685690504052741</v>
      </c>
      <c r="K95" s="70">
        <f t="shared" si="39"/>
        <v>1.4233118124214852</v>
      </c>
      <c r="L95" s="63"/>
    </row>
    <row r="96" spans="1:12" ht="15.75" x14ac:dyDescent="0.25">
      <c r="A96" s="86" t="s">
        <v>92</v>
      </c>
      <c r="B96" s="87"/>
      <c r="C96" s="88">
        <f t="shared" ref="C96:L96" si="40">SUM(C93:C95)*$D$32</f>
        <v>237.11999999999998</v>
      </c>
      <c r="D96" s="88">
        <f t="shared" si="40"/>
        <v>246.60480000000004</v>
      </c>
      <c r="E96" s="88">
        <f t="shared" si="40"/>
        <v>256.46899200000001</v>
      </c>
      <c r="F96" s="88">
        <f t="shared" si="40"/>
        <v>300.04771933913094</v>
      </c>
      <c r="G96" s="88">
        <f t="shared" si="40"/>
        <v>312.04962811269627</v>
      </c>
      <c r="H96" s="88">
        <f t="shared" si="40"/>
        <v>324.53161323720411</v>
      </c>
      <c r="I96" s="88">
        <f t="shared" si="40"/>
        <v>414.07750903705937</v>
      </c>
      <c r="J96" s="88">
        <f t="shared" si="40"/>
        <v>430.64060939854176</v>
      </c>
      <c r="K96" s="88">
        <f t="shared" si="40"/>
        <v>447.86623377448348</v>
      </c>
      <c r="L96" s="94">
        <f t="shared" si="40"/>
        <v>217.70586097263276</v>
      </c>
    </row>
    <row r="97" spans="1:12" ht="15.75" x14ac:dyDescent="0.25">
      <c r="A97" s="95" t="s">
        <v>102</v>
      </c>
      <c r="B97" s="96"/>
      <c r="C97" s="97">
        <f>C81+C96+C89+C76+C43</f>
        <v>1892.6944000000001</v>
      </c>
      <c r="D97" s="97">
        <f t="shared" ref="D97:K97" si="41">D81+D96+D89+D76+D43</f>
        <v>2018.2762803200003</v>
      </c>
      <c r="E97" s="97">
        <f t="shared" si="41"/>
        <v>2154.0376961351685</v>
      </c>
      <c r="F97" s="97">
        <f t="shared" si="41"/>
        <v>2535.8940161501569</v>
      </c>
      <c r="G97" s="97">
        <f t="shared" si="41"/>
        <v>2704.3107324298294</v>
      </c>
      <c r="H97" s="97">
        <f t="shared" si="41"/>
        <v>2886.3721192175763</v>
      </c>
      <c r="I97" s="97">
        <f t="shared" si="41"/>
        <v>3311.1228540640159</v>
      </c>
      <c r="J97" s="97">
        <f t="shared" si="41"/>
        <v>3533.4673032508908</v>
      </c>
      <c r="K97" s="97">
        <f t="shared" si="41"/>
        <v>3773.9603947917312</v>
      </c>
      <c r="L97" s="98">
        <f>L81+L96+L89+L76+L42</f>
        <v>229.70586097263276</v>
      </c>
    </row>
    <row r="98" spans="1:12" x14ac:dyDescent="0.2">
      <c r="A98" s="64"/>
      <c r="B98" s="62"/>
      <c r="C98" s="62"/>
      <c r="D98" s="62"/>
      <c r="E98" s="62"/>
      <c r="F98" s="62"/>
      <c r="G98" s="62"/>
      <c r="H98" s="62"/>
      <c r="I98" s="62"/>
      <c r="J98" s="62"/>
      <c r="K98" s="62"/>
      <c r="L98" s="63"/>
    </row>
    <row r="99" spans="1:12" ht="15.75" x14ac:dyDescent="0.25">
      <c r="A99" s="90" t="s">
        <v>207</v>
      </c>
      <c r="B99" s="91"/>
      <c r="C99" s="91"/>
      <c r="D99" s="91"/>
      <c r="E99" s="91"/>
      <c r="F99" s="91"/>
      <c r="G99" s="91"/>
      <c r="H99" s="91"/>
      <c r="I99" s="91"/>
      <c r="J99" s="91"/>
      <c r="K99" s="91"/>
      <c r="L99" s="92"/>
    </row>
    <row r="100" spans="1:12" ht="15.75" x14ac:dyDescent="0.25">
      <c r="A100" s="52" t="s">
        <v>65</v>
      </c>
      <c r="B100" s="53">
        <v>0</v>
      </c>
      <c r="C100" s="53">
        <f>B100+1</f>
        <v>1</v>
      </c>
      <c r="D100" s="53">
        <f t="shared" ref="D100:L100" si="42">C100+1</f>
        <v>2</v>
      </c>
      <c r="E100" s="53">
        <f t="shared" si="42"/>
        <v>3</v>
      </c>
      <c r="F100" s="53">
        <f t="shared" si="42"/>
        <v>4</v>
      </c>
      <c r="G100" s="53">
        <f t="shared" si="42"/>
        <v>5</v>
      </c>
      <c r="H100" s="53">
        <f t="shared" si="42"/>
        <v>6</v>
      </c>
      <c r="I100" s="53">
        <f t="shared" si="42"/>
        <v>7</v>
      </c>
      <c r="J100" s="53">
        <f t="shared" si="42"/>
        <v>8</v>
      </c>
      <c r="K100" s="53">
        <f t="shared" si="42"/>
        <v>9</v>
      </c>
      <c r="L100" s="54">
        <f t="shared" si="42"/>
        <v>10</v>
      </c>
    </row>
    <row r="101" spans="1:12" ht="15.75" x14ac:dyDescent="0.25">
      <c r="A101" s="86" t="s">
        <v>91</v>
      </c>
      <c r="B101" s="87"/>
      <c r="C101" s="88">
        <f>$P$26*C36*$D$32</f>
        <v>249.60000000000002</v>
      </c>
      <c r="D101" s="88">
        <f t="shared" ref="D101:J101" si="43">$P$26*D36*$D$32</f>
        <v>259.584</v>
      </c>
      <c r="E101" s="88">
        <f t="shared" si="43"/>
        <v>269.96736000000004</v>
      </c>
      <c r="F101" s="88">
        <f t="shared" si="43"/>
        <v>280.76605440000003</v>
      </c>
      <c r="G101" s="88">
        <f t="shared" si="43"/>
        <v>291.99669657600009</v>
      </c>
      <c r="H101" s="88">
        <f t="shared" si="43"/>
        <v>303.67656443904008</v>
      </c>
      <c r="I101" s="88">
        <f t="shared" si="43"/>
        <v>315.82362701660168</v>
      </c>
      <c r="J101" s="88">
        <f t="shared" si="43"/>
        <v>328.45657209726573</v>
      </c>
      <c r="K101" s="88">
        <f>$P$26*K36*$D$32</f>
        <v>341.5948349811564</v>
      </c>
      <c r="L101" s="94">
        <f>K101*P27*L36</f>
        <v>252.82190111924089</v>
      </c>
    </row>
    <row r="102" spans="1:12" x14ac:dyDescent="0.2">
      <c r="A102" s="64"/>
      <c r="B102" s="62"/>
      <c r="C102" s="62"/>
      <c r="D102" s="62"/>
      <c r="E102" s="62"/>
      <c r="F102" s="62"/>
      <c r="G102" s="62"/>
      <c r="H102" s="62"/>
      <c r="I102" s="62"/>
      <c r="J102" s="62"/>
      <c r="K102" s="62"/>
      <c r="L102" s="63"/>
    </row>
    <row r="103" spans="1:12" ht="15.75" x14ac:dyDescent="0.25">
      <c r="A103" s="90" t="s">
        <v>208</v>
      </c>
      <c r="B103" s="91"/>
      <c r="C103" s="91"/>
      <c r="D103" s="91"/>
      <c r="E103" s="91"/>
      <c r="F103" s="91"/>
      <c r="G103" s="91"/>
      <c r="H103" s="91"/>
      <c r="I103" s="91"/>
      <c r="J103" s="91"/>
      <c r="K103" s="91"/>
      <c r="L103" s="92"/>
    </row>
    <row r="104" spans="1:12" ht="15.75" x14ac:dyDescent="0.25">
      <c r="A104" s="52" t="s">
        <v>65</v>
      </c>
      <c r="B104" s="53">
        <v>0</v>
      </c>
      <c r="C104" s="53">
        <f>B104+1</f>
        <v>1</v>
      </c>
      <c r="D104" s="53">
        <f t="shared" ref="D104:L104" si="44">C104+1</f>
        <v>2</v>
      </c>
      <c r="E104" s="53">
        <f t="shared" si="44"/>
        <v>3</v>
      </c>
      <c r="F104" s="53">
        <f t="shared" si="44"/>
        <v>4</v>
      </c>
      <c r="G104" s="53">
        <f t="shared" si="44"/>
        <v>5</v>
      </c>
      <c r="H104" s="53">
        <f t="shared" si="44"/>
        <v>6</v>
      </c>
      <c r="I104" s="53">
        <f t="shared" si="44"/>
        <v>7</v>
      </c>
      <c r="J104" s="53">
        <f t="shared" si="44"/>
        <v>8</v>
      </c>
      <c r="K104" s="53">
        <f t="shared" si="44"/>
        <v>9</v>
      </c>
      <c r="L104" s="54">
        <f t="shared" si="44"/>
        <v>10</v>
      </c>
    </row>
    <row r="105" spans="1:12" ht="15.75" x14ac:dyDescent="0.25">
      <c r="A105" s="99" t="s">
        <v>52</v>
      </c>
      <c r="B105" s="56"/>
      <c r="C105" s="57">
        <f>$K$17/$D$4</f>
        <v>0.1111111111111111</v>
      </c>
      <c r="D105" s="57">
        <f t="shared" ref="D105:K105" si="45">$K$17/$D$4</f>
        <v>0.1111111111111111</v>
      </c>
      <c r="E105" s="57">
        <f t="shared" si="45"/>
        <v>0.1111111111111111</v>
      </c>
      <c r="F105" s="57">
        <f t="shared" si="45"/>
        <v>0.1111111111111111</v>
      </c>
      <c r="G105" s="57">
        <f t="shared" si="45"/>
        <v>0.1111111111111111</v>
      </c>
      <c r="H105" s="57">
        <f t="shared" si="45"/>
        <v>0.1111111111111111</v>
      </c>
      <c r="I105" s="57">
        <f t="shared" si="45"/>
        <v>0.1111111111111111</v>
      </c>
      <c r="J105" s="57">
        <f t="shared" si="45"/>
        <v>0.1111111111111111</v>
      </c>
      <c r="K105" s="57">
        <f t="shared" si="45"/>
        <v>0.1111111111111111</v>
      </c>
      <c r="L105" s="66"/>
    </row>
    <row r="107" spans="1:12" ht="15.75" x14ac:dyDescent="0.25">
      <c r="A107" s="100" t="s">
        <v>209</v>
      </c>
      <c r="B107" s="101"/>
      <c r="C107" s="101"/>
      <c r="D107" s="101"/>
      <c r="E107" s="101"/>
      <c r="F107" s="101"/>
      <c r="G107" s="101"/>
      <c r="H107" s="101"/>
      <c r="I107" s="101"/>
      <c r="J107" s="101"/>
      <c r="K107" s="101"/>
      <c r="L107" s="102"/>
    </row>
    <row r="108" spans="1:12" ht="15.75" x14ac:dyDescent="0.25">
      <c r="A108" s="52" t="s">
        <v>65</v>
      </c>
      <c r="B108" s="53">
        <v>0</v>
      </c>
      <c r="C108" s="53">
        <f>B108+1</f>
        <v>1</v>
      </c>
      <c r="D108" s="53">
        <f t="shared" ref="D108:L108" si="46">C108+1</f>
        <v>2</v>
      </c>
      <c r="E108" s="53">
        <f t="shared" si="46"/>
        <v>3</v>
      </c>
      <c r="F108" s="53">
        <f t="shared" si="46"/>
        <v>4</v>
      </c>
      <c r="G108" s="53">
        <f t="shared" si="46"/>
        <v>5</v>
      </c>
      <c r="H108" s="53">
        <f t="shared" si="46"/>
        <v>6</v>
      </c>
      <c r="I108" s="53">
        <f t="shared" si="46"/>
        <v>7</v>
      </c>
      <c r="J108" s="53">
        <f t="shared" si="46"/>
        <v>8</v>
      </c>
      <c r="K108" s="53">
        <f t="shared" si="46"/>
        <v>9</v>
      </c>
      <c r="L108" s="54">
        <f t="shared" si="46"/>
        <v>10</v>
      </c>
    </row>
    <row r="109" spans="1:12" x14ac:dyDescent="0.2">
      <c r="A109" s="64" t="s">
        <v>96</v>
      </c>
      <c r="B109" s="62"/>
      <c r="C109" s="70">
        <f t="shared" ref="C109:K109" si="47">C69</f>
        <v>1617.1326080000003</v>
      </c>
      <c r="D109" s="70">
        <f t="shared" si="47"/>
        <v>1782.7269870592004</v>
      </c>
      <c r="E109" s="70">
        <f t="shared" si="47"/>
        <v>1965.2782305340629</v>
      </c>
      <c r="F109" s="70">
        <f t="shared" si="47"/>
        <v>2630.7775901994833</v>
      </c>
      <c r="G109" s="70">
        <f t="shared" si="47"/>
        <v>2900.1692154359116</v>
      </c>
      <c r="H109" s="70">
        <f t="shared" si="47"/>
        <v>3197.1465430965491</v>
      </c>
      <c r="I109" s="70">
        <f t="shared" si="47"/>
        <v>3939.1854490048863</v>
      </c>
      <c r="J109" s="70">
        <f t="shared" si="47"/>
        <v>4342.5580389829875</v>
      </c>
      <c r="K109" s="70">
        <f t="shared" si="47"/>
        <v>4787.235982174845</v>
      </c>
      <c r="L109" s="63"/>
    </row>
    <row r="110" spans="1:12" x14ac:dyDescent="0.2">
      <c r="A110" s="64" t="s">
        <v>101</v>
      </c>
      <c r="B110" s="62"/>
      <c r="C110" s="70">
        <f t="shared" ref="C110:K110" si="48">C97</f>
        <v>1892.6944000000001</v>
      </c>
      <c r="D110" s="70">
        <f t="shared" si="48"/>
        <v>2018.2762803200003</v>
      </c>
      <c r="E110" s="70">
        <f t="shared" si="48"/>
        <v>2154.0376961351685</v>
      </c>
      <c r="F110" s="70">
        <f t="shared" si="48"/>
        <v>2535.8940161501569</v>
      </c>
      <c r="G110" s="70">
        <f t="shared" si="48"/>
        <v>2704.3107324298294</v>
      </c>
      <c r="H110" s="70">
        <f t="shared" si="48"/>
        <v>2886.3721192175763</v>
      </c>
      <c r="I110" s="70">
        <f t="shared" si="48"/>
        <v>3311.1228540640159</v>
      </c>
      <c r="J110" s="70">
        <f t="shared" si="48"/>
        <v>3533.4673032508908</v>
      </c>
      <c r="K110" s="70">
        <f t="shared" si="48"/>
        <v>3773.9603947917312</v>
      </c>
      <c r="L110" s="63"/>
    </row>
    <row r="111" spans="1:12" ht="15.75" x14ac:dyDescent="0.25">
      <c r="A111" s="52" t="s">
        <v>52</v>
      </c>
      <c r="B111" s="62"/>
      <c r="C111" s="70">
        <f>C105</f>
        <v>0.1111111111111111</v>
      </c>
      <c r="D111" s="70">
        <f t="shared" ref="D111:K111" si="49">D105</f>
        <v>0.1111111111111111</v>
      </c>
      <c r="E111" s="70">
        <f t="shared" si="49"/>
        <v>0.1111111111111111</v>
      </c>
      <c r="F111" s="70">
        <f t="shared" si="49"/>
        <v>0.1111111111111111</v>
      </c>
      <c r="G111" s="70">
        <f t="shared" si="49"/>
        <v>0.1111111111111111</v>
      </c>
      <c r="H111" s="70">
        <f t="shared" si="49"/>
        <v>0.1111111111111111</v>
      </c>
      <c r="I111" s="70">
        <f t="shared" si="49"/>
        <v>0.1111111111111111</v>
      </c>
      <c r="J111" s="70">
        <f t="shared" si="49"/>
        <v>0.1111111111111111</v>
      </c>
      <c r="K111" s="70">
        <f t="shared" si="49"/>
        <v>0.1111111111111111</v>
      </c>
      <c r="L111" s="63"/>
    </row>
    <row r="112" spans="1:12" x14ac:dyDescent="0.2">
      <c r="A112" s="64" t="s">
        <v>103</v>
      </c>
      <c r="B112" s="62"/>
      <c r="C112" s="70">
        <f t="shared" ref="C112:K112" si="50">C101</f>
        <v>249.60000000000002</v>
      </c>
      <c r="D112" s="70">
        <f t="shared" si="50"/>
        <v>259.584</v>
      </c>
      <c r="E112" s="70">
        <f t="shared" si="50"/>
        <v>269.96736000000004</v>
      </c>
      <c r="F112" s="70">
        <f t="shared" si="50"/>
        <v>280.76605440000003</v>
      </c>
      <c r="G112" s="70">
        <f t="shared" si="50"/>
        <v>291.99669657600009</v>
      </c>
      <c r="H112" s="70">
        <f t="shared" si="50"/>
        <v>303.67656443904008</v>
      </c>
      <c r="I112" s="70">
        <f t="shared" si="50"/>
        <v>315.82362701660168</v>
      </c>
      <c r="J112" s="70">
        <f t="shared" si="50"/>
        <v>328.45657209726573</v>
      </c>
      <c r="K112" s="70">
        <f t="shared" si="50"/>
        <v>341.5948349811564</v>
      </c>
      <c r="L112" s="63"/>
    </row>
    <row r="113" spans="1:12" x14ac:dyDescent="0.2">
      <c r="A113" s="64" t="s">
        <v>97</v>
      </c>
      <c r="B113" s="62"/>
      <c r="C113" s="70">
        <f>C51</f>
        <v>5.46</v>
      </c>
      <c r="D113" s="70">
        <f>D51</f>
        <v>4.5010354247177222</v>
      </c>
      <c r="E113" s="70">
        <f>E51</f>
        <v>3.4797381520420969</v>
      </c>
      <c r="F113" s="70">
        <f>F51</f>
        <v>2.3920565566425558</v>
      </c>
      <c r="G113" s="70">
        <f>G51</f>
        <v>1.2336756575420447</v>
      </c>
      <c r="H113" s="62"/>
      <c r="I113" s="62"/>
      <c r="J113" s="62"/>
      <c r="K113" s="62"/>
      <c r="L113" s="63"/>
    </row>
    <row r="114" spans="1:12" x14ac:dyDescent="0.2">
      <c r="A114" s="64" t="s">
        <v>98</v>
      </c>
      <c r="B114" s="62"/>
      <c r="C114" s="70">
        <f>C109-C111-C110-C112-C113</f>
        <v>-530.73290311111089</v>
      </c>
      <c r="D114" s="70">
        <f t="shared" ref="D114:K114" si="51">D109-D111-D110-D112-D113</f>
        <v>-499.74543979662872</v>
      </c>
      <c r="E114" s="70">
        <f t="shared" si="51"/>
        <v>-462.31767486425883</v>
      </c>
      <c r="F114" s="70">
        <f t="shared" si="51"/>
        <v>-188.3856480184275</v>
      </c>
      <c r="G114" s="70">
        <f t="shared" si="51"/>
        <v>-97.48300033857123</v>
      </c>
      <c r="H114" s="70">
        <f t="shared" si="51"/>
        <v>6.9867483288214203</v>
      </c>
      <c r="I114" s="70">
        <f t="shared" si="51"/>
        <v>312.12785681315745</v>
      </c>
      <c r="J114" s="70">
        <f t="shared" si="51"/>
        <v>480.52305252371957</v>
      </c>
      <c r="K114" s="70">
        <f t="shared" si="51"/>
        <v>671.56964129084611</v>
      </c>
      <c r="L114" s="63"/>
    </row>
    <row r="115" spans="1:12" ht="15.75" x14ac:dyDescent="0.25">
      <c r="A115" s="103" t="s">
        <v>99</v>
      </c>
      <c r="B115" s="104"/>
      <c r="C115" s="105">
        <f>IF(C114&lt;0,0,C114*$D$29)</f>
        <v>0</v>
      </c>
      <c r="D115" s="105">
        <f t="shared" ref="D115:K115" si="52">IF(D114&lt;0,0,D114*$D$29)</f>
        <v>0</v>
      </c>
      <c r="E115" s="105">
        <f t="shared" si="52"/>
        <v>0</v>
      </c>
      <c r="F115" s="105">
        <f t="shared" si="52"/>
        <v>0</v>
      </c>
      <c r="G115" s="105">
        <f t="shared" si="52"/>
        <v>0</v>
      </c>
      <c r="H115" s="105">
        <f t="shared" si="52"/>
        <v>0.1048012249323213</v>
      </c>
      <c r="I115" s="105">
        <f t="shared" si="52"/>
        <v>4.6819178521973619</v>
      </c>
      <c r="J115" s="105">
        <f t="shared" si="52"/>
        <v>7.2078457878557929</v>
      </c>
      <c r="K115" s="105">
        <f t="shared" si="52"/>
        <v>10.073544619362691</v>
      </c>
      <c r="L115" s="106"/>
    </row>
    <row r="116" spans="1:12" x14ac:dyDescent="0.2">
      <c r="A116" s="55" t="s">
        <v>100</v>
      </c>
      <c r="B116" s="56"/>
      <c r="C116" s="57">
        <f>C114-C115</f>
        <v>-530.73290311111089</v>
      </c>
      <c r="D116" s="57">
        <f t="shared" ref="D116:K116" si="53">D114-D115</f>
        <v>-499.74543979662872</v>
      </c>
      <c r="E116" s="57">
        <f t="shared" si="53"/>
        <v>-462.31767486425883</v>
      </c>
      <c r="F116" s="57">
        <f t="shared" si="53"/>
        <v>-188.3856480184275</v>
      </c>
      <c r="G116" s="57">
        <f t="shared" si="53"/>
        <v>-97.48300033857123</v>
      </c>
      <c r="H116" s="57">
        <f t="shared" si="53"/>
        <v>6.8819471038890994</v>
      </c>
      <c r="I116" s="57">
        <f t="shared" si="53"/>
        <v>307.44593896096006</v>
      </c>
      <c r="J116" s="57">
        <f t="shared" si="53"/>
        <v>473.3152067358638</v>
      </c>
      <c r="K116" s="57">
        <f t="shared" si="53"/>
        <v>661.49609667148343</v>
      </c>
      <c r="L116" s="66"/>
    </row>
    <row r="119" spans="1:12" ht="15.75" x14ac:dyDescent="0.25">
      <c r="A119" s="107" t="s">
        <v>210</v>
      </c>
      <c r="B119" s="108"/>
      <c r="C119" s="108"/>
      <c r="D119" s="108"/>
      <c r="E119" s="108"/>
      <c r="F119" s="108"/>
      <c r="G119" s="108"/>
      <c r="H119" s="108"/>
      <c r="I119" s="108"/>
      <c r="J119" s="108"/>
      <c r="K119" s="108"/>
      <c r="L119" s="109"/>
    </row>
    <row r="120" spans="1:12" ht="15.75" x14ac:dyDescent="0.25">
      <c r="A120" s="52" t="s">
        <v>65</v>
      </c>
      <c r="B120" s="53">
        <v>0</v>
      </c>
      <c r="C120" s="53">
        <f>B120+1</f>
        <v>1</v>
      </c>
      <c r="D120" s="53">
        <f t="shared" ref="D120:L120" si="54">C120+1</f>
        <v>2</v>
      </c>
      <c r="E120" s="53">
        <f t="shared" si="54"/>
        <v>3</v>
      </c>
      <c r="F120" s="53">
        <f t="shared" si="54"/>
        <v>4</v>
      </c>
      <c r="G120" s="53">
        <f t="shared" si="54"/>
        <v>5</v>
      </c>
      <c r="H120" s="53">
        <f t="shared" si="54"/>
        <v>6</v>
      </c>
      <c r="I120" s="53">
        <f t="shared" si="54"/>
        <v>7</v>
      </c>
      <c r="J120" s="53">
        <f t="shared" si="54"/>
        <v>8</v>
      </c>
      <c r="K120" s="53">
        <f t="shared" si="54"/>
        <v>9</v>
      </c>
      <c r="L120" s="54">
        <f t="shared" si="54"/>
        <v>10</v>
      </c>
    </row>
    <row r="121" spans="1:12" x14ac:dyDescent="0.2">
      <c r="A121" s="64" t="s">
        <v>13</v>
      </c>
      <c r="B121" s="62"/>
      <c r="C121" s="62">
        <f>$D$18*C69</f>
        <v>0</v>
      </c>
      <c r="D121" s="62">
        <f t="shared" ref="D121:K121" si="55">$D$18*D69</f>
        <v>0</v>
      </c>
      <c r="E121" s="62">
        <f t="shared" si="55"/>
        <v>0</v>
      </c>
      <c r="F121" s="62">
        <f t="shared" si="55"/>
        <v>0</v>
      </c>
      <c r="G121" s="62">
        <f t="shared" si="55"/>
        <v>0</v>
      </c>
      <c r="H121" s="62">
        <f t="shared" si="55"/>
        <v>0</v>
      </c>
      <c r="I121" s="62">
        <f t="shared" si="55"/>
        <v>0</v>
      </c>
      <c r="J121" s="62">
        <f t="shared" si="55"/>
        <v>0</v>
      </c>
      <c r="K121" s="62">
        <f t="shared" si="55"/>
        <v>0</v>
      </c>
      <c r="L121" s="63"/>
    </row>
    <row r="122" spans="1:12" x14ac:dyDescent="0.2">
      <c r="A122" s="64" t="s">
        <v>15</v>
      </c>
      <c r="B122" s="62"/>
      <c r="C122" s="70">
        <f>$D$20*C76</f>
        <v>38.139919999999996</v>
      </c>
      <c r="D122" s="70">
        <f t="shared" ref="D122:K122" si="56">$D$20*D76</f>
        <v>39.665516800000006</v>
      </c>
      <c r="E122" s="70">
        <f t="shared" si="56"/>
        <v>41.252137472000008</v>
      </c>
      <c r="F122" s="70">
        <f t="shared" si="56"/>
        <v>52.095556464640005</v>
      </c>
      <c r="G122" s="70">
        <f t="shared" si="56"/>
        <v>54.179378723225618</v>
      </c>
      <c r="H122" s="70">
        <f t="shared" si="56"/>
        <v>56.346553872154644</v>
      </c>
      <c r="I122" s="70">
        <f t="shared" si="56"/>
        <v>65.4945826184574</v>
      </c>
      <c r="J122" s="70">
        <f t="shared" si="56"/>
        <v>68.114365923195692</v>
      </c>
      <c r="K122" s="70">
        <f t="shared" si="56"/>
        <v>70.838940560123532</v>
      </c>
      <c r="L122" s="63"/>
    </row>
    <row r="123" spans="1:12" x14ac:dyDescent="0.2">
      <c r="A123" s="64" t="s">
        <v>14</v>
      </c>
      <c r="B123" s="62"/>
      <c r="C123" s="70">
        <f>$D$19*C69</f>
        <v>16.171326080000004</v>
      </c>
      <c r="D123" s="70">
        <f t="shared" ref="D123:K123" si="57">$D$19*D69</f>
        <v>17.827269870592005</v>
      </c>
      <c r="E123" s="70">
        <f t="shared" si="57"/>
        <v>19.652782305340629</v>
      </c>
      <c r="F123" s="70">
        <f t="shared" si="57"/>
        <v>26.307775901994834</v>
      </c>
      <c r="G123" s="70">
        <f t="shared" si="57"/>
        <v>29.001692154359116</v>
      </c>
      <c r="H123" s="70">
        <f t="shared" si="57"/>
        <v>31.971465430965491</v>
      </c>
      <c r="I123" s="70">
        <f t="shared" si="57"/>
        <v>39.391854490048864</v>
      </c>
      <c r="J123" s="70">
        <f t="shared" si="57"/>
        <v>43.425580389829875</v>
      </c>
      <c r="K123" s="70">
        <f t="shared" si="57"/>
        <v>47.872359821748454</v>
      </c>
      <c r="L123" s="63"/>
    </row>
    <row r="124" spans="1:12" x14ac:dyDescent="0.2">
      <c r="A124" s="110" t="s">
        <v>104</v>
      </c>
      <c r="B124" s="111"/>
      <c r="C124" s="111">
        <f>B121-C121</f>
        <v>0</v>
      </c>
      <c r="D124" s="111">
        <f t="shared" ref="D124:L124" si="58">C121-D121</f>
        <v>0</v>
      </c>
      <c r="E124" s="111">
        <f t="shared" si="58"/>
        <v>0</v>
      </c>
      <c r="F124" s="111">
        <f t="shared" si="58"/>
        <v>0</v>
      </c>
      <c r="G124" s="111">
        <f t="shared" si="58"/>
        <v>0</v>
      </c>
      <c r="H124" s="111">
        <f t="shared" si="58"/>
        <v>0</v>
      </c>
      <c r="I124" s="111">
        <f t="shared" si="58"/>
        <v>0</v>
      </c>
      <c r="J124" s="111">
        <f t="shared" si="58"/>
        <v>0</v>
      </c>
      <c r="K124" s="111">
        <f t="shared" si="58"/>
        <v>0</v>
      </c>
      <c r="L124" s="112">
        <f t="shared" si="58"/>
        <v>0</v>
      </c>
    </row>
    <row r="125" spans="1:12" x14ac:dyDescent="0.2">
      <c r="A125" s="110" t="s">
        <v>105</v>
      </c>
      <c r="B125" s="111"/>
      <c r="C125" s="113">
        <f>B122-C122</f>
        <v>-38.139919999999996</v>
      </c>
      <c r="D125" s="113">
        <f t="shared" ref="D125:L125" si="59">C122-D122</f>
        <v>-1.5255968000000095</v>
      </c>
      <c r="E125" s="113">
        <f t="shared" si="59"/>
        <v>-1.5866206720000022</v>
      </c>
      <c r="F125" s="113">
        <f t="shared" si="59"/>
        <v>-10.843418992639997</v>
      </c>
      <c r="G125" s="113">
        <f t="shared" si="59"/>
        <v>-2.083822258585613</v>
      </c>
      <c r="H125" s="113">
        <f t="shared" si="59"/>
        <v>-2.1671751489290259</v>
      </c>
      <c r="I125" s="113">
        <f t="shared" si="59"/>
        <v>-9.1480287463027565</v>
      </c>
      <c r="J125" s="113">
        <f t="shared" si="59"/>
        <v>-2.6197833047382915</v>
      </c>
      <c r="K125" s="113">
        <f t="shared" si="59"/>
        <v>-2.7245746369278407</v>
      </c>
      <c r="L125" s="114">
        <f t="shared" si="59"/>
        <v>70.838940560123532</v>
      </c>
    </row>
    <row r="126" spans="1:12" x14ac:dyDescent="0.2">
      <c r="A126" s="115" t="s">
        <v>106</v>
      </c>
      <c r="B126" s="116"/>
      <c r="C126" s="117">
        <f>B123-C123</f>
        <v>-16.171326080000004</v>
      </c>
      <c r="D126" s="117">
        <f t="shared" ref="D126:L126" si="60">C123-D123</f>
        <v>-1.6559437905920014</v>
      </c>
      <c r="E126" s="117">
        <f t="shared" si="60"/>
        <v>-1.8255124347486245</v>
      </c>
      <c r="F126" s="117">
        <f t="shared" si="60"/>
        <v>-6.6549935966542044</v>
      </c>
      <c r="G126" s="117">
        <f t="shared" si="60"/>
        <v>-2.6939162523642821</v>
      </c>
      <c r="H126" s="117">
        <f t="shared" si="60"/>
        <v>-2.9697732766063751</v>
      </c>
      <c r="I126" s="117">
        <f t="shared" si="60"/>
        <v>-7.420389059083373</v>
      </c>
      <c r="J126" s="117">
        <f t="shared" si="60"/>
        <v>-4.033725899781011</v>
      </c>
      <c r="K126" s="117">
        <f t="shared" si="60"/>
        <v>-4.4467794319185785</v>
      </c>
      <c r="L126" s="118">
        <f t="shared" si="60"/>
        <v>47.872359821748454</v>
      </c>
    </row>
    <row r="129" spans="1:12" ht="15.75" x14ac:dyDescent="0.25">
      <c r="A129" s="100" t="s">
        <v>211</v>
      </c>
      <c r="B129" s="101"/>
      <c r="C129" s="101"/>
      <c r="D129" s="101"/>
      <c r="E129" s="101"/>
      <c r="F129" s="101"/>
      <c r="G129" s="101"/>
      <c r="H129" s="101"/>
      <c r="I129" s="101"/>
      <c r="J129" s="101"/>
      <c r="K129" s="101"/>
      <c r="L129" s="102"/>
    </row>
    <row r="130" spans="1:12" ht="15.75" x14ac:dyDescent="0.25">
      <c r="A130" s="52" t="s">
        <v>65</v>
      </c>
      <c r="B130" s="53">
        <v>0</v>
      </c>
      <c r="C130" s="53">
        <f>B130+1</f>
        <v>1</v>
      </c>
      <c r="D130" s="53">
        <f t="shared" ref="D130:L130" si="61">C130+1</f>
        <v>2</v>
      </c>
      <c r="E130" s="53">
        <f t="shared" si="61"/>
        <v>3</v>
      </c>
      <c r="F130" s="53">
        <f t="shared" si="61"/>
        <v>4</v>
      </c>
      <c r="G130" s="53">
        <f t="shared" si="61"/>
        <v>5</v>
      </c>
      <c r="H130" s="53">
        <f t="shared" si="61"/>
        <v>6</v>
      </c>
      <c r="I130" s="53">
        <f t="shared" si="61"/>
        <v>7</v>
      </c>
      <c r="J130" s="53">
        <f t="shared" si="61"/>
        <v>8</v>
      </c>
      <c r="K130" s="53">
        <f t="shared" si="61"/>
        <v>9</v>
      </c>
      <c r="L130" s="54">
        <f t="shared" si="61"/>
        <v>10</v>
      </c>
    </row>
    <row r="131" spans="1:12" ht="15.75" x14ac:dyDescent="0.25">
      <c r="A131" s="119" t="s">
        <v>107</v>
      </c>
      <c r="B131" s="120"/>
      <c r="C131" s="120"/>
      <c r="D131" s="120"/>
      <c r="E131" s="120"/>
      <c r="F131" s="120"/>
      <c r="G131" s="120"/>
      <c r="H131" s="120"/>
      <c r="I131" s="120"/>
      <c r="J131" s="120"/>
      <c r="K131" s="120"/>
      <c r="L131" s="121"/>
    </row>
    <row r="132" spans="1:12" x14ac:dyDescent="0.2">
      <c r="A132" s="64" t="s">
        <v>96</v>
      </c>
      <c r="B132" s="62"/>
      <c r="C132" s="70">
        <f>C69</f>
        <v>1617.1326080000003</v>
      </c>
      <c r="D132" s="70">
        <f t="shared" ref="D132:L132" si="62">D69</f>
        <v>1782.7269870592004</v>
      </c>
      <c r="E132" s="70">
        <f t="shared" si="62"/>
        <v>1965.2782305340629</v>
      </c>
      <c r="F132" s="70">
        <f t="shared" si="62"/>
        <v>2630.7775901994833</v>
      </c>
      <c r="G132" s="70">
        <f t="shared" si="62"/>
        <v>2900.1692154359116</v>
      </c>
      <c r="H132" s="70">
        <f t="shared" si="62"/>
        <v>3197.1465430965491</v>
      </c>
      <c r="I132" s="70">
        <f t="shared" si="62"/>
        <v>3939.1854490048863</v>
      </c>
      <c r="J132" s="70">
        <f t="shared" si="62"/>
        <v>4342.5580389829875</v>
      </c>
      <c r="K132" s="70">
        <f t="shared" si="62"/>
        <v>4787.235982174845</v>
      </c>
      <c r="L132" s="71">
        <f t="shared" si="62"/>
        <v>0</v>
      </c>
    </row>
    <row r="133" spans="1:12" x14ac:dyDescent="0.2">
      <c r="A133" s="64" t="s">
        <v>104</v>
      </c>
      <c r="B133" s="62"/>
      <c r="C133" s="62">
        <f>C124</f>
        <v>0</v>
      </c>
      <c r="D133" s="62">
        <f t="shared" ref="D133:L133" si="63">D124</f>
        <v>0</v>
      </c>
      <c r="E133" s="62">
        <f t="shared" si="63"/>
        <v>0</v>
      </c>
      <c r="F133" s="62">
        <f t="shared" si="63"/>
        <v>0</v>
      </c>
      <c r="G133" s="62">
        <f t="shared" si="63"/>
        <v>0</v>
      </c>
      <c r="H133" s="62">
        <f t="shared" si="63"/>
        <v>0</v>
      </c>
      <c r="I133" s="62">
        <f t="shared" si="63"/>
        <v>0</v>
      </c>
      <c r="J133" s="62">
        <f t="shared" si="63"/>
        <v>0</v>
      </c>
      <c r="K133" s="62">
        <f t="shared" si="63"/>
        <v>0</v>
      </c>
      <c r="L133" s="63">
        <f t="shared" si="63"/>
        <v>0</v>
      </c>
    </row>
    <row r="134" spans="1:12" x14ac:dyDescent="0.2">
      <c r="A134" s="64" t="s">
        <v>70</v>
      </c>
      <c r="B134" s="62"/>
      <c r="C134" s="62"/>
      <c r="D134" s="62"/>
      <c r="E134" s="62"/>
      <c r="F134" s="62"/>
      <c r="G134" s="62"/>
      <c r="H134" s="62"/>
      <c r="I134" s="62"/>
      <c r="J134" s="62"/>
      <c r="K134" s="62"/>
      <c r="L134" s="63">
        <f>L42</f>
        <v>12</v>
      </c>
    </row>
    <row r="135" spans="1:12" ht="15.75" x14ac:dyDescent="0.25">
      <c r="A135" s="122" t="s">
        <v>108</v>
      </c>
      <c r="B135" s="123"/>
      <c r="C135" s="124">
        <f>SUM(C132:C134)</f>
        <v>1617.1326080000003</v>
      </c>
      <c r="D135" s="124">
        <f t="shared" ref="D135:L135" si="64">SUM(D132:D134)</f>
        <v>1782.7269870592004</v>
      </c>
      <c r="E135" s="124">
        <f t="shared" si="64"/>
        <v>1965.2782305340629</v>
      </c>
      <c r="F135" s="124">
        <f t="shared" si="64"/>
        <v>2630.7775901994833</v>
      </c>
      <c r="G135" s="124">
        <f t="shared" si="64"/>
        <v>2900.1692154359116</v>
      </c>
      <c r="H135" s="124">
        <f t="shared" si="64"/>
        <v>3197.1465430965491</v>
      </c>
      <c r="I135" s="124">
        <f t="shared" si="64"/>
        <v>3939.1854490048863</v>
      </c>
      <c r="J135" s="124">
        <f t="shared" si="64"/>
        <v>4342.5580389829875</v>
      </c>
      <c r="K135" s="124">
        <f t="shared" si="64"/>
        <v>4787.235982174845</v>
      </c>
      <c r="L135" s="125">
        <f t="shared" si="64"/>
        <v>12</v>
      </c>
    </row>
    <row r="136" spans="1:12" ht="15.75" x14ac:dyDescent="0.25">
      <c r="A136" s="126" t="s">
        <v>109</v>
      </c>
      <c r="B136" s="127"/>
      <c r="C136" s="127"/>
      <c r="D136" s="127"/>
      <c r="E136" s="127"/>
      <c r="F136" s="127"/>
      <c r="G136" s="127"/>
      <c r="H136" s="127"/>
      <c r="I136" s="127"/>
      <c r="J136" s="127"/>
      <c r="K136" s="127"/>
      <c r="L136" s="128"/>
    </row>
    <row r="137" spans="1:12" ht="15.75" x14ac:dyDescent="0.25">
      <c r="A137" s="129" t="s">
        <v>120</v>
      </c>
      <c r="B137" s="130"/>
      <c r="C137" s="130"/>
      <c r="D137" s="130"/>
      <c r="E137" s="130"/>
      <c r="F137" s="130"/>
      <c r="G137" s="130"/>
      <c r="H137" s="130"/>
      <c r="I137" s="130"/>
      <c r="J137" s="130"/>
      <c r="K137" s="130"/>
      <c r="L137" s="131"/>
    </row>
    <row r="138" spans="1:12" x14ac:dyDescent="0.2">
      <c r="A138" s="64" t="s">
        <v>119</v>
      </c>
      <c r="B138" s="62">
        <f>K17</f>
        <v>1</v>
      </c>
      <c r="C138" s="62"/>
      <c r="D138" s="62"/>
      <c r="E138" s="62"/>
      <c r="F138" s="62"/>
      <c r="G138" s="62"/>
      <c r="H138" s="62"/>
      <c r="I138" s="62"/>
      <c r="J138" s="62"/>
      <c r="K138" s="62"/>
      <c r="L138" s="63"/>
    </row>
    <row r="139" spans="1:12" x14ac:dyDescent="0.2">
      <c r="A139" s="64" t="s">
        <v>110</v>
      </c>
      <c r="B139" s="62">
        <f>K11</f>
        <v>120</v>
      </c>
      <c r="C139" s="62"/>
      <c r="D139" s="62"/>
      <c r="E139" s="62"/>
      <c r="F139" s="62"/>
      <c r="G139" s="62"/>
      <c r="H139" s="62"/>
      <c r="I139" s="62"/>
      <c r="J139" s="62"/>
      <c r="K139" s="62"/>
      <c r="L139" s="63"/>
    </row>
    <row r="140" spans="1:12" ht="15.75" x14ac:dyDescent="0.25">
      <c r="A140" s="129" t="s">
        <v>111</v>
      </c>
      <c r="B140" s="130"/>
      <c r="C140" s="130"/>
      <c r="D140" s="130"/>
      <c r="E140" s="130"/>
      <c r="F140" s="130"/>
      <c r="G140" s="130"/>
      <c r="H140" s="130"/>
      <c r="I140" s="130"/>
      <c r="J140" s="130"/>
      <c r="K140" s="130"/>
      <c r="L140" s="131"/>
    </row>
    <row r="141" spans="1:12" x14ac:dyDescent="0.2">
      <c r="A141" s="64" t="s">
        <v>44</v>
      </c>
      <c r="B141" s="62"/>
      <c r="C141" s="70">
        <f>C76</f>
        <v>762.7983999999999</v>
      </c>
      <c r="D141" s="70">
        <f t="shared" ref="D141:K141" si="65">D76</f>
        <v>793.31033600000012</v>
      </c>
      <c r="E141" s="70">
        <f t="shared" si="65"/>
        <v>825.04274944000008</v>
      </c>
      <c r="F141" s="70">
        <f t="shared" si="65"/>
        <v>1041.9111292928001</v>
      </c>
      <c r="G141" s="70">
        <f t="shared" si="65"/>
        <v>1083.5875744645123</v>
      </c>
      <c r="H141" s="70">
        <f t="shared" si="65"/>
        <v>1126.9310774430928</v>
      </c>
      <c r="I141" s="70">
        <f t="shared" si="65"/>
        <v>1309.891652369148</v>
      </c>
      <c r="J141" s="70">
        <f t="shared" si="65"/>
        <v>1362.2873184639138</v>
      </c>
      <c r="K141" s="70">
        <f t="shared" si="65"/>
        <v>1416.7788112024707</v>
      </c>
      <c r="L141" s="63"/>
    </row>
    <row r="142" spans="1:12" x14ac:dyDescent="0.2">
      <c r="A142" s="64" t="s">
        <v>41</v>
      </c>
      <c r="B142" s="62"/>
      <c r="C142" s="70">
        <f>C94</f>
        <v>10.4</v>
      </c>
      <c r="D142" s="70">
        <f t="shared" ref="D142:L142" si="66">D94</f>
        <v>10.816000000000001</v>
      </c>
      <c r="E142" s="70">
        <f t="shared" si="66"/>
        <v>11.248640000000002</v>
      </c>
      <c r="F142" s="70">
        <f t="shared" si="66"/>
        <v>14.475249571594246</v>
      </c>
      <c r="G142" s="70">
        <f t="shared" si="66"/>
        <v>15.054259554458017</v>
      </c>
      <c r="H142" s="70">
        <f t="shared" si="66"/>
        <v>15.656429936636338</v>
      </c>
      <c r="I142" s="70">
        <f t="shared" si="66"/>
        <v>22.663073073299049</v>
      </c>
      <c r="J142" s="70">
        <f t="shared" si="66"/>
        <v>23.569595996231008</v>
      </c>
      <c r="K142" s="70">
        <f t="shared" si="66"/>
        <v>24.512379836080253</v>
      </c>
      <c r="L142" s="71">
        <f t="shared" si="66"/>
        <v>18.142155081052731</v>
      </c>
    </row>
    <row r="143" spans="1:12" x14ac:dyDescent="0.2">
      <c r="A143" s="64" t="s">
        <v>112</v>
      </c>
      <c r="B143" s="62"/>
      <c r="C143" s="70">
        <f>C89</f>
        <v>806.95680000000016</v>
      </c>
      <c r="D143" s="70">
        <f t="shared" ref="D143:K143" si="67">D89</f>
        <v>889.58917632000032</v>
      </c>
      <c r="E143" s="70">
        <f t="shared" si="67"/>
        <v>980.68310797516835</v>
      </c>
      <c r="F143" s="70">
        <f t="shared" si="67"/>
        <v>1081.1050582318258</v>
      </c>
      <c r="G143" s="70">
        <f t="shared" si="67"/>
        <v>1191.8102161947647</v>
      </c>
      <c r="H143" s="70">
        <f t="shared" si="67"/>
        <v>1313.851582333109</v>
      </c>
      <c r="I143" s="70">
        <f t="shared" si="67"/>
        <v>1448.3899843640197</v>
      </c>
      <c r="J143" s="70">
        <f t="shared" si="67"/>
        <v>1596.7051187628952</v>
      </c>
      <c r="K143" s="70">
        <f t="shared" si="67"/>
        <v>1760.2077229242157</v>
      </c>
      <c r="L143" s="63"/>
    </row>
    <row r="144" spans="1:12" x14ac:dyDescent="0.2">
      <c r="A144" s="64" t="s">
        <v>113</v>
      </c>
      <c r="B144" s="62"/>
      <c r="C144" s="70">
        <f>C93</f>
        <v>8.32</v>
      </c>
      <c r="D144" s="70">
        <f t="shared" ref="D144:K144" si="68">D93</f>
        <v>8.6528000000000009</v>
      </c>
      <c r="E144" s="70">
        <f t="shared" si="68"/>
        <v>8.9989120000000007</v>
      </c>
      <c r="F144" s="70">
        <f t="shared" si="68"/>
        <v>9.3588684800000017</v>
      </c>
      <c r="G144" s="70">
        <f t="shared" si="68"/>
        <v>9.7332232192000028</v>
      </c>
      <c r="H144" s="70">
        <f t="shared" si="68"/>
        <v>10.122552147968003</v>
      </c>
      <c r="I144" s="70">
        <f t="shared" si="68"/>
        <v>10.527454233886724</v>
      </c>
      <c r="J144" s="70">
        <f t="shared" si="68"/>
        <v>10.948552403242193</v>
      </c>
      <c r="K144" s="70">
        <f t="shared" si="68"/>
        <v>11.386494499371882</v>
      </c>
      <c r="L144" s="63"/>
    </row>
    <row r="145" spans="1:12" x14ac:dyDescent="0.2">
      <c r="A145" s="64" t="s">
        <v>55</v>
      </c>
      <c r="B145" s="62"/>
      <c r="C145" s="70">
        <f>C81</f>
        <v>73.819200000000009</v>
      </c>
      <c r="D145" s="70">
        <f t="shared" ref="D145:K145" si="69">D81</f>
        <v>76.771968000000015</v>
      </c>
      <c r="E145" s="70">
        <f t="shared" si="69"/>
        <v>79.842846720000011</v>
      </c>
      <c r="F145" s="70">
        <f t="shared" si="69"/>
        <v>100.83010928640002</v>
      </c>
      <c r="G145" s="70">
        <f t="shared" si="69"/>
        <v>104.86331365785604</v>
      </c>
      <c r="H145" s="70">
        <f t="shared" si="69"/>
        <v>109.05784620417027</v>
      </c>
      <c r="I145" s="70">
        <f t="shared" si="69"/>
        <v>126.76370829378851</v>
      </c>
      <c r="J145" s="70">
        <f t="shared" si="69"/>
        <v>131.83425662554004</v>
      </c>
      <c r="K145" s="70">
        <f t="shared" si="69"/>
        <v>137.10762689056168</v>
      </c>
      <c r="L145" s="63"/>
    </row>
    <row r="146" spans="1:12" x14ac:dyDescent="0.2">
      <c r="A146" s="64" t="s">
        <v>114</v>
      </c>
      <c r="B146" s="62"/>
      <c r="C146" s="70">
        <f>C101</f>
        <v>249.60000000000002</v>
      </c>
      <c r="D146" s="70">
        <f t="shared" ref="D146:L146" si="70">D101</f>
        <v>259.584</v>
      </c>
      <c r="E146" s="70">
        <f t="shared" si="70"/>
        <v>269.96736000000004</v>
      </c>
      <c r="F146" s="70">
        <f t="shared" si="70"/>
        <v>280.76605440000003</v>
      </c>
      <c r="G146" s="70">
        <f t="shared" si="70"/>
        <v>291.99669657600009</v>
      </c>
      <c r="H146" s="70">
        <f t="shared" si="70"/>
        <v>303.67656443904008</v>
      </c>
      <c r="I146" s="70">
        <f t="shared" si="70"/>
        <v>315.82362701660168</v>
      </c>
      <c r="J146" s="70">
        <f t="shared" si="70"/>
        <v>328.45657209726573</v>
      </c>
      <c r="K146" s="70">
        <f t="shared" si="70"/>
        <v>341.5948349811564</v>
      </c>
      <c r="L146" s="71">
        <f t="shared" si="70"/>
        <v>252.82190111924089</v>
      </c>
    </row>
    <row r="147" spans="1:12" x14ac:dyDescent="0.2">
      <c r="A147" s="64" t="s">
        <v>105</v>
      </c>
      <c r="B147" s="62"/>
      <c r="C147" s="70">
        <f>C125</f>
        <v>-38.139919999999996</v>
      </c>
      <c r="D147" s="70">
        <f t="shared" ref="D147:L147" si="71">D125</f>
        <v>-1.5255968000000095</v>
      </c>
      <c r="E147" s="70">
        <f t="shared" si="71"/>
        <v>-1.5866206720000022</v>
      </c>
      <c r="F147" s="70">
        <f t="shared" si="71"/>
        <v>-10.843418992639997</v>
      </c>
      <c r="G147" s="70">
        <f t="shared" si="71"/>
        <v>-2.083822258585613</v>
      </c>
      <c r="H147" s="70">
        <f t="shared" si="71"/>
        <v>-2.1671751489290259</v>
      </c>
      <c r="I147" s="70">
        <f t="shared" si="71"/>
        <v>-9.1480287463027565</v>
      </c>
      <c r="J147" s="70">
        <f t="shared" si="71"/>
        <v>-2.6197833047382915</v>
      </c>
      <c r="K147" s="70">
        <f t="shared" si="71"/>
        <v>-2.7245746369278407</v>
      </c>
      <c r="L147" s="71">
        <f t="shared" si="71"/>
        <v>70.838940560123532</v>
      </c>
    </row>
    <row r="148" spans="1:12" x14ac:dyDescent="0.2">
      <c r="A148" s="64" t="s">
        <v>106</v>
      </c>
      <c r="B148" s="62"/>
      <c r="C148" s="70">
        <f>C126</f>
        <v>-16.171326080000004</v>
      </c>
      <c r="D148" s="70">
        <f t="shared" ref="D148:L148" si="72">D126</f>
        <v>-1.6559437905920014</v>
      </c>
      <c r="E148" s="70">
        <f t="shared" si="72"/>
        <v>-1.8255124347486245</v>
      </c>
      <c r="F148" s="70">
        <f t="shared" si="72"/>
        <v>-6.6549935966542044</v>
      </c>
      <c r="G148" s="70">
        <f t="shared" si="72"/>
        <v>-2.6939162523642821</v>
      </c>
      <c r="H148" s="70">
        <f t="shared" si="72"/>
        <v>-2.9697732766063751</v>
      </c>
      <c r="I148" s="70">
        <f t="shared" si="72"/>
        <v>-7.420389059083373</v>
      </c>
      <c r="J148" s="70">
        <f t="shared" si="72"/>
        <v>-4.033725899781011</v>
      </c>
      <c r="K148" s="70">
        <f t="shared" si="72"/>
        <v>-4.4467794319185785</v>
      </c>
      <c r="L148" s="71">
        <f t="shared" si="72"/>
        <v>47.872359821748454</v>
      </c>
    </row>
    <row r="149" spans="1:12" ht="15.75" x14ac:dyDescent="0.25">
      <c r="A149" s="86" t="s">
        <v>115</v>
      </c>
      <c r="B149" s="88">
        <f>SUM(B138:B148)</f>
        <v>121</v>
      </c>
      <c r="C149" s="88">
        <f>SUM(C138:C148)</f>
        <v>1857.5831539200001</v>
      </c>
      <c r="D149" s="88">
        <f t="shared" ref="D149:L149" si="73">SUM(D138:D148)</f>
        <v>2035.5427397294088</v>
      </c>
      <c r="E149" s="88">
        <f t="shared" si="73"/>
        <v>2172.3714830284198</v>
      </c>
      <c r="F149" s="88">
        <f t="shared" si="73"/>
        <v>2510.9480566733259</v>
      </c>
      <c r="G149" s="88">
        <f t="shared" si="73"/>
        <v>2692.2675451558407</v>
      </c>
      <c r="H149" s="88">
        <f t="shared" si="73"/>
        <v>2874.1591040784815</v>
      </c>
      <c r="I149" s="88">
        <f t="shared" si="73"/>
        <v>3217.4910815453572</v>
      </c>
      <c r="J149" s="88">
        <f t="shared" si="73"/>
        <v>3447.147905144569</v>
      </c>
      <c r="K149" s="88">
        <f t="shared" si="73"/>
        <v>3684.4165162650111</v>
      </c>
      <c r="L149" s="94">
        <f t="shared" si="73"/>
        <v>389.67535658216559</v>
      </c>
    </row>
    <row r="150" spans="1:12" x14ac:dyDescent="0.2">
      <c r="A150" s="64" t="s">
        <v>116</v>
      </c>
      <c r="B150" s="70">
        <f>B149+B152</f>
        <v>121</v>
      </c>
      <c r="C150" s="70">
        <f t="shared" ref="C150:L150" si="74">C149+C152</f>
        <v>1857.5831539200001</v>
      </c>
      <c r="D150" s="70">
        <f t="shared" si="74"/>
        <v>2035.5427397294088</v>
      </c>
      <c r="E150" s="70">
        <f t="shared" si="74"/>
        <v>2172.3714830284198</v>
      </c>
      <c r="F150" s="70">
        <f t="shared" si="74"/>
        <v>2510.9480566733259</v>
      </c>
      <c r="G150" s="70">
        <f t="shared" si="74"/>
        <v>2692.2675451558407</v>
      </c>
      <c r="H150" s="70">
        <f t="shared" si="74"/>
        <v>2874.263905303414</v>
      </c>
      <c r="I150" s="70">
        <f t="shared" si="74"/>
        <v>3222.1729993975546</v>
      </c>
      <c r="J150" s="70">
        <f t="shared" si="74"/>
        <v>3454.3557509324246</v>
      </c>
      <c r="K150" s="70">
        <f t="shared" si="74"/>
        <v>3694.4900608843736</v>
      </c>
      <c r="L150" s="71">
        <f t="shared" si="74"/>
        <v>389.67535658216559</v>
      </c>
    </row>
    <row r="151" spans="1:12" x14ac:dyDescent="0.2">
      <c r="A151" s="64" t="s">
        <v>117</v>
      </c>
      <c r="B151" s="70">
        <f>B135-B149</f>
        <v>-121</v>
      </c>
      <c r="C151" s="70">
        <f t="shared" ref="C151:L151" si="75">C135-C149</f>
        <v>-240.45054591999974</v>
      </c>
      <c r="D151" s="70">
        <f t="shared" si="75"/>
        <v>-252.81575267020844</v>
      </c>
      <c r="E151" s="70">
        <f t="shared" si="75"/>
        <v>-207.09325249435688</v>
      </c>
      <c r="F151" s="70">
        <f t="shared" si="75"/>
        <v>119.82953352615732</v>
      </c>
      <c r="G151" s="70">
        <f t="shared" si="75"/>
        <v>207.9016702800709</v>
      </c>
      <c r="H151" s="70">
        <f t="shared" si="75"/>
        <v>322.98743901806756</v>
      </c>
      <c r="I151" s="70">
        <f t="shared" si="75"/>
        <v>721.69436745952908</v>
      </c>
      <c r="J151" s="70">
        <f t="shared" si="75"/>
        <v>895.41013383841846</v>
      </c>
      <c r="K151" s="70">
        <f t="shared" si="75"/>
        <v>1102.819465909834</v>
      </c>
      <c r="L151" s="71">
        <f t="shared" si="75"/>
        <v>-377.67535658216559</v>
      </c>
    </row>
    <row r="152" spans="1:12" x14ac:dyDescent="0.2">
      <c r="A152" s="64" t="s">
        <v>26</v>
      </c>
      <c r="B152" s="70">
        <f>B115</f>
        <v>0</v>
      </c>
      <c r="C152" s="70">
        <f t="shared" ref="C152:L152" si="76">C115</f>
        <v>0</v>
      </c>
      <c r="D152" s="70">
        <f t="shared" si="76"/>
        <v>0</v>
      </c>
      <c r="E152" s="70">
        <f t="shared" si="76"/>
        <v>0</v>
      </c>
      <c r="F152" s="70">
        <f t="shared" si="76"/>
        <v>0</v>
      </c>
      <c r="G152" s="70">
        <f t="shared" si="76"/>
        <v>0</v>
      </c>
      <c r="H152" s="70">
        <f t="shared" si="76"/>
        <v>0.1048012249323213</v>
      </c>
      <c r="I152" s="70">
        <f t="shared" si="76"/>
        <v>4.6819178521973619</v>
      </c>
      <c r="J152" s="70">
        <f t="shared" si="76"/>
        <v>7.2078457878557929</v>
      </c>
      <c r="K152" s="70">
        <f t="shared" si="76"/>
        <v>10.073544619362691</v>
      </c>
      <c r="L152" s="71">
        <f t="shared" si="76"/>
        <v>0</v>
      </c>
    </row>
    <row r="153" spans="1:12" ht="15.75" x14ac:dyDescent="0.25">
      <c r="A153" s="132" t="s">
        <v>118</v>
      </c>
      <c r="B153" s="133">
        <f>B151-B152</f>
        <v>-121</v>
      </c>
      <c r="C153" s="133">
        <f t="shared" ref="C153:L153" si="77">C151-C152</f>
        <v>-240.45054591999974</v>
      </c>
      <c r="D153" s="133">
        <f t="shared" si="77"/>
        <v>-252.81575267020844</v>
      </c>
      <c r="E153" s="133">
        <f t="shared" si="77"/>
        <v>-207.09325249435688</v>
      </c>
      <c r="F153" s="133">
        <f t="shared" si="77"/>
        <v>119.82953352615732</v>
      </c>
      <c r="G153" s="133">
        <f t="shared" si="77"/>
        <v>207.9016702800709</v>
      </c>
      <c r="H153" s="133">
        <f t="shared" si="77"/>
        <v>322.88263779313525</v>
      </c>
      <c r="I153" s="133">
        <f t="shared" si="77"/>
        <v>717.01244960733175</v>
      </c>
      <c r="J153" s="133">
        <f t="shared" si="77"/>
        <v>888.20228805056263</v>
      </c>
      <c r="K153" s="133">
        <f t="shared" si="77"/>
        <v>1092.7459212904712</v>
      </c>
      <c r="L153" s="134">
        <f t="shared" si="77"/>
        <v>-377.67535658216559</v>
      </c>
    </row>
    <row r="155" spans="1:12" ht="15.75" x14ac:dyDescent="0.25">
      <c r="A155" s="100" t="s">
        <v>212</v>
      </c>
      <c r="B155" s="101"/>
      <c r="C155" s="101"/>
      <c r="D155" s="101"/>
      <c r="E155" s="101"/>
      <c r="F155" s="101"/>
      <c r="G155" s="101"/>
      <c r="H155" s="101"/>
      <c r="I155" s="101"/>
      <c r="J155" s="101"/>
      <c r="K155" s="101"/>
      <c r="L155" s="102"/>
    </row>
    <row r="156" spans="1:12" ht="15.75" x14ac:dyDescent="0.25">
      <c r="A156" s="52" t="s">
        <v>65</v>
      </c>
      <c r="B156" s="53">
        <v>0</v>
      </c>
      <c r="C156" s="53">
        <f>B156+1</f>
        <v>1</v>
      </c>
      <c r="D156" s="53">
        <f t="shared" ref="D156:L156" si="78">C156+1</f>
        <v>2</v>
      </c>
      <c r="E156" s="53">
        <f t="shared" si="78"/>
        <v>3</v>
      </c>
      <c r="F156" s="53">
        <f t="shared" si="78"/>
        <v>4</v>
      </c>
      <c r="G156" s="53">
        <f t="shared" si="78"/>
        <v>5</v>
      </c>
      <c r="H156" s="53">
        <f t="shared" si="78"/>
        <v>6</v>
      </c>
      <c r="I156" s="53">
        <f t="shared" si="78"/>
        <v>7</v>
      </c>
      <c r="J156" s="53">
        <f t="shared" si="78"/>
        <v>8</v>
      </c>
      <c r="K156" s="53">
        <f t="shared" si="78"/>
        <v>9</v>
      </c>
      <c r="L156" s="54">
        <f t="shared" si="78"/>
        <v>10</v>
      </c>
    </row>
    <row r="157" spans="1:12" ht="15.75" x14ac:dyDescent="0.25">
      <c r="A157" s="103" t="s">
        <v>118</v>
      </c>
      <c r="B157" s="135">
        <f>B153</f>
        <v>-121</v>
      </c>
      <c r="C157" s="135">
        <f t="shared" ref="C157:L157" si="79">C153</f>
        <v>-240.45054591999974</v>
      </c>
      <c r="D157" s="135">
        <f t="shared" si="79"/>
        <v>-252.81575267020844</v>
      </c>
      <c r="E157" s="135">
        <f t="shared" si="79"/>
        <v>-207.09325249435688</v>
      </c>
      <c r="F157" s="135">
        <f t="shared" si="79"/>
        <v>119.82953352615732</v>
      </c>
      <c r="G157" s="135">
        <f t="shared" si="79"/>
        <v>207.9016702800709</v>
      </c>
      <c r="H157" s="135">
        <f t="shared" si="79"/>
        <v>322.88263779313525</v>
      </c>
      <c r="I157" s="135">
        <f t="shared" si="79"/>
        <v>717.01244960733175</v>
      </c>
      <c r="J157" s="135">
        <f t="shared" si="79"/>
        <v>888.20228805056263</v>
      </c>
      <c r="K157" s="135">
        <f t="shared" si="79"/>
        <v>1092.7459212904712</v>
      </c>
      <c r="L157" s="136">
        <f t="shared" si="79"/>
        <v>-377.67535658216559</v>
      </c>
    </row>
    <row r="158" spans="1:12" x14ac:dyDescent="0.2">
      <c r="A158" s="64" t="s">
        <v>121</v>
      </c>
      <c r="B158" s="62"/>
      <c r="C158" s="62"/>
      <c r="D158" s="62"/>
      <c r="E158" s="62"/>
      <c r="F158" s="62"/>
      <c r="G158" s="62"/>
      <c r="H158" s="62"/>
      <c r="I158" s="62"/>
      <c r="J158" s="62"/>
      <c r="K158" s="62"/>
      <c r="L158" s="63"/>
    </row>
    <row r="159" spans="1:12" x14ac:dyDescent="0.2">
      <c r="A159" s="64" t="s">
        <v>122</v>
      </c>
      <c r="B159" s="62">
        <f>B55</f>
        <v>84</v>
      </c>
      <c r="C159" s="62"/>
      <c r="D159" s="62"/>
      <c r="E159" s="62"/>
      <c r="F159" s="62"/>
      <c r="G159" s="62"/>
      <c r="H159" s="62"/>
      <c r="I159" s="62"/>
      <c r="J159" s="62"/>
      <c r="K159" s="62"/>
      <c r="L159" s="63"/>
    </row>
    <row r="160" spans="1:12" x14ac:dyDescent="0.2">
      <c r="A160" s="64" t="s">
        <v>123</v>
      </c>
      <c r="B160" s="62"/>
      <c r="C160" s="70">
        <f>C52</f>
        <v>20.213301158188884</v>
      </c>
      <c r="D160" s="70">
        <f t="shared" ref="D160:G160" si="80">D52</f>
        <v>20.213301158188884</v>
      </c>
      <c r="E160" s="70">
        <f t="shared" si="80"/>
        <v>20.213301158188884</v>
      </c>
      <c r="F160" s="70">
        <f t="shared" si="80"/>
        <v>20.213301158188884</v>
      </c>
      <c r="G160" s="70">
        <f t="shared" si="80"/>
        <v>20.213301158188884</v>
      </c>
      <c r="H160" s="62"/>
      <c r="I160" s="62"/>
      <c r="J160" s="62"/>
      <c r="K160" s="62"/>
      <c r="L160" s="63"/>
    </row>
    <row r="161" spans="1:12" ht="15.75" x14ac:dyDescent="0.25">
      <c r="A161" s="137" t="s">
        <v>124</v>
      </c>
      <c r="B161" s="138">
        <f>B157+B159-B160</f>
        <v>-37</v>
      </c>
      <c r="C161" s="138">
        <f>C157+C159-C160</f>
        <v>-260.66384707818861</v>
      </c>
      <c r="D161" s="138">
        <f t="shared" ref="D161:L161" si="81">D157+D159-D160</f>
        <v>-273.02905382839731</v>
      </c>
      <c r="E161" s="138">
        <f t="shared" si="81"/>
        <v>-227.30655365254574</v>
      </c>
      <c r="F161" s="138">
        <f t="shared" si="81"/>
        <v>99.616232367968436</v>
      </c>
      <c r="G161" s="138">
        <f t="shared" si="81"/>
        <v>187.68836912188203</v>
      </c>
      <c r="H161" s="138">
        <f t="shared" si="81"/>
        <v>322.88263779313525</v>
      </c>
      <c r="I161" s="138">
        <f t="shared" si="81"/>
        <v>717.01244960733175</v>
      </c>
      <c r="J161" s="138">
        <f t="shared" si="81"/>
        <v>888.20228805056263</v>
      </c>
      <c r="K161" s="138">
        <f t="shared" si="81"/>
        <v>1092.7459212904712</v>
      </c>
      <c r="L161" s="139">
        <f t="shared" si="81"/>
        <v>-377.67535658216559</v>
      </c>
    </row>
    <row r="164" spans="1:12" x14ac:dyDescent="0.2">
      <c r="A164" s="140" t="s">
        <v>128</v>
      </c>
      <c r="B164" s="141">
        <f>D27+D16+D27*D16</f>
        <v>0.15439999999999998</v>
      </c>
      <c r="C164" s="142"/>
      <c r="D164" s="142"/>
      <c r="E164" s="142"/>
      <c r="F164" s="142"/>
      <c r="G164" s="142"/>
      <c r="H164" s="142"/>
      <c r="I164" s="142"/>
      <c r="J164" s="142"/>
      <c r="K164" s="142"/>
      <c r="L164" s="61"/>
    </row>
    <row r="165" spans="1:12" ht="15.75" x14ac:dyDescent="0.25">
      <c r="A165" s="143" t="s">
        <v>215</v>
      </c>
      <c r="B165" s="144"/>
      <c r="C165" s="144"/>
      <c r="D165" s="144"/>
      <c r="E165" s="144"/>
      <c r="F165" s="144"/>
      <c r="G165" s="144"/>
      <c r="H165" s="144"/>
      <c r="I165" s="144"/>
      <c r="J165" s="144"/>
      <c r="K165" s="144"/>
      <c r="L165" s="145"/>
    </row>
    <row r="166" spans="1:12" ht="15.75" x14ac:dyDescent="0.25">
      <c r="A166" s="52" t="s">
        <v>65</v>
      </c>
      <c r="B166" s="53">
        <v>0</v>
      </c>
      <c r="C166" s="53">
        <f>B166+1</f>
        <v>1</v>
      </c>
      <c r="D166" s="53">
        <f t="shared" ref="D166:L166" si="82">C166+1</f>
        <v>2</v>
      </c>
      <c r="E166" s="53">
        <f t="shared" si="82"/>
        <v>3</v>
      </c>
      <c r="F166" s="53">
        <f t="shared" si="82"/>
        <v>4</v>
      </c>
      <c r="G166" s="53">
        <f t="shared" si="82"/>
        <v>5</v>
      </c>
      <c r="H166" s="53">
        <f t="shared" si="82"/>
        <v>6</v>
      </c>
      <c r="I166" s="53">
        <f t="shared" si="82"/>
        <v>7</v>
      </c>
      <c r="J166" s="53">
        <f t="shared" si="82"/>
        <v>8</v>
      </c>
      <c r="K166" s="53">
        <f t="shared" si="82"/>
        <v>9</v>
      </c>
      <c r="L166" s="54">
        <f t="shared" si="82"/>
        <v>10</v>
      </c>
    </row>
    <row r="167" spans="1:12" x14ac:dyDescent="0.2">
      <c r="A167" s="64" t="s">
        <v>214</v>
      </c>
      <c r="B167" s="70">
        <f>B55</f>
        <v>84</v>
      </c>
      <c r="C167" s="70">
        <f t="shared" ref="C167:L167" si="83">C55</f>
        <v>69.24669884181111</v>
      </c>
      <c r="D167" s="70">
        <f t="shared" si="83"/>
        <v>53.534433108339954</v>
      </c>
      <c r="E167" s="70">
        <f t="shared" si="83"/>
        <v>36.800870102193166</v>
      </c>
      <c r="F167" s="70">
        <f t="shared" si="83"/>
        <v>18.97962550064684</v>
      </c>
      <c r="G167" s="70">
        <f t="shared" si="83"/>
        <v>0</v>
      </c>
      <c r="H167" s="70">
        <f t="shared" si="83"/>
        <v>0</v>
      </c>
      <c r="I167" s="70">
        <f t="shared" si="83"/>
        <v>0</v>
      </c>
      <c r="J167" s="70">
        <f t="shared" si="83"/>
        <v>0</v>
      </c>
      <c r="K167" s="70">
        <f t="shared" si="83"/>
        <v>0</v>
      </c>
      <c r="L167" s="71">
        <f t="shared" si="83"/>
        <v>0</v>
      </c>
    </row>
    <row r="168" spans="1:12" x14ac:dyDescent="0.2">
      <c r="A168" s="64" t="s">
        <v>213</v>
      </c>
      <c r="B168" s="70">
        <f>ABS($B$161)</f>
        <v>37</v>
      </c>
      <c r="C168" s="70">
        <f t="shared" ref="C168:L168" si="84">ABS($B$161)</f>
        <v>37</v>
      </c>
      <c r="D168" s="70">
        <f t="shared" si="84"/>
        <v>37</v>
      </c>
      <c r="E168" s="70">
        <f t="shared" si="84"/>
        <v>37</v>
      </c>
      <c r="F168" s="70">
        <f t="shared" si="84"/>
        <v>37</v>
      </c>
      <c r="G168" s="70">
        <f t="shared" si="84"/>
        <v>37</v>
      </c>
      <c r="H168" s="70">
        <f t="shared" si="84"/>
        <v>37</v>
      </c>
      <c r="I168" s="70">
        <f t="shared" si="84"/>
        <v>37</v>
      </c>
      <c r="J168" s="70">
        <f t="shared" si="84"/>
        <v>37</v>
      </c>
      <c r="K168" s="70">
        <f t="shared" si="84"/>
        <v>37</v>
      </c>
      <c r="L168" s="71">
        <f t="shared" si="84"/>
        <v>37</v>
      </c>
    </row>
    <row r="169" spans="1:12" x14ac:dyDescent="0.2">
      <c r="A169" s="64" t="s">
        <v>126</v>
      </c>
      <c r="B169" s="70">
        <f>B167/(B167+B168)</f>
        <v>0.69421487603305787</v>
      </c>
      <c r="C169" s="70">
        <f t="shared" ref="C169:L169" si="85">C167/(C167+C168)</f>
        <v>0.65175388597166051</v>
      </c>
      <c r="D169" s="70">
        <f t="shared" si="85"/>
        <v>0.59131571569324171</v>
      </c>
      <c r="E169" s="70">
        <f t="shared" si="85"/>
        <v>0.49865089735709694</v>
      </c>
      <c r="F169" s="70">
        <f t="shared" si="85"/>
        <v>0.33904523888655763</v>
      </c>
      <c r="G169" s="70">
        <f t="shared" si="85"/>
        <v>0</v>
      </c>
      <c r="H169" s="70">
        <f t="shared" si="85"/>
        <v>0</v>
      </c>
      <c r="I169" s="70">
        <f t="shared" si="85"/>
        <v>0</v>
      </c>
      <c r="J169" s="70">
        <f t="shared" si="85"/>
        <v>0</v>
      </c>
      <c r="K169" s="70">
        <f t="shared" si="85"/>
        <v>0</v>
      </c>
      <c r="L169" s="71">
        <f t="shared" si="85"/>
        <v>0</v>
      </c>
    </row>
    <row r="170" spans="1:12" x14ac:dyDescent="0.2">
      <c r="A170" s="64" t="s">
        <v>127</v>
      </c>
      <c r="B170" s="70">
        <f>B168/(B167+B168)</f>
        <v>0.30578512396694213</v>
      </c>
      <c r="C170" s="70">
        <f t="shared" ref="C170:L170" si="86">C168/(C167+C168)</f>
        <v>0.34824611402833949</v>
      </c>
      <c r="D170" s="70">
        <f t="shared" si="86"/>
        <v>0.40868428430675835</v>
      </c>
      <c r="E170" s="70">
        <f t="shared" si="86"/>
        <v>0.50134910264290311</v>
      </c>
      <c r="F170" s="70">
        <f t="shared" si="86"/>
        <v>0.66095476111344242</v>
      </c>
      <c r="G170" s="70">
        <f t="shared" si="86"/>
        <v>1</v>
      </c>
      <c r="H170" s="70">
        <f t="shared" si="86"/>
        <v>1</v>
      </c>
      <c r="I170" s="70">
        <f t="shared" si="86"/>
        <v>1</v>
      </c>
      <c r="J170" s="70">
        <f t="shared" si="86"/>
        <v>1</v>
      </c>
      <c r="K170" s="70">
        <f t="shared" si="86"/>
        <v>1</v>
      </c>
      <c r="L170" s="71">
        <f t="shared" si="86"/>
        <v>1</v>
      </c>
    </row>
    <row r="171" spans="1:12" x14ac:dyDescent="0.2">
      <c r="A171" s="64" t="s">
        <v>125</v>
      </c>
      <c r="B171" s="70">
        <f>B169*$D$23+B170*$B$164</f>
        <v>9.2337190082644627E-2</v>
      </c>
      <c r="C171" s="70">
        <f t="shared" ref="C171:L171" si="87">C169*$D$23+C170*$B$164</f>
        <v>9.6133202594133549E-2</v>
      </c>
      <c r="D171" s="70">
        <f t="shared" si="87"/>
        <v>0.1015363750170242</v>
      </c>
      <c r="E171" s="70">
        <f t="shared" si="87"/>
        <v>0.10982060977627553</v>
      </c>
      <c r="F171" s="70">
        <f t="shared" si="87"/>
        <v>0.12408935564354173</v>
      </c>
      <c r="G171" s="70">
        <f t="shared" si="87"/>
        <v>0.15439999999999998</v>
      </c>
      <c r="H171" s="70">
        <f t="shared" si="87"/>
        <v>0.15439999999999998</v>
      </c>
      <c r="I171" s="70">
        <f t="shared" si="87"/>
        <v>0.15439999999999998</v>
      </c>
      <c r="J171" s="70">
        <f t="shared" si="87"/>
        <v>0.15439999999999998</v>
      </c>
      <c r="K171" s="70">
        <f t="shared" si="87"/>
        <v>0.15439999999999998</v>
      </c>
      <c r="L171" s="71">
        <f t="shared" si="87"/>
        <v>0.15439999999999998</v>
      </c>
    </row>
    <row r="172" spans="1:12" ht="15.75" x14ac:dyDescent="0.25">
      <c r="A172" s="146" t="s">
        <v>216</v>
      </c>
      <c r="B172" s="147">
        <f>AVERAGE(B171:L171)</f>
        <v>0.13184697573760176</v>
      </c>
      <c r="C172" s="148"/>
      <c r="D172" s="148"/>
      <c r="E172" s="148"/>
      <c r="F172" s="148"/>
      <c r="G172" s="148"/>
      <c r="H172" s="148"/>
      <c r="I172" s="148"/>
      <c r="J172" s="148"/>
      <c r="K172" s="148"/>
      <c r="L172" s="149"/>
    </row>
    <row r="174" spans="1:12" ht="15.75" x14ac:dyDescent="0.25">
      <c r="A174" s="100" t="s">
        <v>129</v>
      </c>
      <c r="B174" s="101"/>
      <c r="C174" s="101"/>
      <c r="D174" s="101"/>
      <c r="E174" s="101"/>
      <c r="F174" s="101"/>
      <c r="G174" s="101"/>
      <c r="H174" s="101"/>
      <c r="I174" s="101"/>
      <c r="J174" s="101"/>
      <c r="K174" s="101"/>
      <c r="L174" s="102"/>
    </row>
    <row r="175" spans="1:12" ht="15.75" x14ac:dyDescent="0.25">
      <c r="A175" s="103" t="s">
        <v>217</v>
      </c>
      <c r="B175" s="135">
        <f>NPV(B172,C157:L157)+B157</f>
        <v>544.9740140505711</v>
      </c>
      <c r="C175" s="173"/>
      <c r="D175" s="173"/>
      <c r="E175" s="173"/>
      <c r="F175" s="173"/>
      <c r="G175" s="173"/>
      <c r="H175" s="173"/>
      <c r="I175" s="173"/>
      <c r="J175" s="173"/>
      <c r="K175" s="173"/>
      <c r="L175" s="174"/>
    </row>
    <row r="176" spans="1:12" ht="15.75" x14ac:dyDescent="0.25">
      <c r="A176" s="103" t="s">
        <v>131</v>
      </c>
      <c r="B176" s="135">
        <f>IRR(B153:L153)</f>
        <v>0.2600743134525656</v>
      </c>
      <c r="C176" s="173"/>
      <c r="D176" s="173"/>
      <c r="E176" s="173"/>
      <c r="F176" s="173"/>
      <c r="G176" s="173"/>
      <c r="H176" s="173"/>
      <c r="I176" s="173"/>
      <c r="J176" s="173"/>
      <c r="K176" s="173"/>
      <c r="L176" s="174"/>
    </row>
    <row r="177" spans="1:12" ht="15.75" x14ac:dyDescent="0.25">
      <c r="A177" s="103" t="s">
        <v>132</v>
      </c>
      <c r="B177" s="135">
        <f>ABS(NPV(B172,C153:L153)/B153)</f>
        <v>5.5039174714923229</v>
      </c>
      <c r="C177" s="173" t="s">
        <v>133</v>
      </c>
      <c r="D177" s="173"/>
      <c r="E177" s="173"/>
      <c r="F177" s="173"/>
      <c r="G177" s="173"/>
      <c r="H177" s="173"/>
      <c r="I177" s="173"/>
      <c r="J177" s="173"/>
      <c r="K177" s="173"/>
      <c r="L177" s="174"/>
    </row>
    <row r="178" spans="1:12" ht="15.75" x14ac:dyDescent="0.25">
      <c r="A178" s="152" t="s">
        <v>134</v>
      </c>
      <c r="B178" s="153"/>
      <c r="C178" s="153"/>
      <c r="D178" s="153"/>
      <c r="E178" s="153"/>
      <c r="F178" s="153"/>
      <c r="G178" s="153"/>
      <c r="H178" s="153"/>
      <c r="I178" s="153"/>
      <c r="J178" s="153"/>
      <c r="K178" s="153"/>
      <c r="L178" s="154"/>
    </row>
    <row r="179" spans="1:12" ht="15.75" x14ac:dyDescent="0.25">
      <c r="A179" s="52" t="s">
        <v>65</v>
      </c>
      <c r="B179" s="53">
        <v>0</v>
      </c>
      <c r="C179" s="53">
        <f>B179+1</f>
        <v>1</v>
      </c>
      <c r="D179" s="53">
        <f t="shared" ref="D179:L179" si="88">C179+1</f>
        <v>2</v>
      </c>
      <c r="E179" s="53">
        <f t="shared" si="88"/>
        <v>3</v>
      </c>
      <c r="F179" s="53">
        <f t="shared" si="88"/>
        <v>4</v>
      </c>
      <c r="G179" s="53">
        <f t="shared" si="88"/>
        <v>5</v>
      </c>
      <c r="H179" s="53">
        <f t="shared" si="88"/>
        <v>6</v>
      </c>
      <c r="I179" s="53">
        <f t="shared" si="88"/>
        <v>7</v>
      </c>
      <c r="J179" s="53">
        <f t="shared" si="88"/>
        <v>8</v>
      </c>
      <c r="K179" s="53">
        <f t="shared" si="88"/>
        <v>9</v>
      </c>
      <c r="L179" s="54">
        <f t="shared" si="88"/>
        <v>10</v>
      </c>
    </row>
    <row r="180" spans="1:12" ht="15.75" x14ac:dyDescent="0.25">
      <c r="A180" s="52" t="s">
        <v>219</v>
      </c>
      <c r="B180" s="70">
        <f>B157</f>
        <v>-121</v>
      </c>
      <c r="C180" s="70">
        <f t="shared" ref="C180:L180" si="89">C157</f>
        <v>-240.45054591999974</v>
      </c>
      <c r="D180" s="70">
        <f t="shared" si="89"/>
        <v>-252.81575267020844</v>
      </c>
      <c r="E180" s="70">
        <f t="shared" si="89"/>
        <v>-207.09325249435688</v>
      </c>
      <c r="F180" s="70">
        <f t="shared" si="89"/>
        <v>119.82953352615732</v>
      </c>
      <c r="G180" s="70">
        <f t="shared" si="89"/>
        <v>207.9016702800709</v>
      </c>
      <c r="H180" s="70">
        <f t="shared" si="89"/>
        <v>322.88263779313525</v>
      </c>
      <c r="I180" s="70">
        <f t="shared" si="89"/>
        <v>717.01244960733175</v>
      </c>
      <c r="J180" s="70">
        <f t="shared" si="89"/>
        <v>888.20228805056263</v>
      </c>
      <c r="K180" s="70">
        <f t="shared" si="89"/>
        <v>1092.7459212904712</v>
      </c>
      <c r="L180" s="71">
        <f t="shared" si="89"/>
        <v>-377.67535658216559</v>
      </c>
    </row>
    <row r="181" spans="1:12" x14ac:dyDescent="0.2">
      <c r="A181" s="64" t="s">
        <v>221</v>
      </c>
      <c r="B181" s="70">
        <f>B180</f>
        <v>-121</v>
      </c>
      <c r="C181" s="70">
        <f>B181+C180</f>
        <v>-361.45054591999974</v>
      </c>
      <c r="D181" s="70">
        <f t="shared" ref="D181:L181" si="90">C181+D180</f>
        <v>-614.26629859020818</v>
      </c>
      <c r="E181" s="70">
        <f t="shared" si="90"/>
        <v>-821.35955108456506</v>
      </c>
      <c r="F181" s="70">
        <f t="shared" si="90"/>
        <v>-701.53001755840774</v>
      </c>
      <c r="G181" s="70">
        <f t="shared" si="90"/>
        <v>-493.62834727833683</v>
      </c>
      <c r="H181" s="70">
        <f t="shared" si="90"/>
        <v>-170.74570948520159</v>
      </c>
      <c r="I181" s="70">
        <f t="shared" si="90"/>
        <v>546.26674012213016</v>
      </c>
      <c r="J181" s="70">
        <f t="shared" si="90"/>
        <v>1434.4690281726928</v>
      </c>
      <c r="K181" s="70">
        <f t="shared" si="90"/>
        <v>2527.214949463164</v>
      </c>
      <c r="L181" s="71">
        <f t="shared" si="90"/>
        <v>2149.5395928809985</v>
      </c>
    </row>
    <row r="182" spans="1:12" x14ac:dyDescent="0.2">
      <c r="A182" s="64" t="s">
        <v>134</v>
      </c>
      <c r="B182" s="62">
        <f>IF(AND(B181&lt;0,C181&gt;0),C179-1+ABS(B181)/C180,0)</f>
        <v>0</v>
      </c>
      <c r="C182" s="62">
        <f t="shared" ref="C182:L182" si="91">IF(AND(C181&lt;0,D181&gt;0),D179-1+ABS(C181)/D180,0)</f>
        <v>0</v>
      </c>
      <c r="D182" s="62">
        <f t="shared" si="91"/>
        <v>0</v>
      </c>
      <c r="E182" s="62">
        <f t="shared" si="91"/>
        <v>0</v>
      </c>
      <c r="F182" s="62">
        <f t="shared" si="91"/>
        <v>0</v>
      </c>
      <c r="G182" s="62">
        <f t="shared" si="91"/>
        <v>0</v>
      </c>
      <c r="H182" s="70">
        <f t="shared" si="91"/>
        <v>6.2381349299844233</v>
      </c>
      <c r="I182" s="62">
        <f t="shared" si="91"/>
        <v>0</v>
      </c>
      <c r="J182" s="62">
        <f t="shared" si="91"/>
        <v>0</v>
      </c>
      <c r="K182" s="62">
        <f t="shared" si="91"/>
        <v>0</v>
      </c>
      <c r="L182" s="63">
        <f t="shared" si="91"/>
        <v>0</v>
      </c>
    </row>
    <row r="183" spans="1:12" x14ac:dyDescent="0.2">
      <c r="A183" s="64"/>
      <c r="B183" s="62"/>
      <c r="C183" s="62"/>
      <c r="D183" s="62"/>
      <c r="E183" s="62"/>
      <c r="F183" s="62"/>
      <c r="G183" s="62"/>
      <c r="H183" s="62">
        <f>INT(H182)</f>
        <v>6</v>
      </c>
      <c r="I183" s="62" t="s">
        <v>21</v>
      </c>
      <c r="J183" s="62"/>
      <c r="K183" s="62"/>
      <c r="L183" s="63"/>
    </row>
    <row r="184" spans="1:12" x14ac:dyDescent="0.2">
      <c r="A184" s="64"/>
      <c r="B184" s="62"/>
      <c r="C184" s="62"/>
      <c r="D184" s="62"/>
      <c r="E184" s="62"/>
      <c r="F184" s="62"/>
      <c r="G184" s="62"/>
      <c r="H184" s="155">
        <f>(H182-H183)*D32</f>
        <v>2.8576191598130798</v>
      </c>
      <c r="I184" s="62" t="s">
        <v>135</v>
      </c>
      <c r="J184" s="62"/>
      <c r="K184" s="62"/>
      <c r="L184" s="63"/>
    </row>
    <row r="185" spans="1:12" ht="15.75" x14ac:dyDescent="0.25">
      <c r="A185" s="103" t="s">
        <v>134</v>
      </c>
      <c r="B185" s="104" t="s">
        <v>136</v>
      </c>
      <c r="C185" s="62"/>
      <c r="D185" s="62"/>
      <c r="E185" s="62"/>
      <c r="F185" s="62"/>
      <c r="G185" s="62"/>
      <c r="H185" s="62"/>
      <c r="I185" s="62"/>
      <c r="J185" s="62"/>
      <c r="K185" s="62"/>
      <c r="L185" s="63"/>
    </row>
    <row r="186" spans="1:12" x14ac:dyDescent="0.2">
      <c r="A186" s="64"/>
      <c r="B186" s="62"/>
      <c r="C186" s="62"/>
      <c r="D186" s="62"/>
      <c r="E186" s="62"/>
      <c r="F186" s="62"/>
      <c r="G186" s="62"/>
      <c r="H186" s="62"/>
      <c r="I186" s="62"/>
      <c r="J186" s="62"/>
      <c r="K186" s="62"/>
      <c r="L186" s="63"/>
    </row>
    <row r="187" spans="1:12" ht="15.75" x14ac:dyDescent="0.25">
      <c r="A187" s="152" t="s">
        <v>137</v>
      </c>
      <c r="B187" s="153"/>
      <c r="C187" s="153"/>
      <c r="D187" s="153"/>
      <c r="E187" s="153"/>
      <c r="F187" s="153"/>
      <c r="G187" s="153"/>
      <c r="H187" s="153"/>
      <c r="I187" s="153"/>
      <c r="J187" s="153"/>
      <c r="K187" s="153"/>
      <c r="L187" s="154"/>
    </row>
    <row r="188" spans="1:12" ht="15.75" x14ac:dyDescent="0.25">
      <c r="A188" s="52" t="s">
        <v>65</v>
      </c>
      <c r="B188" s="53">
        <v>0</v>
      </c>
      <c r="C188" s="53">
        <f>B188+1</f>
        <v>1</v>
      </c>
      <c r="D188" s="53">
        <f t="shared" ref="D188:L188" si="92">C188+1</f>
        <v>2</v>
      </c>
      <c r="E188" s="53">
        <f t="shared" si="92"/>
        <v>3</v>
      </c>
      <c r="F188" s="53">
        <f t="shared" si="92"/>
        <v>4</v>
      </c>
      <c r="G188" s="53">
        <f t="shared" si="92"/>
        <v>5</v>
      </c>
      <c r="H188" s="53">
        <f t="shared" si="92"/>
        <v>6</v>
      </c>
      <c r="I188" s="53">
        <f t="shared" si="92"/>
        <v>7</v>
      </c>
      <c r="J188" s="53">
        <f t="shared" si="92"/>
        <v>8</v>
      </c>
      <c r="K188" s="53">
        <f t="shared" si="92"/>
        <v>9</v>
      </c>
      <c r="L188" s="54">
        <f t="shared" si="92"/>
        <v>10</v>
      </c>
    </row>
    <row r="189" spans="1:12" x14ac:dyDescent="0.2">
      <c r="A189" s="64" t="s">
        <v>138</v>
      </c>
      <c r="B189" s="70">
        <f>(1+$B$172)^(-B188)</f>
        <v>1</v>
      </c>
      <c r="C189" s="70">
        <f t="shared" ref="C189:L189" si="93">(1+$B$172)^(-C188)</f>
        <v>0.88351165964667644</v>
      </c>
      <c r="D189" s="70">
        <f t="shared" si="93"/>
        <v>0.7805928527316246</v>
      </c>
      <c r="E189" s="70">
        <f t="shared" si="93"/>
        <v>0.68966288682525134</v>
      </c>
      <c r="F189" s="70">
        <f t="shared" si="93"/>
        <v>0.60932520173569582</v>
      </c>
      <c r="G189" s="70">
        <f t="shared" si="93"/>
        <v>0.53834592025005046</v>
      </c>
      <c r="H189" s="70">
        <f t="shared" si="93"/>
        <v>0.47563489746413939</v>
      </c>
      <c r="I189" s="70">
        <f t="shared" si="93"/>
        <v>0.42022897764441863</v>
      </c>
      <c r="J189" s="70">
        <f t="shared" si="93"/>
        <v>0.37127720147024634</v>
      </c>
      <c r="K189" s="70">
        <f t="shared" si="93"/>
        <v>0.32802773645995076</v>
      </c>
      <c r="L189" s="71">
        <f t="shared" si="93"/>
        <v>0.28981632984987371</v>
      </c>
    </row>
    <row r="190" spans="1:12" x14ac:dyDescent="0.2">
      <c r="A190" s="64" t="s">
        <v>220</v>
      </c>
      <c r="B190" s="70">
        <f>B180*B189</f>
        <v>-121</v>
      </c>
      <c r="C190" s="70">
        <f t="shared" ref="C190:L190" si="94">C180*C189</f>
        <v>-212.44086088872837</v>
      </c>
      <c r="D190" s="70">
        <f t="shared" si="94"/>
        <v>-197.34616959233085</v>
      </c>
      <c r="E190" s="70">
        <f t="shared" si="94"/>
        <v>-142.82453035728884</v>
      </c>
      <c r="F190" s="70">
        <f t="shared" si="94"/>
        <v>73.015154689720134</v>
      </c>
      <c r="G190" s="70">
        <f t="shared" si="94"/>
        <v>111.92301600844733</v>
      </c>
      <c r="H190" s="70">
        <f t="shared" si="94"/>
        <v>153.57425031968873</v>
      </c>
      <c r="I190" s="70">
        <f t="shared" si="94"/>
        <v>301.30940865680924</v>
      </c>
      <c r="J190" s="70">
        <f t="shared" si="94"/>
        <v>329.76925984688251</v>
      </c>
      <c r="K190" s="70">
        <f t="shared" si="94"/>
        <v>358.45097108675679</v>
      </c>
      <c r="L190" s="71">
        <f t="shared" si="94"/>
        <v>-109.45648571938557</v>
      </c>
    </row>
    <row r="191" spans="1:12" x14ac:dyDescent="0.2">
      <c r="A191" s="64" t="s">
        <v>222</v>
      </c>
      <c r="B191" s="70">
        <f>B190</f>
        <v>-121</v>
      </c>
      <c r="C191" s="70">
        <f>B191+C190</f>
        <v>-333.44086088872837</v>
      </c>
      <c r="D191" s="70">
        <f t="shared" ref="D191:L191" si="95">C191+D190</f>
        <v>-530.78703048105922</v>
      </c>
      <c r="E191" s="70">
        <f t="shared" si="95"/>
        <v>-673.61156083834805</v>
      </c>
      <c r="F191" s="70">
        <f t="shared" si="95"/>
        <v>-600.59640614862792</v>
      </c>
      <c r="G191" s="70">
        <f t="shared" si="95"/>
        <v>-488.67339014018057</v>
      </c>
      <c r="H191" s="70">
        <f t="shared" si="95"/>
        <v>-335.09913982049181</v>
      </c>
      <c r="I191" s="70">
        <f t="shared" si="95"/>
        <v>-33.789731163682575</v>
      </c>
      <c r="J191" s="70">
        <f t="shared" si="95"/>
        <v>295.97952868319993</v>
      </c>
      <c r="K191" s="70">
        <f t="shared" si="95"/>
        <v>654.43049976995667</v>
      </c>
      <c r="L191" s="71">
        <f t="shared" si="95"/>
        <v>544.9740140505711</v>
      </c>
    </row>
    <row r="192" spans="1:12" x14ac:dyDescent="0.2">
      <c r="A192" s="64" t="s">
        <v>137</v>
      </c>
      <c r="B192" s="62">
        <f>IF(AND(B191&lt;0,C191&gt;0),C188-1+ABS(B191)/C190,0)</f>
        <v>0</v>
      </c>
      <c r="C192" s="62">
        <f t="shared" ref="C192:L192" si="96">IF(AND(C191&lt;0,D191&gt;0),D188-1+ABS(C191)/D190,0)</f>
        <v>0</v>
      </c>
      <c r="D192" s="62">
        <f t="shared" si="96"/>
        <v>0</v>
      </c>
      <c r="E192" s="62">
        <f t="shared" si="96"/>
        <v>0</v>
      </c>
      <c r="F192" s="62">
        <f t="shared" si="96"/>
        <v>0</v>
      </c>
      <c r="G192" s="62">
        <f t="shared" si="96"/>
        <v>0</v>
      </c>
      <c r="H192" s="62">
        <f t="shared" si="96"/>
        <v>0</v>
      </c>
      <c r="I192" s="70">
        <f t="shared" si="96"/>
        <v>7.1024647693947331</v>
      </c>
      <c r="J192" s="62">
        <f t="shared" si="96"/>
        <v>0</v>
      </c>
      <c r="K192" s="62">
        <f t="shared" si="96"/>
        <v>0</v>
      </c>
      <c r="L192" s="63">
        <f t="shared" si="96"/>
        <v>0</v>
      </c>
    </row>
    <row r="193" spans="1:12" x14ac:dyDescent="0.2">
      <c r="A193" s="64"/>
      <c r="B193" s="62"/>
      <c r="C193" s="62"/>
      <c r="D193" s="62"/>
      <c r="E193" s="62"/>
      <c r="F193" s="62"/>
      <c r="G193" s="62"/>
      <c r="H193" s="62"/>
      <c r="I193" s="155">
        <f>INT(I192)</f>
        <v>7</v>
      </c>
      <c r="J193" s="62" t="s">
        <v>21</v>
      </c>
      <c r="K193" s="62"/>
      <c r="L193" s="63"/>
    </row>
    <row r="194" spans="1:12" x14ac:dyDescent="0.2">
      <c r="A194" s="64"/>
      <c r="B194" s="62"/>
      <c r="C194" s="62"/>
      <c r="D194" s="62"/>
      <c r="E194" s="62"/>
      <c r="F194" s="62"/>
      <c r="G194" s="62"/>
      <c r="H194" s="62"/>
      <c r="I194" s="155">
        <f>(I192-I193)*12</f>
        <v>1.2295772327367978</v>
      </c>
      <c r="J194" s="62" t="s">
        <v>139</v>
      </c>
      <c r="K194" s="62"/>
      <c r="L194" s="63"/>
    </row>
    <row r="195" spans="1:12" ht="15.75" x14ac:dyDescent="0.25">
      <c r="A195" s="132" t="s">
        <v>137</v>
      </c>
      <c r="B195" s="156" t="s">
        <v>140</v>
      </c>
      <c r="C195" s="56"/>
      <c r="D195" s="56"/>
      <c r="E195" s="56"/>
      <c r="F195" s="56"/>
      <c r="G195" s="56"/>
      <c r="H195" s="56"/>
      <c r="I195" s="56"/>
      <c r="J195" s="56"/>
      <c r="K195" s="56"/>
      <c r="L195" s="66"/>
    </row>
    <row r="197" spans="1:12" ht="15.75" x14ac:dyDescent="0.25">
      <c r="A197" s="107" t="s">
        <v>130</v>
      </c>
      <c r="B197" s="108"/>
      <c r="C197" s="108"/>
      <c r="D197" s="108"/>
      <c r="E197" s="108"/>
      <c r="F197" s="108"/>
      <c r="G197" s="109"/>
      <c r="H197" s="4"/>
      <c r="I197" s="4"/>
      <c r="J197" s="4"/>
      <c r="K197" s="4"/>
      <c r="L197" s="4"/>
    </row>
    <row r="198" spans="1:12" ht="15.75" x14ac:dyDescent="0.25">
      <c r="A198" s="52" t="s">
        <v>65</v>
      </c>
      <c r="B198" s="53">
        <v>0</v>
      </c>
      <c r="C198" s="53">
        <f>B198+1</f>
        <v>1</v>
      </c>
      <c r="D198" s="53">
        <f t="shared" ref="D198:G198" si="97">C198+1</f>
        <v>2</v>
      </c>
      <c r="E198" s="53">
        <f t="shared" si="97"/>
        <v>3</v>
      </c>
      <c r="F198" s="53">
        <f t="shared" si="97"/>
        <v>4</v>
      </c>
      <c r="G198" s="54">
        <f t="shared" si="97"/>
        <v>5</v>
      </c>
      <c r="H198" s="1"/>
      <c r="I198" s="1"/>
      <c r="J198" s="1"/>
      <c r="K198" s="1"/>
      <c r="L198" s="1"/>
    </row>
    <row r="199" spans="1:12" ht="15.75" x14ac:dyDescent="0.25">
      <c r="A199" s="99" t="s">
        <v>130</v>
      </c>
      <c r="B199" s="56"/>
      <c r="C199" s="117">
        <f>C153/C160</f>
        <v>-11.895659399631889</v>
      </c>
      <c r="D199" s="117">
        <f t="shared" ref="D199:G199" si="98">D153/D160</f>
        <v>-12.50739553582453</v>
      </c>
      <c r="E199" s="117">
        <f t="shared" si="98"/>
        <v>-10.245394894859048</v>
      </c>
      <c r="F199" s="57">
        <f t="shared" si="98"/>
        <v>5.9282515304340357</v>
      </c>
      <c r="G199" s="58">
        <f t="shared" si="98"/>
        <v>10.285389242115212</v>
      </c>
    </row>
  </sheetData>
  <scenarios current="0" sqref="B175 B176 B177">
    <scenario name="Best Case (2)" locked="1" count="6" user="Dieu Nguyen" comment="Đã tạo bởi Dieu Nguyen bật 12/11/2023">
      <inputCells r="D6" val="0.08"/>
      <inputCells r="D9" val="30"/>
      <inputCells r="P6" val="0.025"/>
      <inputCells r="K6" val="9"/>
      <inputCells r="K11" val="115"/>
      <inputCells r="P22" val="7"/>
    </scenario>
    <scenario name="Normal Case (2)" locked="1" count="6" user="Dieu Nguyen" comment="Đã tạo bởi Dieu Nguyen bật 12/11/2023">
      <inputCells r="D6" val="0.075"/>
      <inputCells r="D9" val="25"/>
      <inputCells r="P6" val="0.036"/>
      <inputCells r="K6" val="10"/>
      <inputCells r="K11" val="125"/>
      <inputCells r="P22" val="8"/>
    </scenario>
    <scenario name="Worst Case (2)" locked="1" count="6" user="Dieu Nguyen" comment="Đã tạo bởi Dieu Nguyen bật 12/11/2023">
      <inputCells r="D6" val="0.07"/>
      <inputCells r="D9" val="15"/>
      <inputCells r="P6" val="0.04"/>
      <inputCells r="K6" val="11"/>
      <inputCells r="K11" val="125"/>
      <inputCells r="P22" val="8"/>
    </scenario>
  </scenarios>
  <mergeCells count="26">
    <mergeCell ref="A197:G197"/>
    <mergeCell ref="A131:L131"/>
    <mergeCell ref="A136:L136"/>
    <mergeCell ref="A129:L129"/>
    <mergeCell ref="A140:L140"/>
    <mergeCell ref="A137:L137"/>
    <mergeCell ref="A155:L155"/>
    <mergeCell ref="A165:L165"/>
    <mergeCell ref="A174:L174"/>
    <mergeCell ref="A178:L178"/>
    <mergeCell ref="A187:L187"/>
    <mergeCell ref="A119:L119"/>
    <mergeCell ref="A64:L64"/>
    <mergeCell ref="A57:L57"/>
    <mergeCell ref="A72:L72"/>
    <mergeCell ref="A83:L83"/>
    <mergeCell ref="A91:L91"/>
    <mergeCell ref="A78:L78"/>
    <mergeCell ref="A99:L99"/>
    <mergeCell ref="A107:L107"/>
    <mergeCell ref="A103:L103"/>
    <mergeCell ref="A1:R1"/>
    <mergeCell ref="A34:L34"/>
    <mergeCell ref="A39:L39"/>
    <mergeCell ref="A48:G48"/>
    <mergeCell ref="A58:L5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19"/>
  <sheetViews>
    <sheetView zoomScale="66" zoomScaleNormal="66" workbookViewId="0">
      <selection activeCell="A258" sqref="A258"/>
    </sheetView>
  </sheetViews>
  <sheetFormatPr defaultRowHeight="18" customHeight="1" x14ac:dyDescent="0.2"/>
  <cols>
    <col min="1" max="1" width="27" style="5" customWidth="1"/>
    <col min="2" max="2" width="17.6640625" style="5" bestFit="1" customWidth="1"/>
    <col min="3" max="12" width="13.77734375" style="5" customWidth="1"/>
    <col min="13" max="13" width="11.109375" style="5" customWidth="1"/>
    <col min="14" max="14" width="12.33203125" style="5" customWidth="1"/>
    <col min="15" max="15" width="10.6640625" style="5" customWidth="1"/>
    <col min="16" max="18" width="10.6640625" style="5" bestFit="1" customWidth="1"/>
    <col min="19" max="16384" width="8.88671875" style="5"/>
  </cols>
  <sheetData>
    <row r="1" spans="1:22" ht="18" customHeight="1" x14ac:dyDescent="0.25">
      <c r="A1" s="29" t="s">
        <v>0</v>
      </c>
      <c r="B1" s="30"/>
      <c r="C1" s="30"/>
      <c r="D1" s="30"/>
      <c r="E1" s="30"/>
      <c r="F1" s="30"/>
      <c r="G1" s="30"/>
      <c r="H1" s="30"/>
      <c r="I1" s="30"/>
      <c r="J1" s="30"/>
      <c r="K1" s="30"/>
      <c r="L1" s="30"/>
      <c r="M1" s="30"/>
      <c r="N1" s="30"/>
      <c r="O1" s="30"/>
      <c r="P1" s="30"/>
      <c r="Q1" s="30"/>
      <c r="R1" s="31"/>
    </row>
    <row r="2" spans="1:22" ht="18" customHeight="1" x14ac:dyDescent="0.25">
      <c r="A2" s="32"/>
      <c r="O2" s="1"/>
      <c r="R2" s="33"/>
      <c r="U2" s="1"/>
    </row>
    <row r="3" spans="1:22" ht="18" customHeight="1" x14ac:dyDescent="0.25">
      <c r="A3" s="2" t="s">
        <v>1</v>
      </c>
      <c r="D3" s="5">
        <v>1</v>
      </c>
      <c r="E3" s="5" t="s">
        <v>2</v>
      </c>
      <c r="I3" s="1" t="s">
        <v>28</v>
      </c>
      <c r="N3" s="1" t="s">
        <v>43</v>
      </c>
      <c r="R3" s="33"/>
    </row>
    <row r="4" spans="1:22" ht="18" customHeight="1" x14ac:dyDescent="0.25">
      <c r="A4" s="2"/>
      <c r="D4" s="5">
        <v>9</v>
      </c>
      <c r="E4" s="5" t="s">
        <v>3</v>
      </c>
      <c r="I4" s="1"/>
      <c r="N4" s="166"/>
      <c r="R4" s="33"/>
    </row>
    <row r="5" spans="1:22" ht="18" customHeight="1" x14ac:dyDescent="0.25">
      <c r="A5" s="2" t="s">
        <v>4</v>
      </c>
      <c r="C5" s="5">
        <v>1</v>
      </c>
      <c r="D5" s="5">
        <f>60000/1000000</f>
        <v>0.06</v>
      </c>
      <c r="E5" s="5" t="s">
        <v>6</v>
      </c>
      <c r="I5" s="1" t="s">
        <v>41</v>
      </c>
      <c r="J5" s="5" t="s">
        <v>29</v>
      </c>
      <c r="K5" s="5">
        <v>33</v>
      </c>
      <c r="L5" s="5" t="s">
        <v>35</v>
      </c>
      <c r="N5" s="28" t="s">
        <v>44</v>
      </c>
      <c r="O5" s="5">
        <v>1</v>
      </c>
      <c r="P5" s="5">
        <f>30000/1000000</f>
        <v>0.03</v>
      </c>
      <c r="Q5" s="5" t="s">
        <v>53</v>
      </c>
      <c r="R5" s="33"/>
    </row>
    <row r="6" spans="1:22" ht="18" customHeight="1" x14ac:dyDescent="0.25">
      <c r="A6" s="2"/>
      <c r="C6" s="5">
        <v>2</v>
      </c>
      <c r="D6" s="5">
        <f>70000/1000000</f>
        <v>7.0000000000000007E-2</v>
      </c>
      <c r="E6" s="5" t="s">
        <v>6</v>
      </c>
      <c r="I6" s="1"/>
      <c r="J6" s="5" t="s">
        <v>30</v>
      </c>
      <c r="K6" s="5">
        <v>10</v>
      </c>
      <c r="L6" s="5" t="s">
        <v>36</v>
      </c>
      <c r="N6" s="28"/>
      <c r="O6" s="5">
        <v>2</v>
      </c>
      <c r="P6" s="5">
        <f>35000/1000000</f>
        <v>3.5000000000000003E-2</v>
      </c>
      <c r="Q6" s="35" t="s">
        <v>53</v>
      </c>
      <c r="R6" s="36"/>
      <c r="S6" s="35"/>
      <c r="T6" s="35"/>
      <c r="U6" s="35"/>
      <c r="V6" s="35"/>
    </row>
    <row r="7" spans="1:22" ht="18" customHeight="1" x14ac:dyDescent="0.25">
      <c r="A7" s="2"/>
      <c r="C7" s="5" t="s">
        <v>5</v>
      </c>
      <c r="D7" s="35">
        <v>0.06</v>
      </c>
      <c r="I7" s="1"/>
      <c r="J7" s="5" t="s">
        <v>31</v>
      </c>
      <c r="K7" s="5">
        <v>3</v>
      </c>
      <c r="L7" s="5" t="s">
        <v>21</v>
      </c>
      <c r="N7" s="166"/>
      <c r="O7" s="5" t="s">
        <v>38</v>
      </c>
      <c r="P7" s="35">
        <v>0.04</v>
      </c>
      <c r="R7" s="33"/>
      <c r="S7" s="35"/>
      <c r="T7" s="35"/>
      <c r="U7" s="35"/>
      <c r="V7" s="35"/>
    </row>
    <row r="8" spans="1:22" ht="18" customHeight="1" x14ac:dyDescent="0.25">
      <c r="A8" s="2" t="s">
        <v>7</v>
      </c>
      <c r="C8" s="5">
        <v>1</v>
      </c>
      <c r="D8" s="5">
        <v>80</v>
      </c>
      <c r="E8" s="5" t="s">
        <v>57</v>
      </c>
      <c r="I8" s="1"/>
      <c r="J8" s="5" t="s">
        <v>38</v>
      </c>
      <c r="K8" s="35">
        <v>0.1</v>
      </c>
      <c r="N8" s="166"/>
      <c r="R8" s="36"/>
    </row>
    <row r="9" spans="1:22" ht="18" customHeight="1" x14ac:dyDescent="0.25">
      <c r="A9" s="32"/>
      <c r="C9" s="5">
        <v>2</v>
      </c>
      <c r="D9" s="5">
        <v>20</v>
      </c>
      <c r="E9" s="5" t="s">
        <v>57</v>
      </c>
      <c r="I9" s="1"/>
      <c r="J9" s="5" t="s">
        <v>32</v>
      </c>
      <c r="K9" s="35">
        <v>0.5</v>
      </c>
      <c r="L9" s="5" t="s">
        <v>39</v>
      </c>
      <c r="N9" s="28" t="s">
        <v>49</v>
      </c>
      <c r="O9" s="5" t="s">
        <v>45</v>
      </c>
      <c r="P9" s="5">
        <v>1</v>
      </c>
      <c r="R9" s="33"/>
    </row>
    <row r="10" spans="1:22" ht="18" customHeight="1" x14ac:dyDescent="0.25">
      <c r="A10" s="2"/>
      <c r="B10" s="5" t="s">
        <v>59</v>
      </c>
      <c r="C10" s="5" t="s">
        <v>58</v>
      </c>
      <c r="D10" s="35">
        <v>0.7</v>
      </c>
      <c r="E10" s="5" t="s">
        <v>60</v>
      </c>
      <c r="I10" s="1"/>
      <c r="N10" s="28"/>
      <c r="O10" s="5" t="s">
        <v>3</v>
      </c>
      <c r="P10" s="5">
        <v>15</v>
      </c>
      <c r="Q10" s="5" t="s">
        <v>36</v>
      </c>
      <c r="R10" s="33"/>
    </row>
    <row r="11" spans="1:22" ht="18" customHeight="1" x14ac:dyDescent="0.25">
      <c r="A11" s="2"/>
      <c r="B11" s="5" t="s">
        <v>61</v>
      </c>
      <c r="C11" s="5" t="s">
        <v>62</v>
      </c>
      <c r="D11" s="35">
        <v>0.85</v>
      </c>
      <c r="E11" s="5" t="s">
        <v>60</v>
      </c>
      <c r="I11" s="1" t="s">
        <v>56</v>
      </c>
      <c r="J11" s="5" t="s">
        <v>2</v>
      </c>
      <c r="K11" s="5">
        <v>120</v>
      </c>
      <c r="L11" s="5" t="s">
        <v>40</v>
      </c>
      <c r="N11" s="28"/>
      <c r="O11" s="5" t="s">
        <v>38</v>
      </c>
      <c r="P11" s="35">
        <v>0.06</v>
      </c>
      <c r="R11" s="33"/>
    </row>
    <row r="12" spans="1:22" ht="18" customHeight="1" x14ac:dyDescent="0.25">
      <c r="A12" s="2"/>
      <c r="B12" s="5" t="s">
        <v>63</v>
      </c>
      <c r="C12" s="5" t="s">
        <v>58</v>
      </c>
      <c r="D12" s="35">
        <v>0.95</v>
      </c>
      <c r="E12" s="5" t="s">
        <v>60</v>
      </c>
      <c r="I12" s="1"/>
      <c r="J12" s="5" t="s">
        <v>33</v>
      </c>
      <c r="K12" s="5">
        <v>10</v>
      </c>
      <c r="L12" s="5" t="s">
        <v>37</v>
      </c>
      <c r="N12" s="166"/>
      <c r="R12" s="33"/>
    </row>
    <row r="13" spans="1:22" ht="18" customHeight="1" x14ac:dyDescent="0.25">
      <c r="A13" s="2"/>
      <c r="I13" s="1"/>
      <c r="N13" s="28" t="s">
        <v>51</v>
      </c>
      <c r="O13" s="5" t="s">
        <v>45</v>
      </c>
      <c r="P13" s="5">
        <v>2</v>
      </c>
      <c r="R13" s="33"/>
    </row>
    <row r="14" spans="1:22" ht="18" customHeight="1" x14ac:dyDescent="0.25">
      <c r="A14" s="2" t="s">
        <v>8</v>
      </c>
      <c r="D14" s="35">
        <v>0</v>
      </c>
      <c r="E14" s="5" t="s">
        <v>9</v>
      </c>
      <c r="I14" s="1" t="s">
        <v>34</v>
      </c>
      <c r="J14" s="5" t="s">
        <v>3</v>
      </c>
      <c r="K14" s="5">
        <v>1</v>
      </c>
      <c r="L14" s="5" t="s">
        <v>42</v>
      </c>
      <c r="N14" s="166"/>
      <c r="O14" s="5" t="s">
        <v>3</v>
      </c>
      <c r="P14" s="5">
        <v>3</v>
      </c>
      <c r="Q14" s="5" t="s">
        <v>36</v>
      </c>
      <c r="R14" s="33"/>
    </row>
    <row r="15" spans="1:22" ht="18" customHeight="1" x14ac:dyDescent="0.25">
      <c r="A15" s="2"/>
      <c r="J15" s="5" t="s">
        <v>33</v>
      </c>
      <c r="N15" s="28"/>
      <c r="O15" s="5" t="s">
        <v>38</v>
      </c>
      <c r="P15" s="35">
        <v>0.06</v>
      </c>
      <c r="R15" s="33"/>
    </row>
    <row r="16" spans="1:22" ht="18" customHeight="1" x14ac:dyDescent="0.25">
      <c r="A16" s="2" t="s">
        <v>10</v>
      </c>
      <c r="D16" s="35">
        <v>0.04</v>
      </c>
      <c r="E16" s="5" t="s">
        <v>11</v>
      </c>
      <c r="N16" s="166"/>
      <c r="R16" s="33"/>
    </row>
    <row r="17" spans="1:22" ht="18" customHeight="1" x14ac:dyDescent="0.25">
      <c r="A17" s="2"/>
      <c r="I17" s="1" t="s">
        <v>52</v>
      </c>
      <c r="J17" s="5" t="s">
        <v>2</v>
      </c>
      <c r="K17" s="5">
        <v>1</v>
      </c>
      <c r="L17" s="5" t="s">
        <v>50</v>
      </c>
      <c r="N17" s="28" t="s">
        <v>54</v>
      </c>
      <c r="O17" s="5" t="s">
        <v>45</v>
      </c>
      <c r="P17" s="5">
        <v>5</v>
      </c>
      <c r="R17" s="33"/>
    </row>
    <row r="18" spans="1:22" ht="18" customHeight="1" x14ac:dyDescent="0.25">
      <c r="A18" s="2" t="s">
        <v>12</v>
      </c>
      <c r="B18" s="5" t="s">
        <v>13</v>
      </c>
      <c r="D18" s="35">
        <v>0</v>
      </c>
      <c r="E18" s="5" t="s">
        <v>16</v>
      </c>
      <c r="N18" s="28"/>
      <c r="O18" s="5" t="s">
        <v>3</v>
      </c>
      <c r="P18" s="5">
        <v>8</v>
      </c>
      <c r="Q18" s="35" t="s">
        <v>36</v>
      </c>
      <c r="R18" s="33"/>
      <c r="S18" s="35"/>
      <c r="T18" s="35"/>
      <c r="U18" s="35"/>
      <c r="V18" s="35"/>
    </row>
    <row r="19" spans="1:22" ht="18" customHeight="1" x14ac:dyDescent="0.25">
      <c r="A19" s="2"/>
      <c r="B19" s="5" t="s">
        <v>14</v>
      </c>
      <c r="D19" s="35">
        <v>0.01</v>
      </c>
      <c r="E19" s="5" t="s">
        <v>16</v>
      </c>
      <c r="N19" s="28"/>
      <c r="O19" s="5" t="s">
        <v>38</v>
      </c>
      <c r="P19" s="35">
        <v>0.06</v>
      </c>
      <c r="Q19" s="35"/>
      <c r="R19" s="36"/>
      <c r="S19" s="35"/>
      <c r="T19" s="35"/>
      <c r="U19" s="35"/>
      <c r="V19" s="35"/>
    </row>
    <row r="20" spans="1:22" ht="18" customHeight="1" x14ac:dyDescent="0.25">
      <c r="A20" s="2"/>
      <c r="B20" s="5" t="s">
        <v>15</v>
      </c>
      <c r="D20" s="35">
        <v>0.05</v>
      </c>
      <c r="E20" s="5" t="s">
        <v>17</v>
      </c>
      <c r="N20" s="28"/>
      <c r="R20" s="36"/>
    </row>
    <row r="21" spans="1:22" ht="18" customHeight="1" x14ac:dyDescent="0.25">
      <c r="A21" s="2"/>
      <c r="N21" s="166"/>
      <c r="R21" s="33"/>
    </row>
    <row r="22" spans="1:22" ht="18" customHeight="1" x14ac:dyDescent="0.25">
      <c r="A22" s="2" t="s">
        <v>27</v>
      </c>
      <c r="B22" s="5" t="s">
        <v>18</v>
      </c>
      <c r="D22" s="5">
        <v>0.7</v>
      </c>
      <c r="E22" s="5" t="s">
        <v>76</v>
      </c>
      <c r="N22" s="28" t="s">
        <v>90</v>
      </c>
      <c r="O22" s="5" t="s">
        <v>3</v>
      </c>
      <c r="P22" s="5">
        <v>8</v>
      </c>
      <c r="Q22" s="5" t="s">
        <v>36</v>
      </c>
      <c r="R22" s="33"/>
      <c r="S22" s="35"/>
      <c r="T22" s="35"/>
      <c r="U22" s="35"/>
      <c r="V22" s="35"/>
    </row>
    <row r="23" spans="1:22" ht="18" customHeight="1" x14ac:dyDescent="0.25">
      <c r="A23" s="2"/>
      <c r="B23" s="5" t="s">
        <v>19</v>
      </c>
      <c r="D23" s="37">
        <v>6.5000000000000002E-2</v>
      </c>
      <c r="E23" s="5" t="s">
        <v>11</v>
      </c>
      <c r="N23" s="28"/>
      <c r="O23" s="5" t="s">
        <v>46</v>
      </c>
      <c r="P23" s="35">
        <f>F18</f>
        <v>0</v>
      </c>
      <c r="Q23" s="35"/>
      <c r="R23" s="33"/>
    </row>
    <row r="24" spans="1:22" ht="18" customHeight="1" x14ac:dyDescent="0.25">
      <c r="A24" s="2"/>
      <c r="B24" s="5" t="s">
        <v>20</v>
      </c>
      <c r="D24" s="5">
        <v>5</v>
      </c>
      <c r="E24" s="5" t="s">
        <v>21</v>
      </c>
      <c r="N24" s="166"/>
      <c r="O24" s="5" t="s">
        <v>38</v>
      </c>
      <c r="P24" s="35">
        <v>0.04</v>
      </c>
      <c r="R24" s="33"/>
    </row>
    <row r="25" spans="1:22" ht="18" customHeight="1" x14ac:dyDescent="0.25">
      <c r="A25" s="2"/>
      <c r="B25" s="5" t="s">
        <v>22</v>
      </c>
      <c r="D25" s="5" t="s">
        <v>23</v>
      </c>
      <c r="E25" s="5" t="s">
        <v>24</v>
      </c>
      <c r="N25" s="166"/>
      <c r="R25" s="38"/>
      <c r="S25" s="39"/>
      <c r="T25" s="39"/>
      <c r="U25" s="39"/>
      <c r="V25" s="39"/>
    </row>
    <row r="26" spans="1:22" ht="18" customHeight="1" x14ac:dyDescent="0.25">
      <c r="A26" s="2"/>
      <c r="N26" s="28" t="s">
        <v>47</v>
      </c>
      <c r="O26" s="5" t="s">
        <v>3</v>
      </c>
      <c r="P26" s="5">
        <v>20</v>
      </c>
      <c r="Q26" s="39" t="s">
        <v>36</v>
      </c>
      <c r="R26" s="33"/>
    </row>
    <row r="27" spans="1:22" ht="18" customHeight="1" x14ac:dyDescent="0.25">
      <c r="A27" s="2" t="s">
        <v>25</v>
      </c>
      <c r="D27" s="5">
        <v>0.11</v>
      </c>
      <c r="N27" s="28" t="s">
        <v>48</v>
      </c>
      <c r="O27" s="5" t="s">
        <v>32</v>
      </c>
      <c r="P27" s="35">
        <v>0.5</v>
      </c>
      <c r="Q27" s="5" t="s">
        <v>39</v>
      </c>
      <c r="R27" s="33"/>
    </row>
    <row r="28" spans="1:22" ht="18" customHeight="1" x14ac:dyDescent="0.25">
      <c r="A28" s="2"/>
      <c r="N28" s="166"/>
      <c r="R28" s="36"/>
      <c r="S28" s="35"/>
      <c r="T28" s="35"/>
      <c r="U28" s="35"/>
      <c r="V28" s="35"/>
    </row>
    <row r="29" spans="1:22" ht="18" customHeight="1" x14ac:dyDescent="0.25">
      <c r="A29" s="2" t="s">
        <v>26</v>
      </c>
      <c r="D29" s="37">
        <v>1.4999999999999999E-2</v>
      </c>
      <c r="E29" s="5" t="s">
        <v>16</v>
      </c>
      <c r="N29" s="28" t="s">
        <v>55</v>
      </c>
      <c r="O29" s="5" t="s">
        <v>3</v>
      </c>
      <c r="P29" s="5">
        <f>3000/1000000</f>
        <v>3.0000000000000001E-3</v>
      </c>
      <c r="Q29" s="5" t="s">
        <v>53</v>
      </c>
      <c r="R29" s="33"/>
    </row>
    <row r="30" spans="1:22" ht="18" customHeight="1" x14ac:dyDescent="0.25">
      <c r="A30" s="2"/>
      <c r="D30" s="37"/>
      <c r="O30" s="5" t="s">
        <v>38</v>
      </c>
      <c r="P30" s="35">
        <v>0.04</v>
      </c>
      <c r="Q30" s="35"/>
      <c r="R30" s="33"/>
    </row>
    <row r="31" spans="1:22" ht="18" customHeight="1" x14ac:dyDescent="0.25">
      <c r="A31" s="2" t="s">
        <v>83</v>
      </c>
      <c r="D31" s="40">
        <v>338</v>
      </c>
      <c r="E31" s="5" t="s">
        <v>84</v>
      </c>
      <c r="P31" s="35"/>
      <c r="Q31" s="35"/>
      <c r="R31" s="33"/>
    </row>
    <row r="32" spans="1:22" ht="18" customHeight="1" thickBot="1" x14ac:dyDescent="0.3">
      <c r="A32" s="3" t="s">
        <v>93</v>
      </c>
      <c r="B32" s="41"/>
      <c r="C32" s="41"/>
      <c r="D32" s="41">
        <v>12</v>
      </c>
      <c r="E32" s="41" t="s">
        <v>94</v>
      </c>
      <c r="F32" s="41"/>
      <c r="G32" s="41"/>
      <c r="H32" s="41"/>
      <c r="I32" s="41"/>
      <c r="J32" s="41"/>
      <c r="K32" s="41"/>
      <c r="L32" s="41"/>
      <c r="M32" s="41"/>
      <c r="N32" s="41"/>
      <c r="O32" s="41"/>
      <c r="P32" s="42"/>
      <c r="Q32" s="42"/>
      <c r="R32" s="43"/>
    </row>
    <row r="34" spans="1:13" ht="18" customHeight="1" x14ac:dyDescent="0.25">
      <c r="A34" s="49" t="s">
        <v>64</v>
      </c>
      <c r="B34" s="50"/>
      <c r="C34" s="50"/>
      <c r="D34" s="50"/>
      <c r="E34" s="50"/>
      <c r="F34" s="50"/>
      <c r="G34" s="50"/>
      <c r="H34" s="50"/>
      <c r="I34" s="50"/>
      <c r="J34" s="50"/>
      <c r="K34" s="50"/>
      <c r="L34" s="51"/>
    </row>
    <row r="35" spans="1:13" ht="18" customHeight="1" x14ac:dyDescent="0.25">
      <c r="A35" s="52" t="s">
        <v>65</v>
      </c>
      <c r="B35" s="53">
        <v>0</v>
      </c>
      <c r="C35" s="53">
        <f>B35+1</f>
        <v>1</v>
      </c>
      <c r="D35" s="53">
        <f t="shared" ref="D35:L35" si="0">C35+1</f>
        <v>2</v>
      </c>
      <c r="E35" s="53">
        <f t="shared" si="0"/>
        <v>3</v>
      </c>
      <c r="F35" s="53">
        <f t="shared" si="0"/>
        <v>4</v>
      </c>
      <c r="G35" s="53">
        <f t="shared" si="0"/>
        <v>5</v>
      </c>
      <c r="H35" s="53">
        <f t="shared" si="0"/>
        <v>6</v>
      </c>
      <c r="I35" s="53">
        <f t="shared" si="0"/>
        <v>7</v>
      </c>
      <c r="J35" s="53">
        <f t="shared" si="0"/>
        <v>8</v>
      </c>
      <c r="K35" s="53">
        <f t="shared" si="0"/>
        <v>9</v>
      </c>
      <c r="L35" s="54">
        <f t="shared" si="0"/>
        <v>10</v>
      </c>
    </row>
    <row r="36" spans="1:13" ht="18" customHeight="1" x14ac:dyDescent="0.2">
      <c r="A36" s="55" t="s">
        <v>64</v>
      </c>
      <c r="B36" s="56">
        <v>1</v>
      </c>
      <c r="C36" s="57">
        <f t="shared" ref="C36:L36" si="1">B36*(1+$D$16)</f>
        <v>1.04</v>
      </c>
      <c r="D36" s="57">
        <f t="shared" si="1"/>
        <v>1.0816000000000001</v>
      </c>
      <c r="E36" s="57">
        <f t="shared" si="1"/>
        <v>1.1248640000000001</v>
      </c>
      <c r="F36" s="57">
        <f t="shared" si="1"/>
        <v>1.1698585600000002</v>
      </c>
      <c r="G36" s="57">
        <f t="shared" si="1"/>
        <v>1.2166529024000003</v>
      </c>
      <c r="H36" s="57">
        <f t="shared" si="1"/>
        <v>1.2653190184960004</v>
      </c>
      <c r="I36" s="57">
        <f t="shared" si="1"/>
        <v>1.3159317792358405</v>
      </c>
      <c r="J36" s="57">
        <f t="shared" si="1"/>
        <v>1.3685690504052741</v>
      </c>
      <c r="K36" s="57">
        <f t="shared" si="1"/>
        <v>1.4233118124214852</v>
      </c>
      <c r="L36" s="58">
        <f t="shared" si="1"/>
        <v>1.4802442849183446</v>
      </c>
    </row>
    <row r="39" spans="1:13" ht="18" customHeight="1" x14ac:dyDescent="0.25">
      <c r="A39" s="59" t="s">
        <v>198</v>
      </c>
      <c r="B39" s="60"/>
      <c r="C39" s="60"/>
      <c r="D39" s="60"/>
      <c r="E39" s="60"/>
      <c r="F39" s="60"/>
      <c r="G39" s="60"/>
      <c r="H39" s="60"/>
      <c r="I39" s="60"/>
      <c r="J39" s="60"/>
      <c r="K39" s="60"/>
      <c r="L39" s="60"/>
      <c r="M39" s="61"/>
    </row>
    <row r="40" spans="1:13" ht="18" customHeight="1" x14ac:dyDescent="0.25">
      <c r="A40" s="52" t="s">
        <v>56</v>
      </c>
      <c r="B40" s="62"/>
      <c r="C40" s="62"/>
      <c r="D40" s="62"/>
      <c r="E40" s="62"/>
      <c r="F40" s="62"/>
      <c r="G40" s="62"/>
      <c r="H40" s="62"/>
      <c r="I40" s="62"/>
      <c r="J40" s="62"/>
      <c r="K40" s="62"/>
      <c r="L40" s="62"/>
      <c r="M40" s="63"/>
    </row>
    <row r="41" spans="1:13" ht="18" customHeight="1" x14ac:dyDescent="0.25">
      <c r="A41" s="52" t="s">
        <v>65</v>
      </c>
      <c r="B41" s="53">
        <v>0</v>
      </c>
      <c r="C41" s="53">
        <f>B41+1</f>
        <v>1</v>
      </c>
      <c r="D41" s="53">
        <f t="shared" ref="D41:L41" si="2">C41+1</f>
        <v>2</v>
      </c>
      <c r="E41" s="53">
        <f t="shared" si="2"/>
        <v>3</v>
      </c>
      <c r="F41" s="53">
        <f t="shared" si="2"/>
        <v>4</v>
      </c>
      <c r="G41" s="53">
        <f t="shared" si="2"/>
        <v>5</v>
      </c>
      <c r="H41" s="53">
        <f t="shared" si="2"/>
        <v>6</v>
      </c>
      <c r="I41" s="53">
        <f t="shared" si="2"/>
        <v>7</v>
      </c>
      <c r="J41" s="53">
        <f t="shared" si="2"/>
        <v>8</v>
      </c>
      <c r="K41" s="53">
        <f t="shared" si="2"/>
        <v>9</v>
      </c>
      <c r="L41" s="53">
        <f t="shared" si="2"/>
        <v>10</v>
      </c>
      <c r="M41" s="63"/>
    </row>
    <row r="42" spans="1:13" ht="18" customHeight="1" x14ac:dyDescent="0.2">
      <c r="A42" s="64" t="s">
        <v>197</v>
      </c>
      <c r="B42" s="62"/>
      <c r="C42" s="62">
        <f>B45</f>
        <v>120</v>
      </c>
      <c r="D42" s="62">
        <f t="shared" ref="D42:L42" si="3">C45</f>
        <v>108</v>
      </c>
      <c r="E42" s="62">
        <f t="shared" si="3"/>
        <v>96</v>
      </c>
      <c r="F42" s="62">
        <f t="shared" si="3"/>
        <v>84</v>
      </c>
      <c r="G42" s="62">
        <f t="shared" si="3"/>
        <v>72</v>
      </c>
      <c r="H42" s="62">
        <f t="shared" si="3"/>
        <v>60</v>
      </c>
      <c r="I42" s="62">
        <f t="shared" si="3"/>
        <v>48</v>
      </c>
      <c r="J42" s="62">
        <f t="shared" si="3"/>
        <v>36</v>
      </c>
      <c r="K42" s="62">
        <f t="shared" si="3"/>
        <v>24</v>
      </c>
      <c r="L42" s="65">
        <f t="shared" si="3"/>
        <v>12</v>
      </c>
      <c r="M42" s="63" t="s">
        <v>70</v>
      </c>
    </row>
    <row r="43" spans="1:13" ht="18" customHeight="1" x14ac:dyDescent="0.2">
      <c r="A43" s="64" t="s">
        <v>67</v>
      </c>
      <c r="B43" s="62"/>
      <c r="C43" s="62">
        <f>$B$45/$K$12</f>
        <v>12</v>
      </c>
      <c r="D43" s="62">
        <f t="shared" ref="D43:K43" si="4">$B$45/$K$12</f>
        <v>12</v>
      </c>
      <c r="E43" s="62">
        <f t="shared" si="4"/>
        <v>12</v>
      </c>
      <c r="F43" s="62">
        <f t="shared" si="4"/>
        <v>12</v>
      </c>
      <c r="G43" s="62">
        <f t="shared" si="4"/>
        <v>12</v>
      </c>
      <c r="H43" s="62">
        <f t="shared" si="4"/>
        <v>12</v>
      </c>
      <c r="I43" s="62">
        <f t="shared" si="4"/>
        <v>12</v>
      </c>
      <c r="J43" s="62">
        <f t="shared" si="4"/>
        <v>12</v>
      </c>
      <c r="K43" s="62">
        <f t="shared" si="4"/>
        <v>12</v>
      </c>
      <c r="L43" s="62"/>
      <c r="M43" s="63"/>
    </row>
    <row r="44" spans="1:13" ht="18" customHeight="1" x14ac:dyDescent="0.2">
      <c r="A44" s="64" t="s">
        <v>68</v>
      </c>
      <c r="B44" s="62"/>
      <c r="C44" s="62">
        <f>B44+C43</f>
        <v>12</v>
      </c>
      <c r="D44" s="62">
        <f t="shared" ref="D44:K44" si="5">C44+D43</f>
        <v>24</v>
      </c>
      <c r="E44" s="62">
        <f t="shared" si="5"/>
        <v>36</v>
      </c>
      <c r="F44" s="62">
        <f t="shared" si="5"/>
        <v>48</v>
      </c>
      <c r="G44" s="62">
        <f t="shared" si="5"/>
        <v>60</v>
      </c>
      <c r="H44" s="62">
        <f t="shared" si="5"/>
        <v>72</v>
      </c>
      <c r="I44" s="62">
        <f t="shared" si="5"/>
        <v>84</v>
      </c>
      <c r="J44" s="62">
        <f t="shared" si="5"/>
        <v>96</v>
      </c>
      <c r="K44" s="62">
        <f t="shared" si="5"/>
        <v>108</v>
      </c>
      <c r="L44" s="62"/>
      <c r="M44" s="63"/>
    </row>
    <row r="45" spans="1:13" ht="18" customHeight="1" x14ac:dyDescent="0.2">
      <c r="A45" s="55" t="s">
        <v>69</v>
      </c>
      <c r="B45" s="56">
        <v>120</v>
      </c>
      <c r="C45" s="56">
        <f>C42-C43</f>
        <v>108</v>
      </c>
      <c r="D45" s="56">
        <f t="shared" ref="D45:K45" si="6">D42-D43</f>
        <v>96</v>
      </c>
      <c r="E45" s="56">
        <f t="shared" si="6"/>
        <v>84</v>
      </c>
      <c r="F45" s="56">
        <f t="shared" si="6"/>
        <v>72</v>
      </c>
      <c r="G45" s="56">
        <f t="shared" si="6"/>
        <v>60</v>
      </c>
      <c r="H45" s="56">
        <f t="shared" si="6"/>
        <v>48</v>
      </c>
      <c r="I45" s="56">
        <f t="shared" si="6"/>
        <v>36</v>
      </c>
      <c r="J45" s="56">
        <f t="shared" si="6"/>
        <v>24</v>
      </c>
      <c r="K45" s="56">
        <f t="shared" si="6"/>
        <v>12</v>
      </c>
      <c r="L45" s="56"/>
      <c r="M45" s="66"/>
    </row>
    <row r="48" spans="1:13" ht="18" customHeight="1" x14ac:dyDescent="0.25">
      <c r="A48" s="67" t="s">
        <v>199</v>
      </c>
      <c r="B48" s="68"/>
      <c r="C48" s="68"/>
      <c r="D48" s="68"/>
      <c r="E48" s="68"/>
      <c r="F48" s="68"/>
      <c r="G48" s="69"/>
    </row>
    <row r="49" spans="1:12" ht="18" customHeight="1" x14ac:dyDescent="0.25">
      <c r="A49" s="52" t="s">
        <v>65</v>
      </c>
      <c r="B49" s="53">
        <v>0</v>
      </c>
      <c r="C49" s="53">
        <f>B49+1</f>
        <v>1</v>
      </c>
      <c r="D49" s="53">
        <f>C49+1</f>
        <v>2</v>
      </c>
      <c r="E49" s="53">
        <f>D49+1</f>
        <v>3</v>
      </c>
      <c r="F49" s="53">
        <f>E49+1</f>
        <v>4</v>
      </c>
      <c r="G49" s="54">
        <f>F49+1</f>
        <v>5</v>
      </c>
    </row>
    <row r="50" spans="1:12" ht="18" customHeight="1" x14ac:dyDescent="0.25">
      <c r="A50" s="64" t="s">
        <v>71</v>
      </c>
      <c r="B50" s="62"/>
      <c r="C50" s="70">
        <f>B55</f>
        <v>84</v>
      </c>
      <c r="D50" s="70">
        <f t="shared" ref="D50:G50" si="7">C55</f>
        <v>69.24669884181111</v>
      </c>
      <c r="E50" s="70">
        <f t="shared" si="7"/>
        <v>53.534433108339954</v>
      </c>
      <c r="F50" s="70">
        <f t="shared" si="7"/>
        <v>36.800870102193166</v>
      </c>
      <c r="G50" s="71">
        <f t="shared" si="7"/>
        <v>18.97962550064684</v>
      </c>
      <c r="H50" s="1"/>
      <c r="I50" s="1"/>
      <c r="J50" s="1"/>
      <c r="K50" s="1"/>
      <c r="L50" s="1"/>
    </row>
    <row r="51" spans="1:12" ht="18" customHeight="1" x14ac:dyDescent="0.2">
      <c r="A51" s="64" t="s">
        <v>72</v>
      </c>
      <c r="B51" s="62"/>
      <c r="C51" s="70">
        <f>C50*$D$23</f>
        <v>5.46</v>
      </c>
      <c r="D51" s="70">
        <f>D50*$D$23</f>
        <v>4.5010354247177222</v>
      </c>
      <c r="E51" s="70">
        <f>E50*$D$23</f>
        <v>3.4797381520420969</v>
      </c>
      <c r="F51" s="70">
        <f>F50*$D$23</f>
        <v>2.3920565566425558</v>
      </c>
      <c r="G51" s="71">
        <f>G50*$D$23</f>
        <v>1.2336756575420447</v>
      </c>
    </row>
    <row r="52" spans="1:12" ht="18" customHeight="1" x14ac:dyDescent="0.2">
      <c r="A52" s="64" t="s">
        <v>73</v>
      </c>
      <c r="B52" s="62"/>
      <c r="C52" s="70">
        <f>-PMT($D$23,$D$24,$C$50)</f>
        <v>20.213301158188884</v>
      </c>
      <c r="D52" s="70">
        <f>-PMT($D$23,$D$24,$C$50)</f>
        <v>20.213301158188884</v>
      </c>
      <c r="E52" s="70">
        <f>-PMT($D$23,$D$24,$C$50)</f>
        <v>20.213301158188884</v>
      </c>
      <c r="F52" s="70">
        <f>-PMT($D$23,$D$24,$C$50)</f>
        <v>20.213301158188884</v>
      </c>
      <c r="G52" s="71">
        <f>-PMT($D$23,$D$24,$C$50)</f>
        <v>20.213301158188884</v>
      </c>
    </row>
    <row r="53" spans="1:12" ht="18" customHeight="1" x14ac:dyDescent="0.2">
      <c r="A53" s="64" t="s">
        <v>27</v>
      </c>
      <c r="B53" s="62"/>
      <c r="C53" s="70">
        <f>C52-C54</f>
        <v>14.753301158188883</v>
      </c>
      <c r="D53" s="70">
        <f t="shared" ref="D53:G53" si="8">D52-D54</f>
        <v>15.712265733471162</v>
      </c>
      <c r="E53" s="70">
        <f t="shared" si="8"/>
        <v>16.733563006146788</v>
      </c>
      <c r="F53" s="70">
        <f t="shared" si="8"/>
        <v>17.821244601546329</v>
      </c>
      <c r="G53" s="71">
        <f t="shared" si="8"/>
        <v>18.97962550064684</v>
      </c>
    </row>
    <row r="54" spans="1:12" ht="18" customHeight="1" x14ac:dyDescent="0.2">
      <c r="A54" s="64" t="s">
        <v>74</v>
      </c>
      <c r="B54" s="62"/>
      <c r="C54" s="70">
        <f>C51</f>
        <v>5.46</v>
      </c>
      <c r="D54" s="70">
        <f t="shared" ref="D54:G54" si="9">D51</f>
        <v>4.5010354247177222</v>
      </c>
      <c r="E54" s="70">
        <f t="shared" si="9"/>
        <v>3.4797381520420969</v>
      </c>
      <c r="F54" s="70">
        <f t="shared" si="9"/>
        <v>2.3920565566425558</v>
      </c>
      <c r="G54" s="71">
        <f t="shared" si="9"/>
        <v>1.2336756575420447</v>
      </c>
    </row>
    <row r="55" spans="1:12" ht="18" customHeight="1" x14ac:dyDescent="0.2">
      <c r="A55" s="55" t="s">
        <v>75</v>
      </c>
      <c r="B55" s="56">
        <f>$D$22*K11</f>
        <v>84</v>
      </c>
      <c r="C55" s="57">
        <f>C50+C51-C52</f>
        <v>69.24669884181111</v>
      </c>
      <c r="D55" s="57">
        <f t="shared" ref="D55:G55" si="10">D50+D51-D52</f>
        <v>53.534433108339954</v>
      </c>
      <c r="E55" s="57">
        <f t="shared" si="10"/>
        <v>36.800870102193166</v>
      </c>
      <c r="F55" s="57">
        <f t="shared" si="10"/>
        <v>18.97962550064684</v>
      </c>
      <c r="G55" s="72">
        <f t="shared" si="10"/>
        <v>0</v>
      </c>
    </row>
    <row r="57" spans="1:12" ht="18" customHeight="1" x14ac:dyDescent="0.25">
      <c r="A57" s="73" t="s">
        <v>200</v>
      </c>
      <c r="B57" s="74"/>
      <c r="C57" s="74"/>
      <c r="D57" s="74"/>
      <c r="E57" s="74"/>
      <c r="F57" s="74"/>
      <c r="G57" s="74"/>
      <c r="H57" s="74"/>
      <c r="I57" s="74"/>
      <c r="J57" s="74"/>
      <c r="K57" s="74"/>
      <c r="L57" s="75"/>
    </row>
    <row r="58" spans="1:12" ht="18" customHeight="1" x14ac:dyDescent="0.25">
      <c r="A58" s="76" t="s">
        <v>201</v>
      </c>
      <c r="B58" s="77"/>
      <c r="C58" s="77"/>
      <c r="D58" s="77"/>
      <c r="E58" s="77"/>
      <c r="F58" s="77"/>
      <c r="G58" s="77"/>
      <c r="H58" s="77"/>
      <c r="I58" s="77"/>
      <c r="J58" s="77"/>
      <c r="K58" s="77"/>
      <c r="L58" s="78"/>
    </row>
    <row r="59" spans="1:12" ht="18" customHeight="1" x14ac:dyDescent="0.25">
      <c r="A59" s="52" t="s">
        <v>65</v>
      </c>
      <c r="B59" s="53">
        <v>0</v>
      </c>
      <c r="C59" s="53">
        <f>B59+1</f>
        <v>1</v>
      </c>
      <c r="D59" s="53">
        <f t="shared" ref="D59:L59" si="11">C59+1</f>
        <v>2</v>
      </c>
      <c r="E59" s="53">
        <f t="shared" si="11"/>
        <v>3</v>
      </c>
      <c r="F59" s="53">
        <f t="shared" si="11"/>
        <v>4</v>
      </c>
      <c r="G59" s="53">
        <f t="shared" si="11"/>
        <v>5</v>
      </c>
      <c r="H59" s="53">
        <f t="shared" si="11"/>
        <v>6</v>
      </c>
      <c r="I59" s="53">
        <f t="shared" si="11"/>
        <v>7</v>
      </c>
      <c r="J59" s="53">
        <f t="shared" si="11"/>
        <v>8</v>
      </c>
      <c r="K59" s="53">
        <f t="shared" si="11"/>
        <v>9</v>
      </c>
      <c r="L59" s="54">
        <f t="shared" si="11"/>
        <v>10</v>
      </c>
    </row>
    <row r="60" spans="1:12" ht="18" customHeight="1" x14ac:dyDescent="0.2">
      <c r="A60" s="64" t="s">
        <v>77</v>
      </c>
      <c r="B60" s="70">
        <v>1</v>
      </c>
      <c r="C60" s="70">
        <f>B60*(1+$D$7)</f>
        <v>1.06</v>
      </c>
      <c r="D60" s="70">
        <f t="shared" ref="D60:K60" si="12">C60*(1+$D$7)</f>
        <v>1.1236000000000002</v>
      </c>
      <c r="E60" s="70">
        <f t="shared" si="12"/>
        <v>1.1910160000000003</v>
      </c>
      <c r="F60" s="70">
        <f t="shared" si="12"/>
        <v>1.2624769600000003</v>
      </c>
      <c r="G60" s="70">
        <f t="shared" si="12"/>
        <v>1.3382255776000005</v>
      </c>
      <c r="H60" s="70">
        <f t="shared" si="12"/>
        <v>1.4185191122560006</v>
      </c>
      <c r="I60" s="70">
        <f t="shared" si="12"/>
        <v>1.5036302589913606</v>
      </c>
      <c r="J60" s="70">
        <f t="shared" si="12"/>
        <v>1.5938480745308423</v>
      </c>
      <c r="K60" s="70">
        <f t="shared" si="12"/>
        <v>1.6894789590026928</v>
      </c>
      <c r="L60" s="63"/>
    </row>
    <row r="61" spans="1:12" ht="18" customHeight="1" x14ac:dyDescent="0.2">
      <c r="A61" s="64" t="s">
        <v>79</v>
      </c>
      <c r="B61" s="70">
        <f t="shared" ref="B61:K61" si="13">$D$5*B60*B36</f>
        <v>0.06</v>
      </c>
      <c r="C61" s="70">
        <f>$D$5*C60*C36</f>
        <v>6.6144000000000008E-2</v>
      </c>
      <c r="D61" s="70">
        <f t="shared" si="13"/>
        <v>7.2917145600000011E-2</v>
      </c>
      <c r="E61" s="70">
        <f t="shared" si="13"/>
        <v>8.038386130944003E-2</v>
      </c>
      <c r="F61" s="70">
        <f t="shared" si="13"/>
        <v>8.8615168707526684E-2</v>
      </c>
      <c r="G61" s="70">
        <f t="shared" si="13"/>
        <v>9.7689361983177458E-2</v>
      </c>
      <c r="H61" s="70">
        <f t="shared" si="13"/>
        <v>0.10769275265025482</v>
      </c>
      <c r="I61" s="70">
        <f t="shared" si="13"/>
        <v>0.11872049052164092</v>
      </c>
      <c r="J61" s="70">
        <f t="shared" si="13"/>
        <v>0.13087746875105696</v>
      </c>
      <c r="K61" s="70">
        <f t="shared" si="13"/>
        <v>0.14427932155116521</v>
      </c>
      <c r="L61" s="63"/>
    </row>
    <row r="62" spans="1:12" ht="18" customHeight="1" x14ac:dyDescent="0.2">
      <c r="A62" s="64" t="s">
        <v>78</v>
      </c>
      <c r="B62" s="70">
        <f t="shared" ref="B62:K62" si="14">$D$6*B60*B36</f>
        <v>7.0000000000000007E-2</v>
      </c>
      <c r="C62" s="70">
        <f t="shared" si="14"/>
        <v>7.7168000000000014E-2</v>
      </c>
      <c r="D62" s="70">
        <f t="shared" si="14"/>
        <v>8.5070003200000022E-2</v>
      </c>
      <c r="E62" s="70">
        <f t="shared" si="14"/>
        <v>9.3781171527680049E-2</v>
      </c>
      <c r="F62" s="70">
        <f t="shared" si="14"/>
        <v>0.10338436349211448</v>
      </c>
      <c r="G62" s="70">
        <f t="shared" si="14"/>
        <v>0.11397092231370703</v>
      </c>
      <c r="H62" s="70">
        <f t="shared" si="14"/>
        <v>0.12564154475863065</v>
      </c>
      <c r="I62" s="70">
        <f t="shared" si="14"/>
        <v>0.13850723894191444</v>
      </c>
      <c r="J62" s="70">
        <f t="shared" si="14"/>
        <v>0.15269038020956649</v>
      </c>
      <c r="K62" s="70">
        <f t="shared" si="14"/>
        <v>0.16832587514302608</v>
      </c>
      <c r="L62" s="63"/>
    </row>
    <row r="63" spans="1:12" ht="18" customHeight="1" x14ac:dyDescent="0.2">
      <c r="A63" s="64"/>
      <c r="B63" s="62"/>
      <c r="C63" s="62"/>
      <c r="D63" s="62"/>
      <c r="E63" s="62"/>
      <c r="F63" s="62"/>
      <c r="G63" s="62"/>
      <c r="H63" s="62"/>
      <c r="I63" s="62"/>
      <c r="J63" s="62"/>
      <c r="K63" s="62"/>
      <c r="L63" s="63"/>
    </row>
    <row r="64" spans="1:12" ht="18" customHeight="1" x14ac:dyDescent="0.25">
      <c r="A64" s="76" t="s">
        <v>202</v>
      </c>
      <c r="B64" s="77"/>
      <c r="C64" s="77"/>
      <c r="D64" s="77"/>
      <c r="E64" s="77"/>
      <c r="F64" s="77"/>
      <c r="G64" s="77"/>
      <c r="H64" s="77"/>
      <c r="I64" s="77"/>
      <c r="J64" s="77"/>
      <c r="K64" s="77"/>
      <c r="L64" s="78"/>
    </row>
    <row r="65" spans="1:12" ht="18" customHeight="1" x14ac:dyDescent="0.25">
      <c r="A65" s="52" t="s">
        <v>65</v>
      </c>
      <c r="B65" s="53">
        <v>0</v>
      </c>
      <c r="C65" s="53">
        <f>B65+1</f>
        <v>1</v>
      </c>
      <c r="D65" s="53">
        <f t="shared" ref="D65:L65" si="15">C65+1</f>
        <v>2</v>
      </c>
      <c r="E65" s="53">
        <f t="shared" si="15"/>
        <v>3</v>
      </c>
      <c r="F65" s="53">
        <f t="shared" si="15"/>
        <v>4</v>
      </c>
      <c r="G65" s="53">
        <f t="shared" si="15"/>
        <v>5</v>
      </c>
      <c r="H65" s="53">
        <f t="shared" si="15"/>
        <v>6</v>
      </c>
      <c r="I65" s="53">
        <f t="shared" si="15"/>
        <v>7</v>
      </c>
      <c r="J65" s="53">
        <f t="shared" si="15"/>
        <v>8</v>
      </c>
      <c r="K65" s="53">
        <f t="shared" si="15"/>
        <v>9</v>
      </c>
      <c r="L65" s="54">
        <f t="shared" si="15"/>
        <v>10</v>
      </c>
    </row>
    <row r="66" spans="1:12" ht="18" customHeight="1" x14ac:dyDescent="0.2">
      <c r="A66" s="64" t="s">
        <v>82</v>
      </c>
      <c r="B66" s="62"/>
      <c r="C66" s="62">
        <f>$D$8*$D$10*$D$31</f>
        <v>18928</v>
      </c>
      <c r="D66" s="62">
        <f t="shared" ref="D66:E66" si="16">$D$8*$D$10*$D$31</f>
        <v>18928</v>
      </c>
      <c r="E66" s="62">
        <f t="shared" si="16"/>
        <v>18928</v>
      </c>
      <c r="F66" s="62">
        <f>$D$8*$D$11*$D$31</f>
        <v>22984</v>
      </c>
      <c r="G66" s="62">
        <f t="shared" ref="G66:H66" si="17">$D$8*$D$11*$D$31</f>
        <v>22984</v>
      </c>
      <c r="H66" s="62">
        <f t="shared" si="17"/>
        <v>22984</v>
      </c>
      <c r="I66" s="62">
        <f>$D$8*$D$12*$D$31</f>
        <v>25688</v>
      </c>
      <c r="J66" s="62">
        <f t="shared" ref="J66:K66" si="18">$D$8*$D$12*$D$31</f>
        <v>25688</v>
      </c>
      <c r="K66" s="62">
        <f t="shared" si="18"/>
        <v>25688</v>
      </c>
      <c r="L66" s="63"/>
    </row>
    <row r="67" spans="1:12" ht="18" customHeight="1" x14ac:dyDescent="0.2">
      <c r="A67" s="64" t="s">
        <v>81</v>
      </c>
      <c r="B67" s="62"/>
      <c r="C67" s="62">
        <f>$D$9*$D$10*$D$31</f>
        <v>4732</v>
      </c>
      <c r="D67" s="62">
        <f t="shared" ref="D67:E67" si="19">$D$9*$D$10*$D$31</f>
        <v>4732</v>
      </c>
      <c r="E67" s="62">
        <f t="shared" si="19"/>
        <v>4732</v>
      </c>
      <c r="F67" s="62">
        <f>$D$9*$D$11*$D$31</f>
        <v>5746</v>
      </c>
      <c r="G67" s="62">
        <f t="shared" ref="G67:H67" si="20">$D$9*$D$11*$D$31</f>
        <v>5746</v>
      </c>
      <c r="H67" s="62">
        <f t="shared" si="20"/>
        <v>5746</v>
      </c>
      <c r="I67" s="62">
        <f>$D$9*$D$12*$D$31</f>
        <v>6422</v>
      </c>
      <c r="J67" s="62">
        <f t="shared" ref="J67:K67" si="21">$D$9*$D$12*$D$31</f>
        <v>6422</v>
      </c>
      <c r="K67" s="62">
        <f t="shared" si="21"/>
        <v>6422</v>
      </c>
      <c r="L67" s="63"/>
    </row>
    <row r="68" spans="1:12" ht="18" customHeight="1" x14ac:dyDescent="0.2">
      <c r="A68" s="64"/>
      <c r="B68" s="62"/>
      <c r="C68" s="62"/>
      <c r="D68" s="62"/>
      <c r="E68" s="62"/>
      <c r="F68" s="62"/>
      <c r="G68" s="62"/>
      <c r="H68" s="62"/>
      <c r="I68" s="62"/>
      <c r="J68" s="62"/>
      <c r="K68" s="62"/>
      <c r="L68" s="63"/>
    </row>
    <row r="69" spans="1:12" ht="18" customHeight="1" x14ac:dyDescent="0.25">
      <c r="A69" s="79" t="s">
        <v>80</v>
      </c>
      <c r="B69" s="80"/>
      <c r="C69" s="81">
        <f>C61*C66+C62*C67</f>
        <v>1617.1326080000003</v>
      </c>
      <c r="D69" s="81">
        <f t="shared" ref="D69:K69" si="22">D61*D66+D62*D67</f>
        <v>1782.7269870592004</v>
      </c>
      <c r="E69" s="81">
        <f t="shared" si="22"/>
        <v>1965.2782305340629</v>
      </c>
      <c r="F69" s="81">
        <f t="shared" si="22"/>
        <v>2630.7775901994833</v>
      </c>
      <c r="G69" s="81">
        <f t="shared" si="22"/>
        <v>2900.1692154359116</v>
      </c>
      <c r="H69" s="81">
        <f t="shared" si="22"/>
        <v>3197.1465430965491</v>
      </c>
      <c r="I69" s="81">
        <f t="shared" si="22"/>
        <v>3939.1854490048863</v>
      </c>
      <c r="J69" s="81">
        <f t="shared" si="22"/>
        <v>4342.5580389829875</v>
      </c>
      <c r="K69" s="81">
        <f t="shared" si="22"/>
        <v>4787.235982174845</v>
      </c>
      <c r="L69" s="82"/>
    </row>
    <row r="72" spans="1:12" ht="18" customHeight="1" x14ac:dyDescent="0.25">
      <c r="A72" s="83" t="s">
        <v>203</v>
      </c>
      <c r="B72" s="84"/>
      <c r="C72" s="84"/>
      <c r="D72" s="84"/>
      <c r="E72" s="84"/>
      <c r="F72" s="84"/>
      <c r="G72" s="84"/>
      <c r="H72" s="84"/>
      <c r="I72" s="84"/>
      <c r="J72" s="84"/>
      <c r="K72" s="84"/>
      <c r="L72" s="85"/>
    </row>
    <row r="73" spans="1:12" ht="18" customHeight="1" x14ac:dyDescent="0.25">
      <c r="A73" s="52" t="s">
        <v>65</v>
      </c>
      <c r="B73" s="53">
        <v>0</v>
      </c>
      <c r="C73" s="53">
        <f>B73+1</f>
        <v>1</v>
      </c>
      <c r="D73" s="53">
        <f t="shared" ref="D73:L73" si="23">C73+1</f>
        <v>2</v>
      </c>
      <c r="E73" s="53">
        <f t="shared" si="23"/>
        <v>3</v>
      </c>
      <c r="F73" s="53">
        <f t="shared" si="23"/>
        <v>4</v>
      </c>
      <c r="G73" s="53">
        <f t="shared" si="23"/>
        <v>5</v>
      </c>
      <c r="H73" s="53">
        <f t="shared" si="23"/>
        <v>6</v>
      </c>
      <c r="I73" s="53">
        <f t="shared" si="23"/>
        <v>7</v>
      </c>
      <c r="J73" s="53">
        <f t="shared" si="23"/>
        <v>8</v>
      </c>
      <c r="K73" s="53">
        <f t="shared" si="23"/>
        <v>9</v>
      </c>
      <c r="L73" s="54">
        <f t="shared" si="23"/>
        <v>10</v>
      </c>
    </row>
    <row r="74" spans="1:12" ht="18" customHeight="1" x14ac:dyDescent="0.2">
      <c r="A74" s="64" t="s">
        <v>85</v>
      </c>
      <c r="B74" s="62">
        <f>$P$5*B36*B66</f>
        <v>0</v>
      </c>
      <c r="C74" s="70">
        <f>$P$5*C36</f>
        <v>3.1199999999999999E-2</v>
      </c>
      <c r="D74" s="70">
        <f t="shared" ref="D74:J74" si="24">$P$5*D36</f>
        <v>3.2448000000000005E-2</v>
      </c>
      <c r="E74" s="70">
        <f t="shared" si="24"/>
        <v>3.3745919999999999E-2</v>
      </c>
      <c r="F74" s="70">
        <f t="shared" si="24"/>
        <v>3.5095756800000003E-2</v>
      </c>
      <c r="G74" s="70">
        <f t="shared" si="24"/>
        <v>3.649958707200001E-2</v>
      </c>
      <c r="H74" s="70">
        <f t="shared" si="24"/>
        <v>3.7959570554880008E-2</v>
      </c>
      <c r="I74" s="70">
        <f t="shared" si="24"/>
        <v>3.9477953377075214E-2</v>
      </c>
      <c r="J74" s="70">
        <f t="shared" si="24"/>
        <v>4.1057071512158219E-2</v>
      </c>
      <c r="K74" s="70">
        <f>$P$5*K36</f>
        <v>4.2699354372644556E-2</v>
      </c>
      <c r="L74" s="63"/>
    </row>
    <row r="75" spans="1:12" ht="18" customHeight="1" x14ac:dyDescent="0.2">
      <c r="A75" s="64" t="s">
        <v>86</v>
      </c>
      <c r="B75" s="62">
        <f>$P$6*B67*B36</f>
        <v>0</v>
      </c>
      <c r="C75" s="70">
        <f>$P$6*C36</f>
        <v>3.6400000000000002E-2</v>
      </c>
      <c r="D75" s="70">
        <f t="shared" ref="D75:K75" si="25">$P$6*D36</f>
        <v>3.7856000000000008E-2</v>
      </c>
      <c r="E75" s="70">
        <f t="shared" si="25"/>
        <v>3.9370240000000008E-2</v>
      </c>
      <c r="F75" s="70">
        <f t="shared" si="25"/>
        <v>4.0945049600000012E-2</v>
      </c>
      <c r="G75" s="70">
        <f t="shared" si="25"/>
        <v>4.2582851584000013E-2</v>
      </c>
      <c r="H75" s="70">
        <f t="shared" si="25"/>
        <v>4.4286165647360015E-2</v>
      </c>
      <c r="I75" s="70">
        <f t="shared" si="25"/>
        <v>4.6057612273254424E-2</v>
      </c>
      <c r="J75" s="70">
        <f t="shared" si="25"/>
        <v>4.7899916764184598E-2</v>
      </c>
      <c r="K75" s="70">
        <f t="shared" si="25"/>
        <v>4.9815913434751988E-2</v>
      </c>
      <c r="L75" s="63"/>
    </row>
    <row r="76" spans="1:12" ht="18" customHeight="1" x14ac:dyDescent="0.25">
      <c r="A76" s="86" t="s">
        <v>87</v>
      </c>
      <c r="B76" s="87"/>
      <c r="C76" s="88">
        <f>C74*C66+C67*C75</f>
        <v>762.7983999999999</v>
      </c>
      <c r="D76" s="88">
        <f t="shared" ref="D76:J76" si="26">D74*D66+D67*D75</f>
        <v>793.31033600000012</v>
      </c>
      <c r="E76" s="88">
        <f t="shared" si="26"/>
        <v>825.04274944000008</v>
      </c>
      <c r="F76" s="88">
        <f t="shared" si="26"/>
        <v>1041.9111292928001</v>
      </c>
      <c r="G76" s="88">
        <f t="shared" si="26"/>
        <v>1083.5875744645123</v>
      </c>
      <c r="H76" s="88">
        <f t="shared" si="26"/>
        <v>1126.9310774430928</v>
      </c>
      <c r="I76" s="88">
        <f t="shared" si="26"/>
        <v>1309.891652369148</v>
      </c>
      <c r="J76" s="88">
        <f t="shared" si="26"/>
        <v>1362.2873184639138</v>
      </c>
      <c r="K76" s="88">
        <f>K74*K66+K67*K75</f>
        <v>1416.7788112024707</v>
      </c>
      <c r="L76" s="89"/>
    </row>
    <row r="77" spans="1:12" ht="18" customHeight="1" x14ac:dyDescent="0.2">
      <c r="A77" s="64"/>
      <c r="B77" s="62"/>
      <c r="C77" s="62"/>
      <c r="D77" s="62"/>
      <c r="E77" s="62"/>
      <c r="F77" s="62"/>
      <c r="G77" s="62"/>
      <c r="H77" s="62"/>
      <c r="I77" s="62"/>
      <c r="J77" s="62"/>
      <c r="K77" s="62"/>
      <c r="L77" s="63"/>
    </row>
    <row r="78" spans="1:12" ht="18" customHeight="1" x14ac:dyDescent="0.25">
      <c r="A78" s="90" t="s">
        <v>204</v>
      </c>
      <c r="B78" s="91"/>
      <c r="C78" s="91"/>
      <c r="D78" s="91"/>
      <c r="E78" s="91"/>
      <c r="F78" s="91"/>
      <c r="G78" s="91"/>
      <c r="H78" s="91"/>
      <c r="I78" s="91"/>
      <c r="J78" s="91"/>
      <c r="K78" s="91"/>
      <c r="L78" s="92"/>
    </row>
    <row r="79" spans="1:12" ht="18" customHeight="1" x14ac:dyDescent="0.25">
      <c r="A79" s="52" t="s">
        <v>65</v>
      </c>
      <c r="B79" s="53">
        <v>0</v>
      </c>
      <c r="C79" s="53">
        <f>B79+1</f>
        <v>1</v>
      </c>
      <c r="D79" s="53">
        <f t="shared" ref="D79:L79" si="27">C79+1</f>
        <v>2</v>
      </c>
      <c r="E79" s="53">
        <f t="shared" si="27"/>
        <v>3</v>
      </c>
      <c r="F79" s="53">
        <f t="shared" si="27"/>
        <v>4</v>
      </c>
      <c r="G79" s="53">
        <f t="shared" si="27"/>
        <v>5</v>
      </c>
      <c r="H79" s="53">
        <f t="shared" si="27"/>
        <v>6</v>
      </c>
      <c r="I79" s="53">
        <f t="shared" si="27"/>
        <v>7</v>
      </c>
      <c r="J79" s="53">
        <f t="shared" si="27"/>
        <v>8</v>
      </c>
      <c r="K79" s="53">
        <f t="shared" si="27"/>
        <v>9</v>
      </c>
      <c r="L79" s="54">
        <f t="shared" si="27"/>
        <v>10</v>
      </c>
    </row>
    <row r="80" spans="1:12" ht="18" customHeight="1" x14ac:dyDescent="0.2">
      <c r="A80" s="64" t="s">
        <v>55</v>
      </c>
      <c r="B80" s="62"/>
      <c r="C80" s="93">
        <f>$P$29*C36</f>
        <v>3.1200000000000004E-3</v>
      </c>
      <c r="D80" s="93">
        <f t="shared" ref="D80:K80" si="28">$P$29*D36</f>
        <v>3.2448000000000004E-3</v>
      </c>
      <c r="E80" s="93">
        <f t="shared" si="28"/>
        <v>3.3745920000000005E-3</v>
      </c>
      <c r="F80" s="93">
        <f t="shared" si="28"/>
        <v>3.5095756800000008E-3</v>
      </c>
      <c r="G80" s="93">
        <f t="shared" si="28"/>
        <v>3.6499587072000013E-3</v>
      </c>
      <c r="H80" s="93">
        <f t="shared" si="28"/>
        <v>3.7959570554880013E-3</v>
      </c>
      <c r="I80" s="93">
        <f t="shared" si="28"/>
        <v>3.9477953377075213E-3</v>
      </c>
      <c r="J80" s="93">
        <f t="shared" si="28"/>
        <v>4.1057071512158221E-3</v>
      </c>
      <c r="K80" s="93">
        <f t="shared" si="28"/>
        <v>4.2699354372644554E-3</v>
      </c>
      <c r="L80" s="63"/>
    </row>
    <row r="81" spans="1:12" ht="18" customHeight="1" x14ac:dyDescent="0.25">
      <c r="A81" s="86" t="s">
        <v>95</v>
      </c>
      <c r="B81" s="87"/>
      <c r="C81" s="88">
        <f>C80*(C66+C67)</f>
        <v>73.819200000000009</v>
      </c>
      <c r="D81" s="88">
        <f t="shared" ref="D81:K81" si="29">D80*(D66+D67)</f>
        <v>76.771968000000015</v>
      </c>
      <c r="E81" s="88">
        <f t="shared" si="29"/>
        <v>79.842846720000011</v>
      </c>
      <c r="F81" s="88">
        <f t="shared" si="29"/>
        <v>100.83010928640002</v>
      </c>
      <c r="G81" s="88">
        <f t="shared" si="29"/>
        <v>104.86331365785604</v>
      </c>
      <c r="H81" s="88">
        <f t="shared" si="29"/>
        <v>109.05784620417027</v>
      </c>
      <c r="I81" s="88">
        <f t="shared" si="29"/>
        <v>126.76370829378851</v>
      </c>
      <c r="J81" s="88">
        <f t="shared" si="29"/>
        <v>131.83425662554004</v>
      </c>
      <c r="K81" s="88">
        <f t="shared" si="29"/>
        <v>137.10762689056168</v>
      </c>
      <c r="L81" s="89"/>
    </row>
    <row r="82" spans="1:12" ht="18" customHeight="1" x14ac:dyDescent="0.2">
      <c r="A82" s="64"/>
      <c r="B82" s="62"/>
      <c r="C82" s="62"/>
      <c r="D82" s="62"/>
      <c r="E82" s="62"/>
      <c r="F82" s="62"/>
      <c r="G82" s="62"/>
      <c r="H82" s="62"/>
      <c r="I82" s="62"/>
      <c r="J82" s="62"/>
      <c r="K82" s="62"/>
      <c r="L82" s="63"/>
    </row>
    <row r="83" spans="1:12" ht="18" customHeight="1" x14ac:dyDescent="0.25">
      <c r="A83" s="90" t="s">
        <v>205</v>
      </c>
      <c r="B83" s="91"/>
      <c r="C83" s="91"/>
      <c r="D83" s="91"/>
      <c r="E83" s="91"/>
      <c r="F83" s="91"/>
      <c r="G83" s="91"/>
      <c r="H83" s="91"/>
      <c r="I83" s="91"/>
      <c r="J83" s="91"/>
      <c r="K83" s="91"/>
      <c r="L83" s="92"/>
    </row>
    <row r="84" spans="1:12" ht="18" customHeight="1" x14ac:dyDescent="0.25">
      <c r="A84" s="52" t="s">
        <v>65</v>
      </c>
      <c r="B84" s="53">
        <v>0</v>
      </c>
      <c r="C84" s="53">
        <f>B84+1</f>
        <v>1</v>
      </c>
      <c r="D84" s="53">
        <f t="shared" ref="D84:L84" si="30">C84+1</f>
        <v>2</v>
      </c>
      <c r="E84" s="53">
        <f t="shared" si="30"/>
        <v>3</v>
      </c>
      <c r="F84" s="53">
        <f t="shared" si="30"/>
        <v>4</v>
      </c>
      <c r="G84" s="53">
        <f t="shared" si="30"/>
        <v>5</v>
      </c>
      <c r="H84" s="53">
        <f t="shared" si="30"/>
        <v>6</v>
      </c>
      <c r="I84" s="53">
        <f t="shared" si="30"/>
        <v>7</v>
      </c>
      <c r="J84" s="53">
        <f t="shared" si="30"/>
        <v>8</v>
      </c>
      <c r="K84" s="53">
        <f t="shared" si="30"/>
        <v>9</v>
      </c>
      <c r="L84" s="54">
        <f t="shared" si="30"/>
        <v>10</v>
      </c>
    </row>
    <row r="85" spans="1:12" ht="18" customHeight="1" x14ac:dyDescent="0.25">
      <c r="A85" s="52" t="s">
        <v>88</v>
      </c>
      <c r="B85" s="62">
        <v>1</v>
      </c>
      <c r="C85" s="70">
        <f>(1+$P$11)^C84</f>
        <v>1.06</v>
      </c>
      <c r="D85" s="70">
        <f t="shared" ref="D85:K85" si="31">(1+$P$11)^D84</f>
        <v>1.1236000000000002</v>
      </c>
      <c r="E85" s="70">
        <f t="shared" si="31"/>
        <v>1.1910160000000003</v>
      </c>
      <c r="F85" s="70">
        <f t="shared" si="31"/>
        <v>1.2624769600000003</v>
      </c>
      <c r="G85" s="70">
        <f t="shared" si="31"/>
        <v>1.3382255776000005</v>
      </c>
      <c r="H85" s="70">
        <f t="shared" si="31"/>
        <v>1.4185191122560006</v>
      </c>
      <c r="I85" s="70">
        <f t="shared" si="31"/>
        <v>1.5036302589913608</v>
      </c>
      <c r="J85" s="70">
        <f t="shared" si="31"/>
        <v>1.5938480745308423</v>
      </c>
      <c r="K85" s="70">
        <f t="shared" si="31"/>
        <v>1.6894789590026928</v>
      </c>
      <c r="L85" s="71"/>
    </row>
    <row r="86" spans="1:12" ht="18" customHeight="1" x14ac:dyDescent="0.25">
      <c r="A86" s="52" t="s">
        <v>49</v>
      </c>
      <c r="B86" s="62"/>
      <c r="C86" s="70">
        <f t="shared" ref="C86:K86" si="32">$P$9*$P$10*C85*C36</f>
        <v>16.536000000000001</v>
      </c>
      <c r="D86" s="70">
        <f t="shared" si="32"/>
        <v>18.229286400000007</v>
      </c>
      <c r="E86" s="70">
        <f t="shared" si="32"/>
        <v>20.095965327360005</v>
      </c>
      <c r="F86" s="70">
        <f t="shared" si="32"/>
        <v>22.153792176881673</v>
      </c>
      <c r="G86" s="70">
        <f t="shared" si="32"/>
        <v>24.422340495794362</v>
      </c>
      <c r="H86" s="70">
        <f t="shared" si="32"/>
        <v>26.923188162563708</v>
      </c>
      <c r="I86" s="70">
        <f t="shared" si="32"/>
        <v>29.680122630410235</v>
      </c>
      <c r="J86" s="70">
        <f t="shared" si="32"/>
        <v>32.719367187764242</v>
      </c>
      <c r="K86" s="70">
        <f t="shared" si="32"/>
        <v>36.069830387791306</v>
      </c>
      <c r="L86" s="63"/>
    </row>
    <row r="87" spans="1:12" ht="18" customHeight="1" x14ac:dyDescent="0.25">
      <c r="A87" s="52" t="s">
        <v>51</v>
      </c>
      <c r="B87" s="62"/>
      <c r="C87" s="70">
        <f t="shared" ref="C87:K87" si="33">$P$13*$P$14*C36*C85</f>
        <v>6.6144000000000007</v>
      </c>
      <c r="D87" s="70">
        <f t="shared" si="33"/>
        <v>7.2917145600000026</v>
      </c>
      <c r="E87" s="70">
        <f t="shared" si="33"/>
        <v>8.0383861309440032</v>
      </c>
      <c r="F87" s="70">
        <f t="shared" si="33"/>
        <v>8.8615168707526699</v>
      </c>
      <c r="G87" s="70">
        <f t="shared" si="33"/>
        <v>9.7689361983177445</v>
      </c>
      <c r="H87" s="70">
        <f t="shared" si="33"/>
        <v>10.769275265025483</v>
      </c>
      <c r="I87" s="70">
        <f t="shared" si="33"/>
        <v>11.872049052164096</v>
      </c>
      <c r="J87" s="70">
        <f t="shared" si="33"/>
        <v>13.087746875105697</v>
      </c>
      <c r="K87" s="70">
        <f t="shared" si="33"/>
        <v>14.427932155116522</v>
      </c>
      <c r="L87" s="63"/>
    </row>
    <row r="88" spans="1:12" ht="18" customHeight="1" x14ac:dyDescent="0.25">
      <c r="A88" s="52" t="s">
        <v>54</v>
      </c>
      <c r="B88" s="62"/>
      <c r="C88" s="70">
        <f t="shared" ref="C88:K88" si="34">$P$17*$P$18*C36*C85</f>
        <v>44.096000000000004</v>
      </c>
      <c r="D88" s="70">
        <f t="shared" si="34"/>
        <v>48.61143040000001</v>
      </c>
      <c r="E88" s="70">
        <f t="shared" si="34"/>
        <v>53.589240872960019</v>
      </c>
      <c r="F88" s="70">
        <f t="shared" si="34"/>
        <v>59.076779138351128</v>
      </c>
      <c r="G88" s="70">
        <f t="shared" si="34"/>
        <v>65.12624132211829</v>
      </c>
      <c r="H88" s="70">
        <f t="shared" si="34"/>
        <v>71.795168433503221</v>
      </c>
      <c r="I88" s="70">
        <f t="shared" si="34"/>
        <v>79.14699368109396</v>
      </c>
      <c r="J88" s="70">
        <f t="shared" si="34"/>
        <v>87.251645834037973</v>
      </c>
      <c r="K88" s="70">
        <f t="shared" si="34"/>
        <v>96.186214367443469</v>
      </c>
      <c r="L88" s="63"/>
    </row>
    <row r="89" spans="1:12" ht="18" customHeight="1" x14ac:dyDescent="0.25">
      <c r="A89" s="86" t="s">
        <v>89</v>
      </c>
      <c r="B89" s="87"/>
      <c r="C89" s="88">
        <f>SUM(C86:C88)*12</f>
        <v>806.95680000000016</v>
      </c>
      <c r="D89" s="88">
        <f t="shared" ref="D89:K89" si="35">SUM(D86:D88)*12</f>
        <v>889.58917632000032</v>
      </c>
      <c r="E89" s="88">
        <f t="shared" si="35"/>
        <v>980.68310797516835</v>
      </c>
      <c r="F89" s="88">
        <f t="shared" si="35"/>
        <v>1081.1050582318258</v>
      </c>
      <c r="G89" s="88">
        <f t="shared" si="35"/>
        <v>1191.8102161947647</v>
      </c>
      <c r="H89" s="88">
        <f t="shared" si="35"/>
        <v>1313.851582333109</v>
      </c>
      <c r="I89" s="88">
        <f t="shared" si="35"/>
        <v>1448.3899843640197</v>
      </c>
      <c r="J89" s="88">
        <f t="shared" si="35"/>
        <v>1596.7051187628952</v>
      </c>
      <c r="K89" s="88">
        <f t="shared" si="35"/>
        <v>1760.2077229242157</v>
      </c>
      <c r="L89" s="89"/>
    </row>
    <row r="90" spans="1:12" ht="18" customHeight="1" x14ac:dyDescent="0.25">
      <c r="A90" s="52"/>
      <c r="B90" s="62"/>
      <c r="C90" s="62"/>
      <c r="D90" s="62"/>
      <c r="E90" s="62"/>
      <c r="F90" s="62"/>
      <c r="G90" s="62"/>
      <c r="H90" s="62"/>
      <c r="I90" s="62"/>
      <c r="J90" s="62"/>
      <c r="K90" s="62"/>
      <c r="L90" s="63"/>
    </row>
    <row r="91" spans="1:12" ht="18" customHeight="1" x14ac:dyDescent="0.25">
      <c r="A91" s="90" t="s">
        <v>206</v>
      </c>
      <c r="B91" s="91"/>
      <c r="C91" s="91"/>
      <c r="D91" s="91"/>
      <c r="E91" s="91"/>
      <c r="F91" s="91"/>
      <c r="G91" s="91"/>
      <c r="H91" s="91"/>
      <c r="I91" s="91"/>
      <c r="J91" s="91"/>
      <c r="K91" s="91"/>
      <c r="L91" s="92"/>
    </row>
    <row r="92" spans="1:12" ht="18" customHeight="1" x14ac:dyDescent="0.25">
      <c r="A92" s="52" t="s">
        <v>65</v>
      </c>
      <c r="B92" s="53">
        <v>0</v>
      </c>
      <c r="C92" s="53">
        <f>B92+1</f>
        <v>1</v>
      </c>
      <c r="D92" s="53">
        <f t="shared" ref="D92:L92" si="36">C92+1</f>
        <v>2</v>
      </c>
      <c r="E92" s="53">
        <f t="shared" si="36"/>
        <v>3</v>
      </c>
      <c r="F92" s="53">
        <f t="shared" si="36"/>
        <v>4</v>
      </c>
      <c r="G92" s="53">
        <f t="shared" si="36"/>
        <v>5</v>
      </c>
      <c r="H92" s="53">
        <f t="shared" si="36"/>
        <v>6</v>
      </c>
      <c r="I92" s="53">
        <f t="shared" si="36"/>
        <v>7</v>
      </c>
      <c r="J92" s="53">
        <f t="shared" si="36"/>
        <v>8</v>
      </c>
      <c r="K92" s="53">
        <f t="shared" si="36"/>
        <v>9</v>
      </c>
      <c r="L92" s="54">
        <f t="shared" si="36"/>
        <v>10</v>
      </c>
    </row>
    <row r="93" spans="1:12" ht="18" customHeight="1" x14ac:dyDescent="0.2">
      <c r="A93" s="64" t="s">
        <v>90</v>
      </c>
      <c r="B93" s="62"/>
      <c r="C93" s="70">
        <f t="shared" ref="C93:K93" si="37">$P$22*C36</f>
        <v>8.32</v>
      </c>
      <c r="D93" s="70">
        <f t="shared" si="37"/>
        <v>8.6528000000000009</v>
      </c>
      <c r="E93" s="70">
        <f t="shared" si="37"/>
        <v>8.9989120000000007</v>
      </c>
      <c r="F93" s="70">
        <f t="shared" si="37"/>
        <v>9.3588684800000017</v>
      </c>
      <c r="G93" s="70">
        <f t="shared" si="37"/>
        <v>9.7332232192000028</v>
      </c>
      <c r="H93" s="70">
        <f t="shared" si="37"/>
        <v>10.122552147968003</v>
      </c>
      <c r="I93" s="70">
        <f t="shared" si="37"/>
        <v>10.527454233886724</v>
      </c>
      <c r="J93" s="70">
        <f t="shared" si="37"/>
        <v>10.948552403242193</v>
      </c>
      <c r="K93" s="70">
        <f t="shared" si="37"/>
        <v>11.386494499371882</v>
      </c>
      <c r="L93" s="63"/>
    </row>
    <row r="94" spans="1:12" ht="18" customHeight="1" x14ac:dyDescent="0.2">
      <c r="A94" s="64" t="s">
        <v>41</v>
      </c>
      <c r="B94" s="62"/>
      <c r="C94" s="70">
        <f>$K$6*C36</f>
        <v>10.4</v>
      </c>
      <c r="D94" s="70">
        <f>$K$6*D36</f>
        <v>10.816000000000001</v>
      </c>
      <c r="E94" s="70">
        <f>$K$6*E36</f>
        <v>11.248640000000002</v>
      </c>
      <c r="F94" s="70">
        <f>$E$94*F36*(1+$K$8)</f>
        <v>14.475249571594246</v>
      </c>
      <c r="G94" s="70">
        <f>$E$94*G36*(1+$K$8)</f>
        <v>15.054259554458017</v>
      </c>
      <c r="H94" s="70">
        <f>$E$94*H36*(1+$K$8)</f>
        <v>15.656429936636338</v>
      </c>
      <c r="I94" s="70">
        <f>$H$94*I36*(1+$K$8)</f>
        <v>22.663073073299049</v>
      </c>
      <c r="J94" s="70">
        <f>$H$94*J36*(1+$K$8)</f>
        <v>23.569595996231008</v>
      </c>
      <c r="K94" s="70">
        <f>$H$94*K36*(1+$K$8)</f>
        <v>24.512379836080253</v>
      </c>
      <c r="L94" s="71">
        <f>K94*L36*$K$9</f>
        <v>18.142155081052731</v>
      </c>
    </row>
    <row r="95" spans="1:12" ht="18" customHeight="1" x14ac:dyDescent="0.2">
      <c r="A95" s="64" t="s">
        <v>34</v>
      </c>
      <c r="B95" s="62"/>
      <c r="C95" s="70">
        <f t="shared" ref="C95:K95" si="38">$K$17*C36</f>
        <v>1.04</v>
      </c>
      <c r="D95" s="70">
        <f t="shared" si="38"/>
        <v>1.0816000000000001</v>
      </c>
      <c r="E95" s="70">
        <f t="shared" si="38"/>
        <v>1.1248640000000001</v>
      </c>
      <c r="F95" s="70">
        <f t="shared" si="38"/>
        <v>1.1698585600000002</v>
      </c>
      <c r="G95" s="70">
        <f t="shared" si="38"/>
        <v>1.2166529024000003</v>
      </c>
      <c r="H95" s="70">
        <f t="shared" si="38"/>
        <v>1.2653190184960004</v>
      </c>
      <c r="I95" s="70">
        <f t="shared" si="38"/>
        <v>1.3159317792358405</v>
      </c>
      <c r="J95" s="70">
        <f t="shared" si="38"/>
        <v>1.3685690504052741</v>
      </c>
      <c r="K95" s="70">
        <f t="shared" si="38"/>
        <v>1.4233118124214852</v>
      </c>
      <c r="L95" s="63"/>
    </row>
    <row r="96" spans="1:12" ht="18" customHeight="1" x14ac:dyDescent="0.25">
      <c r="A96" s="86" t="s">
        <v>92</v>
      </c>
      <c r="B96" s="87"/>
      <c r="C96" s="88">
        <f t="shared" ref="C96:L96" si="39">SUM(C93:C95)*$D$32</f>
        <v>237.11999999999998</v>
      </c>
      <c r="D96" s="88">
        <f t="shared" si="39"/>
        <v>246.60480000000004</v>
      </c>
      <c r="E96" s="88">
        <f t="shared" si="39"/>
        <v>256.46899200000001</v>
      </c>
      <c r="F96" s="88">
        <f t="shared" si="39"/>
        <v>300.04771933913094</v>
      </c>
      <c r="G96" s="88">
        <f t="shared" si="39"/>
        <v>312.04962811269627</v>
      </c>
      <c r="H96" s="88">
        <f t="shared" si="39"/>
        <v>324.53161323720411</v>
      </c>
      <c r="I96" s="88">
        <f t="shared" si="39"/>
        <v>414.07750903705937</v>
      </c>
      <c r="J96" s="88">
        <f t="shared" si="39"/>
        <v>430.64060939854176</v>
      </c>
      <c r="K96" s="88">
        <f t="shared" si="39"/>
        <v>447.86623377448348</v>
      </c>
      <c r="L96" s="94">
        <f t="shared" si="39"/>
        <v>217.70586097263276</v>
      </c>
    </row>
    <row r="97" spans="1:12" ht="18" customHeight="1" x14ac:dyDescent="0.25">
      <c r="A97" s="95" t="s">
        <v>102</v>
      </c>
      <c r="B97" s="96"/>
      <c r="C97" s="97">
        <f>C81+C96+C89+C76+C43</f>
        <v>1892.6944000000001</v>
      </c>
      <c r="D97" s="97">
        <f t="shared" ref="D97:K97" si="40">D81+D96+D89+D76+D43</f>
        <v>2018.2762803200003</v>
      </c>
      <c r="E97" s="97">
        <f t="shared" si="40"/>
        <v>2154.0376961351685</v>
      </c>
      <c r="F97" s="97">
        <f t="shared" si="40"/>
        <v>2535.8940161501569</v>
      </c>
      <c r="G97" s="97">
        <f t="shared" si="40"/>
        <v>2704.3107324298294</v>
      </c>
      <c r="H97" s="97">
        <f t="shared" si="40"/>
        <v>2886.3721192175763</v>
      </c>
      <c r="I97" s="97">
        <f t="shared" si="40"/>
        <v>3311.1228540640159</v>
      </c>
      <c r="J97" s="97">
        <f t="shared" si="40"/>
        <v>3533.4673032508908</v>
      </c>
      <c r="K97" s="97">
        <f t="shared" si="40"/>
        <v>3773.9603947917312</v>
      </c>
      <c r="L97" s="98">
        <f>L81+L96+L89+L76+L42</f>
        <v>229.70586097263276</v>
      </c>
    </row>
    <row r="98" spans="1:12" ht="18" customHeight="1" x14ac:dyDescent="0.2">
      <c r="A98" s="64"/>
      <c r="B98" s="62"/>
      <c r="C98" s="62"/>
      <c r="D98" s="62"/>
      <c r="E98" s="62"/>
      <c r="F98" s="62"/>
      <c r="G98" s="62"/>
      <c r="H98" s="62"/>
      <c r="I98" s="62"/>
      <c r="J98" s="62"/>
      <c r="K98" s="62"/>
      <c r="L98" s="63"/>
    </row>
    <row r="99" spans="1:12" ht="18" customHeight="1" x14ac:dyDescent="0.25">
      <c r="A99" s="90" t="s">
        <v>207</v>
      </c>
      <c r="B99" s="91"/>
      <c r="C99" s="91"/>
      <c r="D99" s="91"/>
      <c r="E99" s="91"/>
      <c r="F99" s="91"/>
      <c r="G99" s="91"/>
      <c r="H99" s="91"/>
      <c r="I99" s="91"/>
      <c r="J99" s="91"/>
      <c r="K99" s="91"/>
      <c r="L99" s="92"/>
    </row>
    <row r="100" spans="1:12" ht="18" customHeight="1" x14ac:dyDescent="0.25">
      <c r="A100" s="52" t="s">
        <v>65</v>
      </c>
      <c r="B100" s="53">
        <v>0</v>
      </c>
      <c r="C100" s="53">
        <f>B100+1</f>
        <v>1</v>
      </c>
      <c r="D100" s="53">
        <f t="shared" ref="D100:L100" si="41">C100+1</f>
        <v>2</v>
      </c>
      <c r="E100" s="53">
        <f t="shared" si="41"/>
        <v>3</v>
      </c>
      <c r="F100" s="53">
        <f t="shared" si="41"/>
        <v>4</v>
      </c>
      <c r="G100" s="53">
        <f t="shared" si="41"/>
        <v>5</v>
      </c>
      <c r="H100" s="53">
        <f t="shared" si="41"/>
        <v>6</v>
      </c>
      <c r="I100" s="53">
        <f t="shared" si="41"/>
        <v>7</v>
      </c>
      <c r="J100" s="53">
        <f t="shared" si="41"/>
        <v>8</v>
      </c>
      <c r="K100" s="53">
        <f t="shared" si="41"/>
        <v>9</v>
      </c>
      <c r="L100" s="54">
        <f t="shared" si="41"/>
        <v>10</v>
      </c>
    </row>
    <row r="101" spans="1:12" ht="18" customHeight="1" x14ac:dyDescent="0.25">
      <c r="A101" s="86" t="s">
        <v>91</v>
      </c>
      <c r="B101" s="87"/>
      <c r="C101" s="88">
        <f>$P$26*C36*$D$32</f>
        <v>249.60000000000002</v>
      </c>
      <c r="D101" s="88">
        <f t="shared" ref="D101:J101" si="42">$P$26*D36*$D$32</f>
        <v>259.584</v>
      </c>
      <c r="E101" s="88">
        <f t="shared" si="42"/>
        <v>269.96736000000004</v>
      </c>
      <c r="F101" s="88">
        <f t="shared" si="42"/>
        <v>280.76605440000003</v>
      </c>
      <c r="G101" s="88">
        <f t="shared" si="42"/>
        <v>291.99669657600009</v>
      </c>
      <c r="H101" s="88">
        <f t="shared" si="42"/>
        <v>303.67656443904008</v>
      </c>
      <c r="I101" s="88">
        <f t="shared" si="42"/>
        <v>315.82362701660168</v>
      </c>
      <c r="J101" s="88">
        <f t="shared" si="42"/>
        <v>328.45657209726573</v>
      </c>
      <c r="K101" s="88">
        <f>$P$26*K36*$D$32</f>
        <v>341.5948349811564</v>
      </c>
      <c r="L101" s="94">
        <f>K101*P27*L36</f>
        <v>252.82190111924089</v>
      </c>
    </row>
    <row r="102" spans="1:12" ht="18" customHeight="1" x14ac:dyDescent="0.2">
      <c r="A102" s="64"/>
      <c r="B102" s="62"/>
      <c r="C102" s="62"/>
      <c r="D102" s="62"/>
      <c r="E102" s="62"/>
      <c r="F102" s="62"/>
      <c r="G102" s="62"/>
      <c r="H102" s="62"/>
      <c r="I102" s="62"/>
      <c r="J102" s="62"/>
      <c r="K102" s="62"/>
      <c r="L102" s="63"/>
    </row>
    <row r="103" spans="1:12" ht="18" customHeight="1" x14ac:dyDescent="0.25">
      <c r="A103" s="90" t="s">
        <v>208</v>
      </c>
      <c r="B103" s="91"/>
      <c r="C103" s="91"/>
      <c r="D103" s="91"/>
      <c r="E103" s="91"/>
      <c r="F103" s="91"/>
      <c r="G103" s="91"/>
      <c r="H103" s="91"/>
      <c r="I103" s="91"/>
      <c r="J103" s="91"/>
      <c r="K103" s="91"/>
      <c r="L103" s="92"/>
    </row>
    <row r="104" spans="1:12" ht="18" customHeight="1" x14ac:dyDescent="0.25">
      <c r="A104" s="52" t="s">
        <v>65</v>
      </c>
      <c r="B104" s="53">
        <v>0</v>
      </c>
      <c r="C104" s="53">
        <f>B104+1</f>
        <v>1</v>
      </c>
      <c r="D104" s="53">
        <f t="shared" ref="D104:L104" si="43">C104+1</f>
        <v>2</v>
      </c>
      <c r="E104" s="53">
        <f t="shared" si="43"/>
        <v>3</v>
      </c>
      <c r="F104" s="53">
        <f t="shared" si="43"/>
        <v>4</v>
      </c>
      <c r="G104" s="53">
        <f t="shared" si="43"/>
        <v>5</v>
      </c>
      <c r="H104" s="53">
        <f t="shared" si="43"/>
        <v>6</v>
      </c>
      <c r="I104" s="53">
        <f t="shared" si="43"/>
        <v>7</v>
      </c>
      <c r="J104" s="53">
        <f t="shared" si="43"/>
        <v>8</v>
      </c>
      <c r="K104" s="53">
        <f t="shared" si="43"/>
        <v>9</v>
      </c>
      <c r="L104" s="54">
        <f t="shared" si="43"/>
        <v>10</v>
      </c>
    </row>
    <row r="105" spans="1:12" ht="18" customHeight="1" x14ac:dyDescent="0.25">
      <c r="A105" s="99" t="s">
        <v>52</v>
      </c>
      <c r="B105" s="56"/>
      <c r="C105" s="57">
        <f>$K$17/$D$4</f>
        <v>0.1111111111111111</v>
      </c>
      <c r="D105" s="57">
        <f t="shared" ref="D105:K105" si="44">$K$17/$D$4</f>
        <v>0.1111111111111111</v>
      </c>
      <c r="E105" s="57">
        <f t="shared" si="44"/>
        <v>0.1111111111111111</v>
      </c>
      <c r="F105" s="57">
        <f t="shared" si="44"/>
        <v>0.1111111111111111</v>
      </c>
      <c r="G105" s="57">
        <f t="shared" si="44"/>
        <v>0.1111111111111111</v>
      </c>
      <c r="H105" s="57">
        <f t="shared" si="44"/>
        <v>0.1111111111111111</v>
      </c>
      <c r="I105" s="57">
        <f t="shared" si="44"/>
        <v>0.1111111111111111</v>
      </c>
      <c r="J105" s="57">
        <f t="shared" si="44"/>
        <v>0.1111111111111111</v>
      </c>
      <c r="K105" s="57">
        <f t="shared" si="44"/>
        <v>0.1111111111111111</v>
      </c>
      <c r="L105" s="66"/>
    </row>
    <row r="107" spans="1:12" ht="18" customHeight="1" x14ac:dyDescent="0.25">
      <c r="A107" s="100" t="s">
        <v>209</v>
      </c>
      <c r="B107" s="101"/>
      <c r="C107" s="101"/>
      <c r="D107" s="101"/>
      <c r="E107" s="101"/>
      <c r="F107" s="101"/>
      <c r="G107" s="101"/>
      <c r="H107" s="101"/>
      <c r="I107" s="101"/>
      <c r="J107" s="101"/>
      <c r="K107" s="101"/>
      <c r="L107" s="102"/>
    </row>
    <row r="108" spans="1:12" ht="18" customHeight="1" x14ac:dyDescent="0.25">
      <c r="A108" s="52" t="s">
        <v>65</v>
      </c>
      <c r="B108" s="53">
        <v>0</v>
      </c>
      <c r="C108" s="53">
        <f>B108+1</f>
        <v>1</v>
      </c>
      <c r="D108" s="53">
        <f t="shared" ref="D108:L108" si="45">C108+1</f>
        <v>2</v>
      </c>
      <c r="E108" s="53">
        <f t="shared" si="45"/>
        <v>3</v>
      </c>
      <c r="F108" s="53">
        <f t="shared" si="45"/>
        <v>4</v>
      </c>
      <c r="G108" s="53">
        <f t="shared" si="45"/>
        <v>5</v>
      </c>
      <c r="H108" s="53">
        <f t="shared" si="45"/>
        <v>6</v>
      </c>
      <c r="I108" s="53">
        <f t="shared" si="45"/>
        <v>7</v>
      </c>
      <c r="J108" s="53">
        <f t="shared" si="45"/>
        <v>8</v>
      </c>
      <c r="K108" s="53">
        <f t="shared" si="45"/>
        <v>9</v>
      </c>
      <c r="L108" s="54">
        <f t="shared" si="45"/>
        <v>10</v>
      </c>
    </row>
    <row r="109" spans="1:12" ht="18" customHeight="1" x14ac:dyDescent="0.2">
      <c r="A109" s="64" t="s">
        <v>96</v>
      </c>
      <c r="B109" s="62"/>
      <c r="C109" s="70">
        <f t="shared" ref="C109:K109" si="46">C69</f>
        <v>1617.1326080000003</v>
      </c>
      <c r="D109" s="70">
        <f t="shared" si="46"/>
        <v>1782.7269870592004</v>
      </c>
      <c r="E109" s="70">
        <f t="shared" si="46"/>
        <v>1965.2782305340629</v>
      </c>
      <c r="F109" s="70">
        <f t="shared" si="46"/>
        <v>2630.7775901994833</v>
      </c>
      <c r="G109" s="70">
        <f t="shared" si="46"/>
        <v>2900.1692154359116</v>
      </c>
      <c r="H109" s="70">
        <f t="shared" si="46"/>
        <v>3197.1465430965491</v>
      </c>
      <c r="I109" s="70">
        <f t="shared" si="46"/>
        <v>3939.1854490048863</v>
      </c>
      <c r="J109" s="70">
        <f t="shared" si="46"/>
        <v>4342.5580389829875</v>
      </c>
      <c r="K109" s="70">
        <f t="shared" si="46"/>
        <v>4787.235982174845</v>
      </c>
      <c r="L109" s="63"/>
    </row>
    <row r="110" spans="1:12" ht="18" customHeight="1" x14ac:dyDescent="0.2">
      <c r="A110" s="64" t="s">
        <v>101</v>
      </c>
      <c r="B110" s="62"/>
      <c r="C110" s="70">
        <f t="shared" ref="C110:K110" si="47">C97</f>
        <v>1892.6944000000001</v>
      </c>
      <c r="D110" s="70">
        <f t="shared" si="47"/>
        <v>2018.2762803200003</v>
      </c>
      <c r="E110" s="70">
        <f t="shared" si="47"/>
        <v>2154.0376961351685</v>
      </c>
      <c r="F110" s="70">
        <f t="shared" si="47"/>
        <v>2535.8940161501569</v>
      </c>
      <c r="G110" s="70">
        <f t="shared" si="47"/>
        <v>2704.3107324298294</v>
      </c>
      <c r="H110" s="70">
        <f t="shared" si="47"/>
        <v>2886.3721192175763</v>
      </c>
      <c r="I110" s="70">
        <f t="shared" si="47"/>
        <v>3311.1228540640159</v>
      </c>
      <c r="J110" s="70">
        <f t="shared" si="47"/>
        <v>3533.4673032508908</v>
      </c>
      <c r="K110" s="70">
        <f t="shared" si="47"/>
        <v>3773.9603947917312</v>
      </c>
      <c r="L110" s="63"/>
    </row>
    <row r="111" spans="1:12" ht="18" customHeight="1" x14ac:dyDescent="0.25">
      <c r="A111" s="52" t="s">
        <v>52</v>
      </c>
      <c r="B111" s="62"/>
      <c r="C111" s="70">
        <f>C105</f>
        <v>0.1111111111111111</v>
      </c>
      <c r="D111" s="70">
        <f t="shared" ref="D111:K111" si="48">D105</f>
        <v>0.1111111111111111</v>
      </c>
      <c r="E111" s="70">
        <f t="shared" si="48"/>
        <v>0.1111111111111111</v>
      </c>
      <c r="F111" s="70">
        <f t="shared" si="48"/>
        <v>0.1111111111111111</v>
      </c>
      <c r="G111" s="70">
        <f t="shared" si="48"/>
        <v>0.1111111111111111</v>
      </c>
      <c r="H111" s="70">
        <f t="shared" si="48"/>
        <v>0.1111111111111111</v>
      </c>
      <c r="I111" s="70">
        <f t="shared" si="48"/>
        <v>0.1111111111111111</v>
      </c>
      <c r="J111" s="70">
        <f t="shared" si="48"/>
        <v>0.1111111111111111</v>
      </c>
      <c r="K111" s="70">
        <f t="shared" si="48"/>
        <v>0.1111111111111111</v>
      </c>
      <c r="L111" s="63"/>
    </row>
    <row r="112" spans="1:12" ht="18" customHeight="1" x14ac:dyDescent="0.2">
      <c r="A112" s="64" t="s">
        <v>103</v>
      </c>
      <c r="B112" s="62"/>
      <c r="C112" s="70">
        <f t="shared" ref="C112:K112" si="49">C101</f>
        <v>249.60000000000002</v>
      </c>
      <c r="D112" s="70">
        <f t="shared" si="49"/>
        <v>259.584</v>
      </c>
      <c r="E112" s="70">
        <f t="shared" si="49"/>
        <v>269.96736000000004</v>
      </c>
      <c r="F112" s="70">
        <f t="shared" si="49"/>
        <v>280.76605440000003</v>
      </c>
      <c r="G112" s="70">
        <f t="shared" si="49"/>
        <v>291.99669657600009</v>
      </c>
      <c r="H112" s="70">
        <f t="shared" si="49"/>
        <v>303.67656443904008</v>
      </c>
      <c r="I112" s="70">
        <f t="shared" si="49"/>
        <v>315.82362701660168</v>
      </c>
      <c r="J112" s="70">
        <f t="shared" si="49"/>
        <v>328.45657209726573</v>
      </c>
      <c r="K112" s="70">
        <f t="shared" si="49"/>
        <v>341.5948349811564</v>
      </c>
      <c r="L112" s="63"/>
    </row>
    <row r="113" spans="1:12" ht="18" customHeight="1" x14ac:dyDescent="0.2">
      <c r="A113" s="64" t="s">
        <v>97</v>
      </c>
      <c r="B113" s="62"/>
      <c r="C113" s="70">
        <f>C51</f>
        <v>5.46</v>
      </c>
      <c r="D113" s="70">
        <f>D51</f>
        <v>4.5010354247177222</v>
      </c>
      <c r="E113" s="70">
        <f>E51</f>
        <v>3.4797381520420969</v>
      </c>
      <c r="F113" s="70">
        <f>F51</f>
        <v>2.3920565566425558</v>
      </c>
      <c r="G113" s="70">
        <f>G51</f>
        <v>1.2336756575420447</v>
      </c>
      <c r="H113" s="62"/>
      <c r="I113" s="62"/>
      <c r="J113" s="62"/>
      <c r="K113" s="62"/>
      <c r="L113" s="63"/>
    </row>
    <row r="114" spans="1:12" ht="18" customHeight="1" x14ac:dyDescent="0.2">
      <c r="A114" s="64" t="s">
        <v>98</v>
      </c>
      <c r="B114" s="62"/>
      <c r="C114" s="70">
        <f>C109-C111-C110-C112-C113</f>
        <v>-530.73290311111089</v>
      </c>
      <c r="D114" s="70">
        <f t="shared" ref="D114:K114" si="50">D109-D111-D110-D112-D113</f>
        <v>-499.74543979662872</v>
      </c>
      <c r="E114" s="70">
        <f t="shared" si="50"/>
        <v>-462.31767486425883</v>
      </c>
      <c r="F114" s="70">
        <f t="shared" si="50"/>
        <v>-188.3856480184275</v>
      </c>
      <c r="G114" s="70">
        <f t="shared" si="50"/>
        <v>-97.48300033857123</v>
      </c>
      <c r="H114" s="70">
        <f t="shared" si="50"/>
        <v>6.9867483288214203</v>
      </c>
      <c r="I114" s="70">
        <f t="shared" si="50"/>
        <v>312.12785681315745</v>
      </c>
      <c r="J114" s="70">
        <f t="shared" si="50"/>
        <v>480.52305252371957</v>
      </c>
      <c r="K114" s="70">
        <f t="shared" si="50"/>
        <v>671.56964129084611</v>
      </c>
      <c r="L114" s="63"/>
    </row>
    <row r="115" spans="1:12" ht="18" customHeight="1" x14ac:dyDescent="0.25">
      <c r="A115" s="103" t="s">
        <v>99</v>
      </c>
      <c r="B115" s="104"/>
      <c r="C115" s="105">
        <f>IF(C114&lt;0,0,C114*$D$29)</f>
        <v>0</v>
      </c>
      <c r="D115" s="105">
        <f t="shared" ref="D115:K115" si="51">IF(D114&lt;0,0,D114*$D$29)</f>
        <v>0</v>
      </c>
      <c r="E115" s="105">
        <f t="shared" si="51"/>
        <v>0</v>
      </c>
      <c r="F115" s="105">
        <f t="shared" si="51"/>
        <v>0</v>
      </c>
      <c r="G115" s="105">
        <f t="shared" si="51"/>
        <v>0</v>
      </c>
      <c r="H115" s="105">
        <f t="shared" si="51"/>
        <v>0.1048012249323213</v>
      </c>
      <c r="I115" s="105">
        <f t="shared" si="51"/>
        <v>4.6819178521973619</v>
      </c>
      <c r="J115" s="105">
        <f t="shared" si="51"/>
        <v>7.2078457878557929</v>
      </c>
      <c r="K115" s="105">
        <f t="shared" si="51"/>
        <v>10.073544619362691</v>
      </c>
      <c r="L115" s="106"/>
    </row>
    <row r="116" spans="1:12" ht="18" customHeight="1" x14ac:dyDescent="0.2">
      <c r="A116" s="55" t="s">
        <v>100</v>
      </c>
      <c r="B116" s="56"/>
      <c r="C116" s="57">
        <f>C114-C115</f>
        <v>-530.73290311111089</v>
      </c>
      <c r="D116" s="57">
        <f t="shared" ref="D116:K116" si="52">D114-D115</f>
        <v>-499.74543979662872</v>
      </c>
      <c r="E116" s="57">
        <f t="shared" si="52"/>
        <v>-462.31767486425883</v>
      </c>
      <c r="F116" s="57">
        <f t="shared" si="52"/>
        <v>-188.3856480184275</v>
      </c>
      <c r="G116" s="57">
        <f t="shared" si="52"/>
        <v>-97.48300033857123</v>
      </c>
      <c r="H116" s="57">
        <f t="shared" si="52"/>
        <v>6.8819471038890994</v>
      </c>
      <c r="I116" s="57">
        <f t="shared" si="52"/>
        <v>307.44593896096006</v>
      </c>
      <c r="J116" s="57">
        <f t="shared" si="52"/>
        <v>473.3152067358638</v>
      </c>
      <c r="K116" s="57">
        <f t="shared" si="52"/>
        <v>661.49609667148343</v>
      </c>
      <c r="L116" s="66"/>
    </row>
    <row r="119" spans="1:12" ht="18" customHeight="1" x14ac:dyDescent="0.25">
      <c r="A119" s="107" t="s">
        <v>210</v>
      </c>
      <c r="B119" s="108"/>
      <c r="C119" s="108"/>
      <c r="D119" s="108"/>
      <c r="E119" s="108"/>
      <c r="F119" s="108"/>
      <c r="G119" s="108"/>
      <c r="H119" s="108"/>
      <c r="I119" s="108"/>
      <c r="J119" s="108"/>
      <c r="K119" s="108"/>
      <c r="L119" s="109"/>
    </row>
    <row r="120" spans="1:12" ht="18" customHeight="1" x14ac:dyDescent="0.25">
      <c r="A120" s="52" t="s">
        <v>65</v>
      </c>
      <c r="B120" s="53">
        <v>0</v>
      </c>
      <c r="C120" s="53">
        <f>B120+1</f>
        <v>1</v>
      </c>
      <c r="D120" s="53">
        <f t="shared" ref="D120:L120" si="53">C120+1</f>
        <v>2</v>
      </c>
      <c r="E120" s="53">
        <f t="shared" si="53"/>
        <v>3</v>
      </c>
      <c r="F120" s="53">
        <f t="shared" si="53"/>
        <v>4</v>
      </c>
      <c r="G120" s="53">
        <f t="shared" si="53"/>
        <v>5</v>
      </c>
      <c r="H120" s="53">
        <f t="shared" si="53"/>
        <v>6</v>
      </c>
      <c r="I120" s="53">
        <f t="shared" si="53"/>
        <v>7</v>
      </c>
      <c r="J120" s="53">
        <f t="shared" si="53"/>
        <v>8</v>
      </c>
      <c r="K120" s="53">
        <f t="shared" si="53"/>
        <v>9</v>
      </c>
      <c r="L120" s="54">
        <f t="shared" si="53"/>
        <v>10</v>
      </c>
    </row>
    <row r="121" spans="1:12" ht="18" customHeight="1" x14ac:dyDescent="0.2">
      <c r="A121" s="64" t="s">
        <v>13</v>
      </c>
      <c r="B121" s="62"/>
      <c r="C121" s="62">
        <f>$D$18*C69</f>
        <v>0</v>
      </c>
      <c r="D121" s="62">
        <f t="shared" ref="D121:K121" si="54">$D$18*D69</f>
        <v>0</v>
      </c>
      <c r="E121" s="62">
        <f t="shared" si="54"/>
        <v>0</v>
      </c>
      <c r="F121" s="62">
        <f t="shared" si="54"/>
        <v>0</v>
      </c>
      <c r="G121" s="62">
        <f t="shared" si="54"/>
        <v>0</v>
      </c>
      <c r="H121" s="62">
        <f t="shared" si="54"/>
        <v>0</v>
      </c>
      <c r="I121" s="62">
        <f t="shared" si="54"/>
        <v>0</v>
      </c>
      <c r="J121" s="62">
        <f t="shared" si="54"/>
        <v>0</v>
      </c>
      <c r="K121" s="62">
        <f t="shared" si="54"/>
        <v>0</v>
      </c>
      <c r="L121" s="63"/>
    </row>
    <row r="122" spans="1:12" ht="18" customHeight="1" x14ac:dyDescent="0.2">
      <c r="A122" s="64" t="s">
        <v>15</v>
      </c>
      <c r="B122" s="62"/>
      <c r="C122" s="70">
        <f>$D$20*C76</f>
        <v>38.139919999999996</v>
      </c>
      <c r="D122" s="70">
        <f t="shared" ref="D122:K122" si="55">$D$20*D76</f>
        <v>39.665516800000006</v>
      </c>
      <c r="E122" s="70">
        <f t="shared" si="55"/>
        <v>41.252137472000008</v>
      </c>
      <c r="F122" s="70">
        <f t="shared" si="55"/>
        <v>52.095556464640005</v>
      </c>
      <c r="G122" s="70">
        <f t="shared" si="55"/>
        <v>54.179378723225618</v>
      </c>
      <c r="H122" s="70">
        <f t="shared" si="55"/>
        <v>56.346553872154644</v>
      </c>
      <c r="I122" s="70">
        <f t="shared" si="55"/>
        <v>65.4945826184574</v>
      </c>
      <c r="J122" s="70">
        <f t="shared" si="55"/>
        <v>68.114365923195692</v>
      </c>
      <c r="K122" s="70">
        <f t="shared" si="55"/>
        <v>70.838940560123532</v>
      </c>
      <c r="L122" s="63"/>
    </row>
    <row r="123" spans="1:12" ht="18" customHeight="1" x14ac:dyDescent="0.2">
      <c r="A123" s="64" t="s">
        <v>14</v>
      </c>
      <c r="B123" s="62"/>
      <c r="C123" s="70">
        <f>$D$19*C69</f>
        <v>16.171326080000004</v>
      </c>
      <c r="D123" s="70">
        <f t="shared" ref="D123:K123" si="56">$D$19*D69</f>
        <v>17.827269870592005</v>
      </c>
      <c r="E123" s="70">
        <f t="shared" si="56"/>
        <v>19.652782305340629</v>
      </c>
      <c r="F123" s="70">
        <f t="shared" si="56"/>
        <v>26.307775901994834</v>
      </c>
      <c r="G123" s="70">
        <f t="shared" si="56"/>
        <v>29.001692154359116</v>
      </c>
      <c r="H123" s="70">
        <f t="shared" si="56"/>
        <v>31.971465430965491</v>
      </c>
      <c r="I123" s="70">
        <f t="shared" si="56"/>
        <v>39.391854490048864</v>
      </c>
      <c r="J123" s="70">
        <f t="shared" si="56"/>
        <v>43.425580389829875</v>
      </c>
      <c r="K123" s="70">
        <f t="shared" si="56"/>
        <v>47.872359821748454</v>
      </c>
      <c r="L123" s="63"/>
    </row>
    <row r="124" spans="1:12" ht="18" customHeight="1" x14ac:dyDescent="0.2">
      <c r="A124" s="110" t="s">
        <v>104</v>
      </c>
      <c r="B124" s="111"/>
      <c r="C124" s="111">
        <f>B121-C121</f>
        <v>0</v>
      </c>
      <c r="D124" s="111">
        <f t="shared" ref="D124:L126" si="57">C121-D121</f>
        <v>0</v>
      </c>
      <c r="E124" s="111">
        <f t="shared" si="57"/>
        <v>0</v>
      </c>
      <c r="F124" s="111">
        <f t="shared" si="57"/>
        <v>0</v>
      </c>
      <c r="G124" s="111">
        <f t="shared" si="57"/>
        <v>0</v>
      </c>
      <c r="H124" s="111">
        <f t="shared" si="57"/>
        <v>0</v>
      </c>
      <c r="I124" s="111">
        <f t="shared" si="57"/>
        <v>0</v>
      </c>
      <c r="J124" s="111">
        <f t="shared" si="57"/>
        <v>0</v>
      </c>
      <c r="K124" s="111">
        <f t="shared" si="57"/>
        <v>0</v>
      </c>
      <c r="L124" s="112">
        <f t="shared" si="57"/>
        <v>0</v>
      </c>
    </row>
    <row r="125" spans="1:12" ht="18" customHeight="1" x14ac:dyDescent="0.2">
      <c r="A125" s="110" t="s">
        <v>105</v>
      </c>
      <c r="B125" s="111"/>
      <c r="C125" s="113">
        <f>B122-C122</f>
        <v>-38.139919999999996</v>
      </c>
      <c r="D125" s="113">
        <f t="shared" si="57"/>
        <v>-1.5255968000000095</v>
      </c>
      <c r="E125" s="113">
        <f t="shared" si="57"/>
        <v>-1.5866206720000022</v>
      </c>
      <c r="F125" s="113">
        <f t="shared" si="57"/>
        <v>-10.843418992639997</v>
      </c>
      <c r="G125" s="113">
        <f t="shared" si="57"/>
        <v>-2.083822258585613</v>
      </c>
      <c r="H125" s="113">
        <f t="shared" si="57"/>
        <v>-2.1671751489290259</v>
      </c>
      <c r="I125" s="113">
        <f t="shared" si="57"/>
        <v>-9.1480287463027565</v>
      </c>
      <c r="J125" s="113">
        <f t="shared" si="57"/>
        <v>-2.6197833047382915</v>
      </c>
      <c r="K125" s="113">
        <f t="shared" si="57"/>
        <v>-2.7245746369278407</v>
      </c>
      <c r="L125" s="114">
        <f t="shared" si="57"/>
        <v>70.838940560123532</v>
      </c>
    </row>
    <row r="126" spans="1:12" ht="18" customHeight="1" x14ac:dyDescent="0.2">
      <c r="A126" s="115" t="s">
        <v>106</v>
      </c>
      <c r="B126" s="116"/>
      <c r="C126" s="117">
        <f>B123-C123</f>
        <v>-16.171326080000004</v>
      </c>
      <c r="D126" s="117">
        <f t="shared" si="57"/>
        <v>-1.6559437905920014</v>
      </c>
      <c r="E126" s="117">
        <f t="shared" si="57"/>
        <v>-1.8255124347486245</v>
      </c>
      <c r="F126" s="117">
        <f t="shared" si="57"/>
        <v>-6.6549935966542044</v>
      </c>
      <c r="G126" s="117">
        <f t="shared" si="57"/>
        <v>-2.6939162523642821</v>
      </c>
      <c r="H126" s="117">
        <f t="shared" si="57"/>
        <v>-2.9697732766063751</v>
      </c>
      <c r="I126" s="117">
        <f t="shared" si="57"/>
        <v>-7.420389059083373</v>
      </c>
      <c r="J126" s="117">
        <f t="shared" si="57"/>
        <v>-4.033725899781011</v>
      </c>
      <c r="K126" s="117">
        <f t="shared" si="57"/>
        <v>-4.4467794319185785</v>
      </c>
      <c r="L126" s="118">
        <f t="shared" si="57"/>
        <v>47.872359821748454</v>
      </c>
    </row>
    <row r="129" spans="1:12" ht="18" customHeight="1" x14ac:dyDescent="0.25">
      <c r="A129" s="100" t="s">
        <v>211</v>
      </c>
      <c r="B129" s="101"/>
      <c r="C129" s="101"/>
      <c r="D129" s="101"/>
      <c r="E129" s="101"/>
      <c r="F129" s="101"/>
      <c r="G129" s="101"/>
      <c r="H129" s="101"/>
      <c r="I129" s="101"/>
      <c r="J129" s="101"/>
      <c r="K129" s="101"/>
      <c r="L129" s="102"/>
    </row>
    <row r="130" spans="1:12" ht="18" customHeight="1" x14ac:dyDescent="0.25">
      <c r="A130" s="52" t="s">
        <v>65</v>
      </c>
      <c r="B130" s="53">
        <v>0</v>
      </c>
      <c r="C130" s="53">
        <f>B130+1</f>
        <v>1</v>
      </c>
      <c r="D130" s="53">
        <f t="shared" ref="D130:L130" si="58">C130+1</f>
        <v>2</v>
      </c>
      <c r="E130" s="53">
        <f t="shared" si="58"/>
        <v>3</v>
      </c>
      <c r="F130" s="53">
        <f t="shared" si="58"/>
        <v>4</v>
      </c>
      <c r="G130" s="53">
        <f t="shared" si="58"/>
        <v>5</v>
      </c>
      <c r="H130" s="53">
        <f t="shared" si="58"/>
        <v>6</v>
      </c>
      <c r="I130" s="53">
        <f t="shared" si="58"/>
        <v>7</v>
      </c>
      <c r="J130" s="53">
        <f t="shared" si="58"/>
        <v>8</v>
      </c>
      <c r="K130" s="53">
        <f t="shared" si="58"/>
        <v>9</v>
      </c>
      <c r="L130" s="54">
        <f t="shared" si="58"/>
        <v>10</v>
      </c>
    </row>
    <row r="131" spans="1:12" ht="18" customHeight="1" x14ac:dyDescent="0.25">
      <c r="A131" s="119" t="s">
        <v>107</v>
      </c>
      <c r="B131" s="120"/>
      <c r="C131" s="120"/>
      <c r="D131" s="120"/>
      <c r="E131" s="120"/>
      <c r="F131" s="120"/>
      <c r="G131" s="120"/>
      <c r="H131" s="120"/>
      <c r="I131" s="120"/>
      <c r="J131" s="120"/>
      <c r="K131" s="120"/>
      <c r="L131" s="121"/>
    </row>
    <row r="132" spans="1:12" ht="18" customHeight="1" x14ac:dyDescent="0.2">
      <c r="A132" s="64" t="s">
        <v>96</v>
      </c>
      <c r="B132" s="62"/>
      <c r="C132" s="70">
        <f>C69</f>
        <v>1617.1326080000003</v>
      </c>
      <c r="D132" s="70">
        <f t="shared" ref="D132:L132" si="59">D69</f>
        <v>1782.7269870592004</v>
      </c>
      <c r="E132" s="70">
        <f t="shared" si="59"/>
        <v>1965.2782305340629</v>
      </c>
      <c r="F132" s="70">
        <f t="shared" si="59"/>
        <v>2630.7775901994833</v>
      </c>
      <c r="G132" s="70">
        <f t="shared" si="59"/>
        <v>2900.1692154359116</v>
      </c>
      <c r="H132" s="70">
        <f t="shared" si="59"/>
        <v>3197.1465430965491</v>
      </c>
      <c r="I132" s="70">
        <f t="shared" si="59"/>
        <v>3939.1854490048863</v>
      </c>
      <c r="J132" s="70">
        <f t="shared" si="59"/>
        <v>4342.5580389829875</v>
      </c>
      <c r="K132" s="70">
        <f t="shared" si="59"/>
        <v>4787.235982174845</v>
      </c>
      <c r="L132" s="71">
        <f t="shared" si="59"/>
        <v>0</v>
      </c>
    </row>
    <row r="133" spans="1:12" ht="18" customHeight="1" x14ac:dyDescent="0.2">
      <c r="A133" s="64" t="s">
        <v>104</v>
      </c>
      <c r="B133" s="62"/>
      <c r="C133" s="62">
        <f>C124</f>
        <v>0</v>
      </c>
      <c r="D133" s="62">
        <f t="shared" ref="D133:L133" si="60">D124</f>
        <v>0</v>
      </c>
      <c r="E133" s="62">
        <f t="shared" si="60"/>
        <v>0</v>
      </c>
      <c r="F133" s="62">
        <f t="shared" si="60"/>
        <v>0</v>
      </c>
      <c r="G133" s="62">
        <f t="shared" si="60"/>
        <v>0</v>
      </c>
      <c r="H133" s="62">
        <f t="shared" si="60"/>
        <v>0</v>
      </c>
      <c r="I133" s="62">
        <f t="shared" si="60"/>
        <v>0</v>
      </c>
      <c r="J133" s="62">
        <f t="shared" si="60"/>
        <v>0</v>
      </c>
      <c r="K133" s="62">
        <f t="shared" si="60"/>
        <v>0</v>
      </c>
      <c r="L133" s="63">
        <f t="shared" si="60"/>
        <v>0</v>
      </c>
    </row>
    <row r="134" spans="1:12" ht="18" customHeight="1" x14ac:dyDescent="0.2">
      <c r="A134" s="64" t="s">
        <v>70</v>
      </c>
      <c r="B134" s="62"/>
      <c r="C134" s="62"/>
      <c r="D134" s="62"/>
      <c r="E134" s="62"/>
      <c r="F134" s="62"/>
      <c r="G134" s="62"/>
      <c r="H134" s="62"/>
      <c r="I134" s="62"/>
      <c r="J134" s="62"/>
      <c r="K134" s="62"/>
      <c r="L134" s="63">
        <f>L42</f>
        <v>12</v>
      </c>
    </row>
    <row r="135" spans="1:12" ht="18" customHeight="1" x14ac:dyDescent="0.25">
      <c r="A135" s="122" t="s">
        <v>108</v>
      </c>
      <c r="B135" s="123"/>
      <c r="C135" s="124">
        <f>SUM(C132:C134)</f>
        <v>1617.1326080000003</v>
      </c>
      <c r="D135" s="124">
        <f t="shared" ref="D135:L135" si="61">SUM(D132:D134)</f>
        <v>1782.7269870592004</v>
      </c>
      <c r="E135" s="124">
        <f t="shared" si="61"/>
        <v>1965.2782305340629</v>
      </c>
      <c r="F135" s="124">
        <f t="shared" si="61"/>
        <v>2630.7775901994833</v>
      </c>
      <c r="G135" s="124">
        <f t="shared" si="61"/>
        <v>2900.1692154359116</v>
      </c>
      <c r="H135" s="124">
        <f t="shared" si="61"/>
        <v>3197.1465430965491</v>
      </c>
      <c r="I135" s="124">
        <f t="shared" si="61"/>
        <v>3939.1854490048863</v>
      </c>
      <c r="J135" s="124">
        <f t="shared" si="61"/>
        <v>4342.5580389829875</v>
      </c>
      <c r="K135" s="124">
        <f t="shared" si="61"/>
        <v>4787.235982174845</v>
      </c>
      <c r="L135" s="125">
        <f t="shared" si="61"/>
        <v>12</v>
      </c>
    </row>
    <row r="136" spans="1:12" ht="18" customHeight="1" x14ac:dyDescent="0.25">
      <c r="A136" s="126" t="s">
        <v>109</v>
      </c>
      <c r="B136" s="127"/>
      <c r="C136" s="127"/>
      <c r="D136" s="127"/>
      <c r="E136" s="127"/>
      <c r="F136" s="127"/>
      <c r="G136" s="127"/>
      <c r="H136" s="127"/>
      <c r="I136" s="127"/>
      <c r="J136" s="127"/>
      <c r="K136" s="127"/>
      <c r="L136" s="128"/>
    </row>
    <row r="137" spans="1:12" ht="18" customHeight="1" x14ac:dyDescent="0.25">
      <c r="A137" s="129" t="s">
        <v>120</v>
      </c>
      <c r="B137" s="130"/>
      <c r="C137" s="130"/>
      <c r="D137" s="130"/>
      <c r="E137" s="130"/>
      <c r="F137" s="130"/>
      <c r="G137" s="130"/>
      <c r="H137" s="130"/>
      <c r="I137" s="130"/>
      <c r="J137" s="130"/>
      <c r="K137" s="130"/>
      <c r="L137" s="131"/>
    </row>
    <row r="138" spans="1:12" ht="18" customHeight="1" x14ac:dyDescent="0.2">
      <c r="A138" s="64" t="s">
        <v>119</v>
      </c>
      <c r="B138" s="62">
        <f>K17</f>
        <v>1</v>
      </c>
      <c r="C138" s="62"/>
      <c r="D138" s="62"/>
      <c r="E138" s="62"/>
      <c r="F138" s="62"/>
      <c r="G138" s="62"/>
      <c r="H138" s="62"/>
      <c r="I138" s="62"/>
      <c r="J138" s="62"/>
      <c r="K138" s="62"/>
      <c r="L138" s="63"/>
    </row>
    <row r="139" spans="1:12" ht="18" customHeight="1" x14ac:dyDescent="0.2">
      <c r="A139" s="64" t="s">
        <v>110</v>
      </c>
      <c r="B139" s="62">
        <f>K11</f>
        <v>120</v>
      </c>
      <c r="C139" s="62"/>
      <c r="D139" s="62"/>
      <c r="E139" s="62"/>
      <c r="F139" s="62"/>
      <c r="G139" s="62"/>
      <c r="H139" s="62"/>
      <c r="I139" s="62"/>
      <c r="J139" s="62"/>
      <c r="K139" s="62"/>
      <c r="L139" s="63"/>
    </row>
    <row r="140" spans="1:12" ht="18" customHeight="1" x14ac:dyDescent="0.25">
      <c r="A140" s="129" t="s">
        <v>111</v>
      </c>
      <c r="B140" s="130"/>
      <c r="C140" s="130"/>
      <c r="D140" s="130"/>
      <c r="E140" s="130"/>
      <c r="F140" s="130"/>
      <c r="G140" s="130"/>
      <c r="H140" s="130"/>
      <c r="I140" s="130"/>
      <c r="J140" s="130"/>
      <c r="K140" s="130"/>
      <c r="L140" s="131"/>
    </row>
    <row r="141" spans="1:12" ht="18" customHeight="1" x14ac:dyDescent="0.2">
      <c r="A141" s="64" t="s">
        <v>44</v>
      </c>
      <c r="B141" s="62"/>
      <c r="C141" s="70">
        <f>C76</f>
        <v>762.7983999999999</v>
      </c>
      <c r="D141" s="70">
        <f t="shared" ref="D141:K141" si="62">D76</f>
        <v>793.31033600000012</v>
      </c>
      <c r="E141" s="70">
        <f t="shared" si="62"/>
        <v>825.04274944000008</v>
      </c>
      <c r="F141" s="70">
        <f t="shared" si="62"/>
        <v>1041.9111292928001</v>
      </c>
      <c r="G141" s="70">
        <f t="shared" si="62"/>
        <v>1083.5875744645123</v>
      </c>
      <c r="H141" s="70">
        <f t="shared" si="62"/>
        <v>1126.9310774430928</v>
      </c>
      <c r="I141" s="70">
        <f t="shared" si="62"/>
        <v>1309.891652369148</v>
      </c>
      <c r="J141" s="70">
        <f t="shared" si="62"/>
        <v>1362.2873184639138</v>
      </c>
      <c r="K141" s="70">
        <f t="shared" si="62"/>
        <v>1416.7788112024707</v>
      </c>
      <c r="L141" s="63"/>
    </row>
    <row r="142" spans="1:12" ht="18" customHeight="1" x14ac:dyDescent="0.2">
      <c r="A142" s="64" t="s">
        <v>41</v>
      </c>
      <c r="B142" s="62"/>
      <c r="C142" s="70">
        <f>C94</f>
        <v>10.4</v>
      </c>
      <c r="D142" s="70">
        <f t="shared" ref="D142:L142" si="63">D94</f>
        <v>10.816000000000001</v>
      </c>
      <c r="E142" s="70">
        <f t="shared" si="63"/>
        <v>11.248640000000002</v>
      </c>
      <c r="F142" s="70">
        <f t="shared" si="63"/>
        <v>14.475249571594246</v>
      </c>
      <c r="G142" s="70">
        <f t="shared" si="63"/>
        <v>15.054259554458017</v>
      </c>
      <c r="H142" s="70">
        <f t="shared" si="63"/>
        <v>15.656429936636338</v>
      </c>
      <c r="I142" s="70">
        <f t="shared" si="63"/>
        <v>22.663073073299049</v>
      </c>
      <c r="J142" s="70">
        <f t="shared" si="63"/>
        <v>23.569595996231008</v>
      </c>
      <c r="K142" s="70">
        <f t="shared" si="63"/>
        <v>24.512379836080253</v>
      </c>
      <c r="L142" s="71">
        <f t="shared" si="63"/>
        <v>18.142155081052731</v>
      </c>
    </row>
    <row r="143" spans="1:12" ht="18" customHeight="1" x14ac:dyDescent="0.2">
      <c r="A143" s="64" t="s">
        <v>112</v>
      </c>
      <c r="B143" s="62"/>
      <c r="C143" s="70">
        <f>C89</f>
        <v>806.95680000000016</v>
      </c>
      <c r="D143" s="70">
        <f t="shared" ref="D143:K143" si="64">D89</f>
        <v>889.58917632000032</v>
      </c>
      <c r="E143" s="70">
        <f t="shared" si="64"/>
        <v>980.68310797516835</v>
      </c>
      <c r="F143" s="70">
        <f t="shared" si="64"/>
        <v>1081.1050582318258</v>
      </c>
      <c r="G143" s="70">
        <f t="shared" si="64"/>
        <v>1191.8102161947647</v>
      </c>
      <c r="H143" s="70">
        <f t="shared" si="64"/>
        <v>1313.851582333109</v>
      </c>
      <c r="I143" s="70">
        <f t="shared" si="64"/>
        <v>1448.3899843640197</v>
      </c>
      <c r="J143" s="70">
        <f t="shared" si="64"/>
        <v>1596.7051187628952</v>
      </c>
      <c r="K143" s="70">
        <f t="shared" si="64"/>
        <v>1760.2077229242157</v>
      </c>
      <c r="L143" s="63"/>
    </row>
    <row r="144" spans="1:12" ht="18" customHeight="1" x14ac:dyDescent="0.2">
      <c r="A144" s="64" t="s">
        <v>113</v>
      </c>
      <c r="B144" s="62"/>
      <c r="C144" s="70">
        <f>C93</f>
        <v>8.32</v>
      </c>
      <c r="D144" s="70">
        <f t="shared" ref="D144:K144" si="65">D93</f>
        <v>8.6528000000000009</v>
      </c>
      <c r="E144" s="70">
        <f t="shared" si="65"/>
        <v>8.9989120000000007</v>
      </c>
      <c r="F144" s="70">
        <f t="shared" si="65"/>
        <v>9.3588684800000017</v>
      </c>
      <c r="G144" s="70">
        <f t="shared" si="65"/>
        <v>9.7332232192000028</v>
      </c>
      <c r="H144" s="70">
        <f t="shared" si="65"/>
        <v>10.122552147968003</v>
      </c>
      <c r="I144" s="70">
        <f t="shared" si="65"/>
        <v>10.527454233886724</v>
      </c>
      <c r="J144" s="70">
        <f t="shared" si="65"/>
        <v>10.948552403242193</v>
      </c>
      <c r="K144" s="70">
        <f t="shared" si="65"/>
        <v>11.386494499371882</v>
      </c>
      <c r="L144" s="63"/>
    </row>
    <row r="145" spans="1:12" ht="18" customHeight="1" x14ac:dyDescent="0.2">
      <c r="A145" s="64" t="s">
        <v>55</v>
      </c>
      <c r="B145" s="62"/>
      <c r="C145" s="70">
        <f>C81</f>
        <v>73.819200000000009</v>
      </c>
      <c r="D145" s="70">
        <f t="shared" ref="D145:K145" si="66">D81</f>
        <v>76.771968000000015</v>
      </c>
      <c r="E145" s="70">
        <f t="shared" si="66"/>
        <v>79.842846720000011</v>
      </c>
      <c r="F145" s="70">
        <f t="shared" si="66"/>
        <v>100.83010928640002</v>
      </c>
      <c r="G145" s="70">
        <f t="shared" si="66"/>
        <v>104.86331365785604</v>
      </c>
      <c r="H145" s="70">
        <f t="shared" si="66"/>
        <v>109.05784620417027</v>
      </c>
      <c r="I145" s="70">
        <f t="shared" si="66"/>
        <v>126.76370829378851</v>
      </c>
      <c r="J145" s="70">
        <f t="shared" si="66"/>
        <v>131.83425662554004</v>
      </c>
      <c r="K145" s="70">
        <f t="shared" si="66"/>
        <v>137.10762689056168</v>
      </c>
      <c r="L145" s="63"/>
    </row>
    <row r="146" spans="1:12" ht="18" customHeight="1" x14ac:dyDescent="0.2">
      <c r="A146" s="64" t="s">
        <v>114</v>
      </c>
      <c r="B146" s="62"/>
      <c r="C146" s="70">
        <f>C101</f>
        <v>249.60000000000002</v>
      </c>
      <c r="D146" s="70">
        <f t="shared" ref="D146:L146" si="67">D101</f>
        <v>259.584</v>
      </c>
      <c r="E146" s="70">
        <f t="shared" si="67"/>
        <v>269.96736000000004</v>
      </c>
      <c r="F146" s="70">
        <f t="shared" si="67"/>
        <v>280.76605440000003</v>
      </c>
      <c r="G146" s="70">
        <f t="shared" si="67"/>
        <v>291.99669657600009</v>
      </c>
      <c r="H146" s="70">
        <f t="shared" si="67"/>
        <v>303.67656443904008</v>
      </c>
      <c r="I146" s="70">
        <f t="shared" si="67"/>
        <v>315.82362701660168</v>
      </c>
      <c r="J146" s="70">
        <f t="shared" si="67"/>
        <v>328.45657209726573</v>
      </c>
      <c r="K146" s="70">
        <f t="shared" si="67"/>
        <v>341.5948349811564</v>
      </c>
      <c r="L146" s="71">
        <f t="shared" si="67"/>
        <v>252.82190111924089</v>
      </c>
    </row>
    <row r="147" spans="1:12" ht="18" customHeight="1" x14ac:dyDescent="0.2">
      <c r="A147" s="64" t="s">
        <v>105</v>
      </c>
      <c r="B147" s="62"/>
      <c r="C147" s="70">
        <f>C125</f>
        <v>-38.139919999999996</v>
      </c>
      <c r="D147" s="70">
        <f t="shared" ref="D147:L148" si="68">D125</f>
        <v>-1.5255968000000095</v>
      </c>
      <c r="E147" s="70">
        <f t="shared" si="68"/>
        <v>-1.5866206720000022</v>
      </c>
      <c r="F147" s="70">
        <f t="shared" si="68"/>
        <v>-10.843418992639997</v>
      </c>
      <c r="G147" s="70">
        <f t="shared" si="68"/>
        <v>-2.083822258585613</v>
      </c>
      <c r="H147" s="70">
        <f t="shared" si="68"/>
        <v>-2.1671751489290259</v>
      </c>
      <c r="I147" s="70">
        <f t="shared" si="68"/>
        <v>-9.1480287463027565</v>
      </c>
      <c r="J147" s="70">
        <f t="shared" si="68"/>
        <v>-2.6197833047382915</v>
      </c>
      <c r="K147" s="70">
        <f t="shared" si="68"/>
        <v>-2.7245746369278407</v>
      </c>
      <c r="L147" s="71">
        <f t="shared" si="68"/>
        <v>70.838940560123532</v>
      </c>
    </row>
    <row r="148" spans="1:12" ht="18" customHeight="1" x14ac:dyDescent="0.2">
      <c r="A148" s="64" t="s">
        <v>106</v>
      </c>
      <c r="B148" s="62"/>
      <c r="C148" s="70">
        <f>C126</f>
        <v>-16.171326080000004</v>
      </c>
      <c r="D148" s="70">
        <f t="shared" si="68"/>
        <v>-1.6559437905920014</v>
      </c>
      <c r="E148" s="70">
        <f t="shared" si="68"/>
        <v>-1.8255124347486245</v>
      </c>
      <c r="F148" s="70">
        <f t="shared" si="68"/>
        <v>-6.6549935966542044</v>
      </c>
      <c r="G148" s="70">
        <f t="shared" si="68"/>
        <v>-2.6939162523642821</v>
      </c>
      <c r="H148" s="70">
        <f t="shared" si="68"/>
        <v>-2.9697732766063751</v>
      </c>
      <c r="I148" s="70">
        <f t="shared" si="68"/>
        <v>-7.420389059083373</v>
      </c>
      <c r="J148" s="70">
        <f t="shared" si="68"/>
        <v>-4.033725899781011</v>
      </c>
      <c r="K148" s="70">
        <f t="shared" si="68"/>
        <v>-4.4467794319185785</v>
      </c>
      <c r="L148" s="71">
        <f t="shared" si="68"/>
        <v>47.872359821748454</v>
      </c>
    </row>
    <row r="149" spans="1:12" ht="18" customHeight="1" x14ac:dyDescent="0.25">
      <c r="A149" s="86" t="s">
        <v>115</v>
      </c>
      <c r="B149" s="88">
        <f>SUM(B138:B148)</f>
        <v>121</v>
      </c>
      <c r="C149" s="88">
        <f>SUM(C138:C148)</f>
        <v>1857.5831539200001</v>
      </c>
      <c r="D149" s="88">
        <f t="shared" ref="D149:L149" si="69">SUM(D138:D148)</f>
        <v>2035.5427397294088</v>
      </c>
      <c r="E149" s="88">
        <f t="shared" si="69"/>
        <v>2172.3714830284198</v>
      </c>
      <c r="F149" s="88">
        <f t="shared" si="69"/>
        <v>2510.9480566733259</v>
      </c>
      <c r="G149" s="88">
        <f t="shared" si="69"/>
        <v>2692.2675451558407</v>
      </c>
      <c r="H149" s="88">
        <f t="shared" si="69"/>
        <v>2874.1591040784815</v>
      </c>
      <c r="I149" s="88">
        <f t="shared" si="69"/>
        <v>3217.4910815453572</v>
      </c>
      <c r="J149" s="88">
        <f t="shared" si="69"/>
        <v>3447.147905144569</v>
      </c>
      <c r="K149" s="88">
        <f t="shared" si="69"/>
        <v>3684.4165162650111</v>
      </c>
      <c r="L149" s="94">
        <f t="shared" si="69"/>
        <v>389.67535658216559</v>
      </c>
    </row>
    <row r="150" spans="1:12" ht="18" customHeight="1" x14ac:dyDescent="0.2">
      <c r="A150" s="64" t="s">
        <v>116</v>
      </c>
      <c r="B150" s="70">
        <f>B149+B152</f>
        <v>121</v>
      </c>
      <c r="C150" s="70">
        <f t="shared" ref="C150:L150" si="70">C149+C152</f>
        <v>1857.5831539200001</v>
      </c>
      <c r="D150" s="70">
        <f t="shared" si="70"/>
        <v>2035.5427397294088</v>
      </c>
      <c r="E150" s="70">
        <f t="shared" si="70"/>
        <v>2172.3714830284198</v>
      </c>
      <c r="F150" s="70">
        <f t="shared" si="70"/>
        <v>2510.9480566733259</v>
      </c>
      <c r="G150" s="70">
        <f t="shared" si="70"/>
        <v>2692.2675451558407</v>
      </c>
      <c r="H150" s="70">
        <f t="shared" si="70"/>
        <v>2874.263905303414</v>
      </c>
      <c r="I150" s="70">
        <f t="shared" si="70"/>
        <v>3222.1729993975546</v>
      </c>
      <c r="J150" s="70">
        <f t="shared" si="70"/>
        <v>3454.3557509324246</v>
      </c>
      <c r="K150" s="70">
        <f t="shared" si="70"/>
        <v>3694.4900608843736</v>
      </c>
      <c r="L150" s="71">
        <f t="shared" si="70"/>
        <v>389.67535658216559</v>
      </c>
    </row>
    <row r="151" spans="1:12" ht="18" customHeight="1" x14ac:dyDescent="0.2">
      <c r="A151" s="64" t="s">
        <v>117</v>
      </c>
      <c r="B151" s="70">
        <f>B135-B149</f>
        <v>-121</v>
      </c>
      <c r="C151" s="70">
        <f t="shared" ref="C151:L151" si="71">C135-C149</f>
        <v>-240.45054591999974</v>
      </c>
      <c r="D151" s="70">
        <f t="shared" si="71"/>
        <v>-252.81575267020844</v>
      </c>
      <c r="E151" s="70">
        <f t="shared" si="71"/>
        <v>-207.09325249435688</v>
      </c>
      <c r="F151" s="70">
        <f t="shared" si="71"/>
        <v>119.82953352615732</v>
      </c>
      <c r="G151" s="70">
        <f t="shared" si="71"/>
        <v>207.9016702800709</v>
      </c>
      <c r="H151" s="70">
        <f t="shared" si="71"/>
        <v>322.98743901806756</v>
      </c>
      <c r="I151" s="70">
        <f t="shared" si="71"/>
        <v>721.69436745952908</v>
      </c>
      <c r="J151" s="70">
        <f t="shared" si="71"/>
        <v>895.41013383841846</v>
      </c>
      <c r="K151" s="70">
        <f t="shared" si="71"/>
        <v>1102.819465909834</v>
      </c>
      <c r="L151" s="71">
        <f t="shared" si="71"/>
        <v>-377.67535658216559</v>
      </c>
    </row>
    <row r="152" spans="1:12" ht="18" customHeight="1" x14ac:dyDescent="0.2">
      <c r="A152" s="64" t="s">
        <v>26</v>
      </c>
      <c r="B152" s="70">
        <f>B115</f>
        <v>0</v>
      </c>
      <c r="C152" s="70">
        <f t="shared" ref="C152:L152" si="72">C115</f>
        <v>0</v>
      </c>
      <c r="D152" s="70">
        <f t="shared" si="72"/>
        <v>0</v>
      </c>
      <c r="E152" s="70">
        <f t="shared" si="72"/>
        <v>0</v>
      </c>
      <c r="F152" s="70">
        <f t="shared" si="72"/>
        <v>0</v>
      </c>
      <c r="G152" s="70">
        <f t="shared" si="72"/>
        <v>0</v>
      </c>
      <c r="H152" s="70">
        <f t="shared" si="72"/>
        <v>0.1048012249323213</v>
      </c>
      <c r="I152" s="70">
        <f t="shared" si="72"/>
        <v>4.6819178521973619</v>
      </c>
      <c r="J152" s="70">
        <f t="shared" si="72"/>
        <v>7.2078457878557929</v>
      </c>
      <c r="K152" s="70">
        <f t="shared" si="72"/>
        <v>10.073544619362691</v>
      </c>
      <c r="L152" s="71">
        <f t="shared" si="72"/>
        <v>0</v>
      </c>
    </row>
    <row r="153" spans="1:12" ht="18" customHeight="1" x14ac:dyDescent="0.25">
      <c r="A153" s="132" t="s">
        <v>118</v>
      </c>
      <c r="B153" s="133">
        <f>B151-B152</f>
        <v>-121</v>
      </c>
      <c r="C153" s="133">
        <f t="shared" ref="C153:L153" si="73">C151-C152</f>
        <v>-240.45054591999974</v>
      </c>
      <c r="D153" s="133">
        <f t="shared" si="73"/>
        <v>-252.81575267020844</v>
      </c>
      <c r="E153" s="133">
        <f t="shared" si="73"/>
        <v>-207.09325249435688</v>
      </c>
      <c r="F153" s="133">
        <f t="shared" si="73"/>
        <v>119.82953352615732</v>
      </c>
      <c r="G153" s="133">
        <f t="shared" si="73"/>
        <v>207.9016702800709</v>
      </c>
      <c r="H153" s="133">
        <f t="shared" si="73"/>
        <v>322.88263779313525</v>
      </c>
      <c r="I153" s="133">
        <f t="shared" si="73"/>
        <v>717.01244960733175</v>
      </c>
      <c r="J153" s="133">
        <f t="shared" si="73"/>
        <v>888.20228805056263</v>
      </c>
      <c r="K153" s="133">
        <f t="shared" si="73"/>
        <v>1092.7459212904712</v>
      </c>
      <c r="L153" s="134">
        <f t="shared" si="73"/>
        <v>-377.67535658216559</v>
      </c>
    </row>
    <row r="155" spans="1:12" ht="18" customHeight="1" x14ac:dyDescent="0.25">
      <c r="A155" s="100" t="s">
        <v>212</v>
      </c>
      <c r="B155" s="101"/>
      <c r="C155" s="101"/>
      <c r="D155" s="101"/>
      <c r="E155" s="101"/>
      <c r="F155" s="101"/>
      <c r="G155" s="101"/>
      <c r="H155" s="101"/>
      <c r="I155" s="101"/>
      <c r="J155" s="101"/>
      <c r="K155" s="101"/>
      <c r="L155" s="102"/>
    </row>
    <row r="156" spans="1:12" ht="18" customHeight="1" x14ac:dyDescent="0.25">
      <c r="A156" s="52" t="s">
        <v>65</v>
      </c>
      <c r="B156" s="53">
        <v>0</v>
      </c>
      <c r="C156" s="53">
        <f>B156+1</f>
        <v>1</v>
      </c>
      <c r="D156" s="53">
        <f t="shared" ref="D156:L156" si="74">C156+1</f>
        <v>2</v>
      </c>
      <c r="E156" s="53">
        <f t="shared" si="74"/>
        <v>3</v>
      </c>
      <c r="F156" s="53">
        <f t="shared" si="74"/>
        <v>4</v>
      </c>
      <c r="G156" s="53">
        <f t="shared" si="74"/>
        <v>5</v>
      </c>
      <c r="H156" s="53">
        <f t="shared" si="74"/>
        <v>6</v>
      </c>
      <c r="I156" s="53">
        <f t="shared" si="74"/>
        <v>7</v>
      </c>
      <c r="J156" s="53">
        <f t="shared" si="74"/>
        <v>8</v>
      </c>
      <c r="K156" s="53">
        <f t="shared" si="74"/>
        <v>9</v>
      </c>
      <c r="L156" s="54">
        <f t="shared" si="74"/>
        <v>10</v>
      </c>
    </row>
    <row r="157" spans="1:12" ht="18" customHeight="1" x14ac:dyDescent="0.25">
      <c r="A157" s="103" t="s">
        <v>118</v>
      </c>
      <c r="B157" s="135">
        <f>B153</f>
        <v>-121</v>
      </c>
      <c r="C157" s="135">
        <f t="shared" ref="C157:L157" si="75">C153</f>
        <v>-240.45054591999974</v>
      </c>
      <c r="D157" s="135">
        <f t="shared" si="75"/>
        <v>-252.81575267020844</v>
      </c>
      <c r="E157" s="135">
        <f t="shared" si="75"/>
        <v>-207.09325249435688</v>
      </c>
      <c r="F157" s="135">
        <f t="shared" si="75"/>
        <v>119.82953352615732</v>
      </c>
      <c r="G157" s="135">
        <f t="shared" si="75"/>
        <v>207.9016702800709</v>
      </c>
      <c r="H157" s="135">
        <f t="shared" si="75"/>
        <v>322.88263779313525</v>
      </c>
      <c r="I157" s="135">
        <f t="shared" si="75"/>
        <v>717.01244960733175</v>
      </c>
      <c r="J157" s="135">
        <f t="shared" si="75"/>
        <v>888.20228805056263</v>
      </c>
      <c r="K157" s="135">
        <f t="shared" si="75"/>
        <v>1092.7459212904712</v>
      </c>
      <c r="L157" s="136">
        <f t="shared" si="75"/>
        <v>-377.67535658216559</v>
      </c>
    </row>
    <row r="158" spans="1:12" ht="18" customHeight="1" x14ac:dyDescent="0.2">
      <c r="A158" s="64" t="s">
        <v>121</v>
      </c>
      <c r="B158" s="62"/>
      <c r="C158" s="62"/>
      <c r="D158" s="62"/>
      <c r="E158" s="62"/>
      <c r="F158" s="62"/>
      <c r="G158" s="62"/>
      <c r="H158" s="62"/>
      <c r="I158" s="62"/>
      <c r="J158" s="62"/>
      <c r="K158" s="62"/>
      <c r="L158" s="63"/>
    </row>
    <row r="159" spans="1:12" ht="18" customHeight="1" x14ac:dyDescent="0.2">
      <c r="A159" s="64" t="s">
        <v>122</v>
      </c>
      <c r="B159" s="62">
        <f>B55</f>
        <v>84</v>
      </c>
      <c r="C159" s="62"/>
      <c r="D159" s="62"/>
      <c r="E159" s="62"/>
      <c r="F159" s="62"/>
      <c r="G159" s="62"/>
      <c r="H159" s="62"/>
      <c r="I159" s="62"/>
      <c r="J159" s="62"/>
      <c r="K159" s="62"/>
      <c r="L159" s="63"/>
    </row>
    <row r="160" spans="1:12" ht="18" customHeight="1" x14ac:dyDescent="0.2">
      <c r="A160" s="64" t="s">
        <v>123</v>
      </c>
      <c r="B160" s="62"/>
      <c r="C160" s="70">
        <f>C52</f>
        <v>20.213301158188884</v>
      </c>
      <c r="D160" s="70">
        <f t="shared" ref="D160:G160" si="76">D52</f>
        <v>20.213301158188884</v>
      </c>
      <c r="E160" s="70">
        <f t="shared" si="76"/>
        <v>20.213301158188884</v>
      </c>
      <c r="F160" s="70">
        <f t="shared" si="76"/>
        <v>20.213301158188884</v>
      </c>
      <c r="G160" s="70">
        <f t="shared" si="76"/>
        <v>20.213301158188884</v>
      </c>
      <c r="H160" s="62"/>
      <c r="I160" s="62"/>
      <c r="J160" s="62"/>
      <c r="K160" s="62"/>
      <c r="L160" s="63"/>
    </row>
    <row r="161" spans="1:12" ht="18" customHeight="1" x14ac:dyDescent="0.25">
      <c r="A161" s="137" t="s">
        <v>124</v>
      </c>
      <c r="B161" s="138">
        <f>B157+B159-B160</f>
        <v>-37</v>
      </c>
      <c r="C161" s="138">
        <f>C157+C159-C160</f>
        <v>-260.66384707818861</v>
      </c>
      <c r="D161" s="138">
        <f t="shared" ref="D161:L161" si="77">D157+D159-D160</f>
        <v>-273.02905382839731</v>
      </c>
      <c r="E161" s="138">
        <f t="shared" si="77"/>
        <v>-227.30655365254574</v>
      </c>
      <c r="F161" s="138">
        <f t="shared" si="77"/>
        <v>99.616232367968436</v>
      </c>
      <c r="G161" s="138">
        <f t="shared" si="77"/>
        <v>187.68836912188203</v>
      </c>
      <c r="H161" s="138">
        <f t="shared" si="77"/>
        <v>322.88263779313525</v>
      </c>
      <c r="I161" s="138">
        <f t="shared" si="77"/>
        <v>717.01244960733175</v>
      </c>
      <c r="J161" s="138">
        <f t="shared" si="77"/>
        <v>888.20228805056263</v>
      </c>
      <c r="K161" s="138">
        <f t="shared" si="77"/>
        <v>1092.7459212904712</v>
      </c>
      <c r="L161" s="139">
        <f t="shared" si="77"/>
        <v>-377.67535658216559</v>
      </c>
    </row>
    <row r="164" spans="1:12" ht="18" customHeight="1" x14ac:dyDescent="0.2">
      <c r="A164" s="140" t="s">
        <v>128</v>
      </c>
      <c r="B164" s="141">
        <f>D27+D16+D27*D16</f>
        <v>0.15439999999999998</v>
      </c>
      <c r="C164" s="142"/>
      <c r="D164" s="142"/>
      <c r="E164" s="142"/>
      <c r="F164" s="142"/>
      <c r="G164" s="142"/>
      <c r="H164" s="142"/>
      <c r="I164" s="142"/>
      <c r="J164" s="142"/>
      <c r="K164" s="142"/>
      <c r="L164" s="61"/>
    </row>
    <row r="165" spans="1:12" ht="18" customHeight="1" x14ac:dyDescent="0.25">
      <c r="A165" s="143" t="s">
        <v>215</v>
      </c>
      <c r="B165" s="144"/>
      <c r="C165" s="144"/>
      <c r="D165" s="144"/>
      <c r="E165" s="144"/>
      <c r="F165" s="144"/>
      <c r="G165" s="144"/>
      <c r="H165" s="144"/>
      <c r="I165" s="144"/>
      <c r="J165" s="144"/>
      <c r="K165" s="144"/>
      <c r="L165" s="145"/>
    </row>
    <row r="166" spans="1:12" ht="18" customHeight="1" x14ac:dyDescent="0.25">
      <c r="A166" s="52" t="s">
        <v>65</v>
      </c>
      <c r="B166" s="53">
        <v>0</v>
      </c>
      <c r="C166" s="53">
        <f>B166+1</f>
        <v>1</v>
      </c>
      <c r="D166" s="53">
        <f t="shared" ref="D166:L166" si="78">C166+1</f>
        <v>2</v>
      </c>
      <c r="E166" s="53">
        <f t="shared" si="78"/>
        <v>3</v>
      </c>
      <c r="F166" s="53">
        <f t="shared" si="78"/>
        <v>4</v>
      </c>
      <c r="G166" s="53">
        <f t="shared" si="78"/>
        <v>5</v>
      </c>
      <c r="H166" s="53">
        <f t="shared" si="78"/>
        <v>6</v>
      </c>
      <c r="I166" s="53">
        <f t="shared" si="78"/>
        <v>7</v>
      </c>
      <c r="J166" s="53">
        <f t="shared" si="78"/>
        <v>8</v>
      </c>
      <c r="K166" s="53">
        <f t="shared" si="78"/>
        <v>9</v>
      </c>
      <c r="L166" s="54">
        <f t="shared" si="78"/>
        <v>10</v>
      </c>
    </row>
    <row r="167" spans="1:12" ht="18" customHeight="1" x14ac:dyDescent="0.2">
      <c r="A167" s="64" t="s">
        <v>214</v>
      </c>
      <c r="B167" s="70">
        <f>B55</f>
        <v>84</v>
      </c>
      <c r="C167" s="70">
        <f t="shared" ref="C167:L167" si="79">C55</f>
        <v>69.24669884181111</v>
      </c>
      <c r="D167" s="70">
        <f t="shared" si="79"/>
        <v>53.534433108339954</v>
      </c>
      <c r="E167" s="70">
        <f t="shared" si="79"/>
        <v>36.800870102193166</v>
      </c>
      <c r="F167" s="70">
        <f t="shared" si="79"/>
        <v>18.97962550064684</v>
      </c>
      <c r="G167" s="70">
        <f t="shared" si="79"/>
        <v>0</v>
      </c>
      <c r="H167" s="70">
        <f t="shared" si="79"/>
        <v>0</v>
      </c>
      <c r="I167" s="70">
        <f t="shared" si="79"/>
        <v>0</v>
      </c>
      <c r="J167" s="70">
        <f t="shared" si="79"/>
        <v>0</v>
      </c>
      <c r="K167" s="70">
        <f t="shared" si="79"/>
        <v>0</v>
      </c>
      <c r="L167" s="71">
        <f t="shared" si="79"/>
        <v>0</v>
      </c>
    </row>
    <row r="168" spans="1:12" ht="18" customHeight="1" x14ac:dyDescent="0.2">
      <c r="A168" s="64" t="s">
        <v>213</v>
      </c>
      <c r="B168" s="70">
        <f>ABS($B$161)</f>
        <v>37</v>
      </c>
      <c r="C168" s="70">
        <f t="shared" ref="C168:L168" si="80">ABS($B$161)</f>
        <v>37</v>
      </c>
      <c r="D168" s="70">
        <f t="shared" si="80"/>
        <v>37</v>
      </c>
      <c r="E168" s="70">
        <f t="shared" si="80"/>
        <v>37</v>
      </c>
      <c r="F168" s="70">
        <f t="shared" si="80"/>
        <v>37</v>
      </c>
      <c r="G168" s="70">
        <f t="shared" si="80"/>
        <v>37</v>
      </c>
      <c r="H168" s="70">
        <f t="shared" si="80"/>
        <v>37</v>
      </c>
      <c r="I168" s="70">
        <f t="shared" si="80"/>
        <v>37</v>
      </c>
      <c r="J168" s="70">
        <f t="shared" si="80"/>
        <v>37</v>
      </c>
      <c r="K168" s="70">
        <f t="shared" si="80"/>
        <v>37</v>
      </c>
      <c r="L168" s="71">
        <f t="shared" si="80"/>
        <v>37</v>
      </c>
    </row>
    <row r="169" spans="1:12" ht="18" customHeight="1" x14ac:dyDescent="0.2">
      <c r="A169" s="64" t="s">
        <v>126</v>
      </c>
      <c r="B169" s="70">
        <f>B167/(B167+B168)</f>
        <v>0.69421487603305787</v>
      </c>
      <c r="C169" s="70">
        <f t="shared" ref="C169:L169" si="81">C167/(C167+C168)</f>
        <v>0.65175388597166051</v>
      </c>
      <c r="D169" s="70">
        <f t="shared" si="81"/>
        <v>0.59131571569324171</v>
      </c>
      <c r="E169" s="70">
        <f t="shared" si="81"/>
        <v>0.49865089735709694</v>
      </c>
      <c r="F169" s="70">
        <f t="shared" si="81"/>
        <v>0.33904523888655763</v>
      </c>
      <c r="G169" s="70">
        <f t="shared" si="81"/>
        <v>0</v>
      </c>
      <c r="H169" s="70">
        <f t="shared" si="81"/>
        <v>0</v>
      </c>
      <c r="I169" s="70">
        <f t="shared" si="81"/>
        <v>0</v>
      </c>
      <c r="J169" s="70">
        <f t="shared" si="81"/>
        <v>0</v>
      </c>
      <c r="K169" s="70">
        <f t="shared" si="81"/>
        <v>0</v>
      </c>
      <c r="L169" s="71">
        <f t="shared" si="81"/>
        <v>0</v>
      </c>
    </row>
    <row r="170" spans="1:12" ht="18" customHeight="1" x14ac:dyDescent="0.2">
      <c r="A170" s="64" t="s">
        <v>127</v>
      </c>
      <c r="B170" s="70">
        <f>B168/(B167+B168)</f>
        <v>0.30578512396694213</v>
      </c>
      <c r="C170" s="70">
        <f t="shared" ref="C170:L170" si="82">C168/(C167+C168)</f>
        <v>0.34824611402833949</v>
      </c>
      <c r="D170" s="70">
        <f t="shared" si="82"/>
        <v>0.40868428430675835</v>
      </c>
      <c r="E170" s="70">
        <f t="shared" si="82"/>
        <v>0.50134910264290311</v>
      </c>
      <c r="F170" s="70">
        <f t="shared" si="82"/>
        <v>0.66095476111344242</v>
      </c>
      <c r="G170" s="70">
        <f t="shared" si="82"/>
        <v>1</v>
      </c>
      <c r="H170" s="70">
        <f t="shared" si="82"/>
        <v>1</v>
      </c>
      <c r="I170" s="70">
        <f t="shared" si="82"/>
        <v>1</v>
      </c>
      <c r="J170" s="70">
        <f t="shared" si="82"/>
        <v>1</v>
      </c>
      <c r="K170" s="70">
        <f t="shared" si="82"/>
        <v>1</v>
      </c>
      <c r="L170" s="71">
        <f t="shared" si="82"/>
        <v>1</v>
      </c>
    </row>
    <row r="171" spans="1:12" ht="18" customHeight="1" x14ac:dyDescent="0.2">
      <c r="A171" s="64" t="s">
        <v>125</v>
      </c>
      <c r="B171" s="70">
        <f>B169*$D$23+B170*$B$164</f>
        <v>9.2337190082644627E-2</v>
      </c>
      <c r="C171" s="70">
        <f t="shared" ref="C171:L171" si="83">C169*$D$23+C170*$B$164</f>
        <v>9.6133202594133549E-2</v>
      </c>
      <c r="D171" s="70">
        <f t="shared" si="83"/>
        <v>0.1015363750170242</v>
      </c>
      <c r="E171" s="70">
        <f t="shared" si="83"/>
        <v>0.10982060977627553</v>
      </c>
      <c r="F171" s="70">
        <f t="shared" si="83"/>
        <v>0.12408935564354173</v>
      </c>
      <c r="G171" s="70">
        <f t="shared" si="83"/>
        <v>0.15439999999999998</v>
      </c>
      <c r="H171" s="70">
        <f t="shared" si="83"/>
        <v>0.15439999999999998</v>
      </c>
      <c r="I171" s="70">
        <f t="shared" si="83"/>
        <v>0.15439999999999998</v>
      </c>
      <c r="J171" s="70">
        <f t="shared" si="83"/>
        <v>0.15439999999999998</v>
      </c>
      <c r="K171" s="70">
        <f t="shared" si="83"/>
        <v>0.15439999999999998</v>
      </c>
      <c r="L171" s="71">
        <f t="shared" si="83"/>
        <v>0.15439999999999998</v>
      </c>
    </row>
    <row r="172" spans="1:12" ht="18" customHeight="1" x14ac:dyDescent="0.25">
      <c r="A172" s="146" t="s">
        <v>216</v>
      </c>
      <c r="B172" s="147">
        <f>AVERAGE(B171:L171)</f>
        <v>0.13184697573760176</v>
      </c>
      <c r="C172" s="148"/>
      <c r="D172" s="148"/>
      <c r="E172" s="148"/>
      <c r="F172" s="148"/>
      <c r="G172" s="148"/>
      <c r="H172" s="148"/>
      <c r="I172" s="148"/>
      <c r="J172" s="148"/>
      <c r="K172" s="148"/>
      <c r="L172" s="149"/>
    </row>
    <row r="174" spans="1:12" ht="18" customHeight="1" x14ac:dyDescent="0.25">
      <c r="A174" s="100" t="s">
        <v>129</v>
      </c>
      <c r="B174" s="101"/>
      <c r="C174" s="101"/>
      <c r="D174" s="101"/>
      <c r="E174" s="101"/>
      <c r="F174" s="101"/>
      <c r="G174" s="101"/>
      <c r="H174" s="101"/>
      <c r="I174" s="101"/>
      <c r="J174" s="101"/>
      <c r="K174" s="101"/>
      <c r="L174" s="102"/>
    </row>
    <row r="175" spans="1:12" ht="18" customHeight="1" x14ac:dyDescent="0.2">
      <c r="A175" s="64" t="s">
        <v>217</v>
      </c>
      <c r="B175" s="70">
        <f>NPV(B172,C157:L157)+B157</f>
        <v>544.9740140505711</v>
      </c>
      <c r="C175" s="62"/>
      <c r="D175" s="62"/>
      <c r="E175" s="62"/>
      <c r="F175" s="62"/>
      <c r="G175" s="62"/>
      <c r="H175" s="62"/>
      <c r="I175" s="62"/>
      <c r="J175" s="62"/>
      <c r="K175" s="62"/>
      <c r="L175" s="63"/>
    </row>
    <row r="176" spans="1:12" ht="18" customHeight="1" x14ac:dyDescent="0.2">
      <c r="A176" s="64" t="s">
        <v>218</v>
      </c>
      <c r="B176" s="70">
        <f>IRR(B157:L157)</f>
        <v>0.2600743134525656</v>
      </c>
      <c r="C176" s="62"/>
      <c r="D176" s="62"/>
      <c r="E176" s="62"/>
      <c r="F176" s="62"/>
      <c r="G176" s="62"/>
      <c r="H176" s="62"/>
      <c r="I176" s="62"/>
      <c r="J176" s="62"/>
      <c r="K176" s="62"/>
      <c r="L176" s="63"/>
    </row>
    <row r="177" spans="1:12" ht="18" customHeight="1" x14ac:dyDescent="0.2">
      <c r="A177" s="64" t="s">
        <v>132</v>
      </c>
      <c r="B177" s="70">
        <f>ABS(NPV(B172,C153:L153)/B153)</f>
        <v>5.5039174714923229</v>
      </c>
      <c r="C177" s="62" t="s">
        <v>133</v>
      </c>
      <c r="D177" s="62"/>
      <c r="E177" s="62"/>
      <c r="F177" s="62"/>
      <c r="G177" s="62"/>
      <c r="H177" s="62"/>
      <c r="I177" s="62"/>
      <c r="J177" s="62"/>
      <c r="K177" s="62"/>
      <c r="L177" s="63"/>
    </row>
    <row r="178" spans="1:12" ht="18" customHeight="1" x14ac:dyDescent="0.25">
      <c r="A178" s="152" t="s">
        <v>134</v>
      </c>
      <c r="B178" s="153"/>
      <c r="C178" s="153"/>
      <c r="D178" s="153"/>
      <c r="E178" s="153"/>
      <c r="F178" s="153"/>
      <c r="G178" s="153"/>
      <c r="H178" s="153"/>
      <c r="I178" s="153"/>
      <c r="J178" s="153"/>
      <c r="K178" s="153"/>
      <c r="L178" s="154"/>
    </row>
    <row r="179" spans="1:12" ht="18" customHeight="1" x14ac:dyDescent="0.25">
      <c r="A179" s="52" t="s">
        <v>65</v>
      </c>
      <c r="B179" s="53">
        <v>0</v>
      </c>
      <c r="C179" s="53">
        <f>B179+1</f>
        <v>1</v>
      </c>
      <c r="D179" s="53">
        <f t="shared" ref="D179:L179" si="84">C179+1</f>
        <v>2</v>
      </c>
      <c r="E179" s="53">
        <f t="shared" si="84"/>
        <v>3</v>
      </c>
      <c r="F179" s="53">
        <f t="shared" si="84"/>
        <v>4</v>
      </c>
      <c r="G179" s="53">
        <f t="shared" si="84"/>
        <v>5</v>
      </c>
      <c r="H179" s="53">
        <f t="shared" si="84"/>
        <v>6</v>
      </c>
      <c r="I179" s="53">
        <f t="shared" si="84"/>
        <v>7</v>
      </c>
      <c r="J179" s="53">
        <f t="shared" si="84"/>
        <v>8</v>
      </c>
      <c r="K179" s="53">
        <f t="shared" si="84"/>
        <v>9</v>
      </c>
      <c r="L179" s="54">
        <f t="shared" si="84"/>
        <v>10</v>
      </c>
    </row>
    <row r="180" spans="1:12" ht="18" customHeight="1" x14ac:dyDescent="0.25">
      <c r="A180" s="52" t="s">
        <v>219</v>
      </c>
      <c r="B180" s="70">
        <f>B157</f>
        <v>-121</v>
      </c>
      <c r="C180" s="70">
        <f t="shared" ref="C180:L180" si="85">C157</f>
        <v>-240.45054591999974</v>
      </c>
      <c r="D180" s="70">
        <f t="shared" si="85"/>
        <v>-252.81575267020844</v>
      </c>
      <c r="E180" s="70">
        <f t="shared" si="85"/>
        <v>-207.09325249435688</v>
      </c>
      <c r="F180" s="70">
        <f t="shared" si="85"/>
        <v>119.82953352615732</v>
      </c>
      <c r="G180" s="70">
        <f t="shared" si="85"/>
        <v>207.9016702800709</v>
      </c>
      <c r="H180" s="70">
        <f t="shared" si="85"/>
        <v>322.88263779313525</v>
      </c>
      <c r="I180" s="70">
        <f t="shared" si="85"/>
        <v>717.01244960733175</v>
      </c>
      <c r="J180" s="70">
        <f t="shared" si="85"/>
        <v>888.20228805056263</v>
      </c>
      <c r="K180" s="70">
        <f t="shared" si="85"/>
        <v>1092.7459212904712</v>
      </c>
      <c r="L180" s="71">
        <f t="shared" si="85"/>
        <v>-377.67535658216559</v>
      </c>
    </row>
    <row r="181" spans="1:12" ht="18" customHeight="1" x14ac:dyDescent="0.2">
      <c r="A181" s="64" t="s">
        <v>221</v>
      </c>
      <c r="B181" s="70">
        <f>B180</f>
        <v>-121</v>
      </c>
      <c r="C181" s="70">
        <f>B181+C180</f>
        <v>-361.45054591999974</v>
      </c>
      <c r="D181" s="70">
        <f t="shared" ref="D181:L181" si="86">C181+D180</f>
        <v>-614.26629859020818</v>
      </c>
      <c r="E181" s="70">
        <f t="shared" si="86"/>
        <v>-821.35955108456506</v>
      </c>
      <c r="F181" s="70">
        <f t="shared" si="86"/>
        <v>-701.53001755840774</v>
      </c>
      <c r="G181" s="70">
        <f t="shared" si="86"/>
        <v>-493.62834727833683</v>
      </c>
      <c r="H181" s="70">
        <f t="shared" si="86"/>
        <v>-170.74570948520159</v>
      </c>
      <c r="I181" s="70">
        <f t="shared" si="86"/>
        <v>546.26674012213016</v>
      </c>
      <c r="J181" s="70">
        <f t="shared" si="86"/>
        <v>1434.4690281726928</v>
      </c>
      <c r="K181" s="70">
        <f t="shared" si="86"/>
        <v>2527.214949463164</v>
      </c>
      <c r="L181" s="71">
        <f t="shared" si="86"/>
        <v>2149.5395928809985</v>
      </c>
    </row>
    <row r="182" spans="1:12" ht="18" customHeight="1" x14ac:dyDescent="0.2">
      <c r="A182" s="64" t="s">
        <v>134</v>
      </c>
      <c r="B182" s="62">
        <f>IF(AND(B181&lt;0,C181&gt;0),C179-1+ABS(B181)/C180,0)</f>
        <v>0</v>
      </c>
      <c r="C182" s="62">
        <f t="shared" ref="C182:L182" si="87">IF(AND(C181&lt;0,D181&gt;0),D179-1+ABS(C181)/D180,0)</f>
        <v>0</v>
      </c>
      <c r="D182" s="62">
        <f t="shared" si="87"/>
        <v>0</v>
      </c>
      <c r="E182" s="62">
        <f t="shared" si="87"/>
        <v>0</v>
      </c>
      <c r="F182" s="62">
        <f t="shared" si="87"/>
        <v>0</v>
      </c>
      <c r="G182" s="62">
        <f t="shared" si="87"/>
        <v>0</v>
      </c>
      <c r="H182" s="70">
        <f t="shared" si="87"/>
        <v>6.2381349299844233</v>
      </c>
      <c r="I182" s="62">
        <f t="shared" si="87"/>
        <v>0</v>
      </c>
      <c r="J182" s="62">
        <f t="shared" si="87"/>
        <v>0</v>
      </c>
      <c r="K182" s="62">
        <f t="shared" si="87"/>
        <v>0</v>
      </c>
      <c r="L182" s="63">
        <f t="shared" si="87"/>
        <v>0</v>
      </c>
    </row>
    <row r="183" spans="1:12" ht="18" customHeight="1" x14ac:dyDescent="0.2">
      <c r="A183" s="64"/>
      <c r="B183" s="62"/>
      <c r="C183" s="62"/>
      <c r="D183" s="62"/>
      <c r="E183" s="62"/>
      <c r="F183" s="62"/>
      <c r="G183" s="62"/>
      <c r="H183" s="62">
        <f>INT(H182)</f>
        <v>6</v>
      </c>
      <c r="I183" s="62" t="s">
        <v>21</v>
      </c>
      <c r="J183" s="62"/>
      <c r="K183" s="62"/>
      <c r="L183" s="63"/>
    </row>
    <row r="184" spans="1:12" ht="18" customHeight="1" x14ac:dyDescent="0.2">
      <c r="A184" s="64"/>
      <c r="B184" s="62"/>
      <c r="C184" s="62"/>
      <c r="D184" s="62"/>
      <c r="E184" s="62"/>
      <c r="F184" s="62"/>
      <c r="G184" s="62"/>
      <c r="H184" s="155">
        <f>(H182-H183)*D32</f>
        <v>2.8576191598130798</v>
      </c>
      <c r="I184" s="62" t="s">
        <v>135</v>
      </c>
      <c r="J184" s="62"/>
      <c r="K184" s="62"/>
      <c r="L184" s="63"/>
    </row>
    <row r="185" spans="1:12" ht="18" customHeight="1" x14ac:dyDescent="0.25">
      <c r="A185" s="103" t="s">
        <v>134</v>
      </c>
      <c r="B185" s="104" t="s">
        <v>136</v>
      </c>
      <c r="C185" s="62"/>
      <c r="D185" s="62"/>
      <c r="E185" s="62"/>
      <c r="F185" s="62"/>
      <c r="G185" s="62"/>
      <c r="H185" s="62"/>
      <c r="I185" s="62"/>
      <c r="J185" s="62"/>
      <c r="K185" s="62"/>
      <c r="L185" s="63"/>
    </row>
    <row r="186" spans="1:12" ht="18" customHeight="1" x14ac:dyDescent="0.2">
      <c r="A186" s="64"/>
      <c r="B186" s="62"/>
      <c r="C186" s="62"/>
      <c r="D186" s="62"/>
      <c r="E186" s="62"/>
      <c r="F186" s="62"/>
      <c r="G186" s="62"/>
      <c r="H186" s="62"/>
      <c r="I186" s="62"/>
      <c r="J186" s="62"/>
      <c r="K186" s="62"/>
      <c r="L186" s="63"/>
    </row>
    <row r="187" spans="1:12" ht="18" customHeight="1" x14ac:dyDescent="0.25">
      <c r="A187" s="152" t="s">
        <v>137</v>
      </c>
      <c r="B187" s="153"/>
      <c r="C187" s="153"/>
      <c r="D187" s="153"/>
      <c r="E187" s="153"/>
      <c r="F187" s="153"/>
      <c r="G187" s="153"/>
      <c r="H187" s="153"/>
      <c r="I187" s="153"/>
      <c r="J187" s="153"/>
      <c r="K187" s="153"/>
      <c r="L187" s="154"/>
    </row>
    <row r="188" spans="1:12" ht="18" customHeight="1" x14ac:dyDescent="0.25">
      <c r="A188" s="52" t="s">
        <v>65</v>
      </c>
      <c r="B188" s="53">
        <v>0</v>
      </c>
      <c r="C188" s="53">
        <f>B188+1</f>
        <v>1</v>
      </c>
      <c r="D188" s="53">
        <f t="shared" ref="D188:L188" si="88">C188+1</f>
        <v>2</v>
      </c>
      <c r="E188" s="53">
        <f t="shared" si="88"/>
        <v>3</v>
      </c>
      <c r="F188" s="53">
        <f t="shared" si="88"/>
        <v>4</v>
      </c>
      <c r="G188" s="53">
        <f t="shared" si="88"/>
        <v>5</v>
      </c>
      <c r="H188" s="53">
        <f t="shared" si="88"/>
        <v>6</v>
      </c>
      <c r="I188" s="53">
        <f t="shared" si="88"/>
        <v>7</v>
      </c>
      <c r="J188" s="53">
        <f t="shared" si="88"/>
        <v>8</v>
      </c>
      <c r="K188" s="53">
        <f t="shared" si="88"/>
        <v>9</v>
      </c>
      <c r="L188" s="54">
        <f t="shared" si="88"/>
        <v>10</v>
      </c>
    </row>
    <row r="189" spans="1:12" ht="18" customHeight="1" x14ac:dyDescent="0.2">
      <c r="A189" s="64" t="s">
        <v>138</v>
      </c>
      <c r="B189" s="70">
        <f>(1+$B$172)^(-B188)</f>
        <v>1</v>
      </c>
      <c r="C189" s="70">
        <f t="shared" ref="C189:L189" si="89">(1+$B$172)^(-C188)</f>
        <v>0.88351165964667644</v>
      </c>
      <c r="D189" s="70">
        <f t="shared" si="89"/>
        <v>0.7805928527316246</v>
      </c>
      <c r="E189" s="70">
        <f t="shared" si="89"/>
        <v>0.68966288682525134</v>
      </c>
      <c r="F189" s="70">
        <f t="shared" si="89"/>
        <v>0.60932520173569582</v>
      </c>
      <c r="G189" s="70">
        <f t="shared" si="89"/>
        <v>0.53834592025005046</v>
      </c>
      <c r="H189" s="70">
        <f t="shared" si="89"/>
        <v>0.47563489746413939</v>
      </c>
      <c r="I189" s="70">
        <f t="shared" si="89"/>
        <v>0.42022897764441863</v>
      </c>
      <c r="J189" s="70">
        <f t="shared" si="89"/>
        <v>0.37127720147024634</v>
      </c>
      <c r="K189" s="70">
        <f t="shared" si="89"/>
        <v>0.32802773645995076</v>
      </c>
      <c r="L189" s="71">
        <f t="shared" si="89"/>
        <v>0.28981632984987371</v>
      </c>
    </row>
    <row r="190" spans="1:12" ht="18" customHeight="1" x14ac:dyDescent="0.2">
      <c r="A190" s="64" t="s">
        <v>220</v>
      </c>
      <c r="B190" s="70">
        <f>B180*B189</f>
        <v>-121</v>
      </c>
      <c r="C190" s="70">
        <f t="shared" ref="C190:L190" si="90">C180*C189</f>
        <v>-212.44086088872837</v>
      </c>
      <c r="D190" s="70">
        <f t="shared" si="90"/>
        <v>-197.34616959233085</v>
      </c>
      <c r="E190" s="70">
        <f t="shared" si="90"/>
        <v>-142.82453035728884</v>
      </c>
      <c r="F190" s="70">
        <f t="shared" si="90"/>
        <v>73.015154689720134</v>
      </c>
      <c r="G190" s="70">
        <f t="shared" si="90"/>
        <v>111.92301600844733</v>
      </c>
      <c r="H190" s="70">
        <f t="shared" si="90"/>
        <v>153.57425031968873</v>
      </c>
      <c r="I190" s="70">
        <f t="shared" si="90"/>
        <v>301.30940865680924</v>
      </c>
      <c r="J190" s="70">
        <f t="shared" si="90"/>
        <v>329.76925984688251</v>
      </c>
      <c r="K190" s="70">
        <f t="shared" si="90"/>
        <v>358.45097108675679</v>
      </c>
      <c r="L190" s="71">
        <f t="shared" si="90"/>
        <v>-109.45648571938557</v>
      </c>
    </row>
    <row r="191" spans="1:12" ht="18" customHeight="1" x14ac:dyDescent="0.2">
      <c r="A191" s="64" t="s">
        <v>222</v>
      </c>
      <c r="B191" s="70">
        <f>B190</f>
        <v>-121</v>
      </c>
      <c r="C191" s="70">
        <f>B191+C190</f>
        <v>-333.44086088872837</v>
      </c>
      <c r="D191" s="70">
        <f t="shared" ref="D191:L191" si="91">C191+D190</f>
        <v>-530.78703048105922</v>
      </c>
      <c r="E191" s="70">
        <f t="shared" si="91"/>
        <v>-673.61156083834805</v>
      </c>
      <c r="F191" s="70">
        <f t="shared" si="91"/>
        <v>-600.59640614862792</v>
      </c>
      <c r="G191" s="70">
        <f t="shared" si="91"/>
        <v>-488.67339014018057</v>
      </c>
      <c r="H191" s="70">
        <f t="shared" si="91"/>
        <v>-335.09913982049181</v>
      </c>
      <c r="I191" s="70">
        <f t="shared" si="91"/>
        <v>-33.789731163682575</v>
      </c>
      <c r="J191" s="70">
        <f t="shared" si="91"/>
        <v>295.97952868319993</v>
      </c>
      <c r="K191" s="70">
        <f t="shared" si="91"/>
        <v>654.43049976995667</v>
      </c>
      <c r="L191" s="71">
        <f t="shared" si="91"/>
        <v>544.9740140505711</v>
      </c>
    </row>
    <row r="192" spans="1:12" ht="18" customHeight="1" x14ac:dyDescent="0.2">
      <c r="A192" s="64" t="s">
        <v>137</v>
      </c>
      <c r="B192" s="62">
        <f>IF(AND(B191&lt;0,C191&gt;0),C188-1+ABS(B191)/C190,0)</f>
        <v>0</v>
      </c>
      <c r="C192" s="62">
        <f t="shared" ref="C192:L192" si="92">IF(AND(C191&lt;0,D191&gt;0),D188-1+ABS(C191)/D190,0)</f>
        <v>0</v>
      </c>
      <c r="D192" s="62">
        <f t="shared" si="92"/>
        <v>0</v>
      </c>
      <c r="E192" s="62">
        <f t="shared" si="92"/>
        <v>0</v>
      </c>
      <c r="F192" s="62">
        <f t="shared" si="92"/>
        <v>0</v>
      </c>
      <c r="G192" s="62">
        <f t="shared" si="92"/>
        <v>0</v>
      </c>
      <c r="H192" s="62">
        <f t="shared" si="92"/>
        <v>0</v>
      </c>
      <c r="I192" s="70">
        <f t="shared" si="92"/>
        <v>7.1024647693947331</v>
      </c>
      <c r="J192" s="62">
        <f t="shared" si="92"/>
        <v>0</v>
      </c>
      <c r="K192" s="62">
        <f t="shared" si="92"/>
        <v>0</v>
      </c>
      <c r="L192" s="63">
        <f t="shared" si="92"/>
        <v>0</v>
      </c>
    </row>
    <row r="193" spans="1:18" ht="18" customHeight="1" x14ac:dyDescent="0.2">
      <c r="A193" s="64"/>
      <c r="B193" s="62"/>
      <c r="C193" s="62"/>
      <c r="D193" s="62"/>
      <c r="E193" s="62"/>
      <c r="F193" s="62"/>
      <c r="G193" s="62"/>
      <c r="H193" s="62"/>
      <c r="I193" s="155">
        <f>INT(I192)</f>
        <v>7</v>
      </c>
      <c r="J193" s="62" t="s">
        <v>21</v>
      </c>
      <c r="K193" s="62"/>
      <c r="L193" s="63"/>
    </row>
    <row r="194" spans="1:18" ht="18" customHeight="1" x14ac:dyDescent="0.2">
      <c r="A194" s="64"/>
      <c r="B194" s="62"/>
      <c r="C194" s="62"/>
      <c r="D194" s="62"/>
      <c r="E194" s="62"/>
      <c r="F194" s="62"/>
      <c r="G194" s="62"/>
      <c r="H194" s="62"/>
      <c r="I194" s="155">
        <f>(I192-I193)*12</f>
        <v>1.2295772327367978</v>
      </c>
      <c r="J194" s="62" t="s">
        <v>139</v>
      </c>
      <c r="K194" s="62"/>
      <c r="L194" s="63"/>
    </row>
    <row r="195" spans="1:18" ht="18" customHeight="1" x14ac:dyDescent="0.25">
      <c r="A195" s="132" t="s">
        <v>137</v>
      </c>
      <c r="B195" s="156" t="s">
        <v>140</v>
      </c>
      <c r="C195" s="56"/>
      <c r="D195" s="56"/>
      <c r="E195" s="56"/>
      <c r="F195" s="56"/>
      <c r="G195" s="56"/>
      <c r="H195" s="56"/>
      <c r="I195" s="56"/>
      <c r="J195" s="56"/>
      <c r="K195" s="56"/>
      <c r="L195" s="66"/>
    </row>
    <row r="197" spans="1:18" ht="18" customHeight="1" x14ac:dyDescent="0.25">
      <c r="A197" s="107" t="s">
        <v>130</v>
      </c>
      <c r="B197" s="108"/>
      <c r="C197" s="108"/>
      <c r="D197" s="108"/>
      <c r="E197" s="108"/>
      <c r="F197" s="108"/>
      <c r="G197" s="109"/>
      <c r="H197" s="4"/>
      <c r="I197" s="4"/>
      <c r="J197" s="4"/>
      <c r="K197" s="4"/>
      <c r="L197" s="4"/>
    </row>
    <row r="198" spans="1:18" ht="18" customHeight="1" x14ac:dyDescent="0.25">
      <c r="A198" s="52" t="s">
        <v>65</v>
      </c>
      <c r="B198" s="53">
        <v>0</v>
      </c>
      <c r="C198" s="53">
        <f>B198+1</f>
        <v>1</v>
      </c>
      <c r="D198" s="53">
        <f t="shared" ref="D198:G198" si="93">C198+1</f>
        <v>2</v>
      </c>
      <c r="E198" s="53">
        <f t="shared" si="93"/>
        <v>3</v>
      </c>
      <c r="F198" s="53">
        <f t="shared" si="93"/>
        <v>4</v>
      </c>
      <c r="G198" s="54">
        <f t="shared" si="93"/>
        <v>5</v>
      </c>
      <c r="H198" s="1"/>
      <c r="I198" s="1"/>
      <c r="J198" s="1"/>
      <c r="K198" s="1"/>
      <c r="L198" s="1"/>
    </row>
    <row r="199" spans="1:18" ht="18" customHeight="1" x14ac:dyDescent="0.25">
      <c r="A199" s="99" t="s">
        <v>130</v>
      </c>
      <c r="B199" s="56"/>
      <c r="C199" s="117">
        <f>C153/C160</f>
        <v>-11.895659399631889</v>
      </c>
      <c r="D199" s="117">
        <f t="shared" ref="D199:G199" si="94">D153/D160</f>
        <v>-12.50739553582453</v>
      </c>
      <c r="E199" s="117">
        <f t="shared" si="94"/>
        <v>-10.245394894859048</v>
      </c>
      <c r="F199" s="57">
        <f t="shared" si="94"/>
        <v>5.9282515304340357</v>
      </c>
      <c r="G199" s="58">
        <f t="shared" si="94"/>
        <v>10.285389242115212</v>
      </c>
    </row>
    <row r="201" spans="1:18" ht="18" customHeight="1" x14ac:dyDescent="0.25">
      <c r="A201" s="1" t="s">
        <v>141</v>
      </c>
    </row>
    <row r="202" spans="1:18" ht="18" customHeight="1" x14ac:dyDescent="0.2">
      <c r="A202" s="23" t="s">
        <v>142</v>
      </c>
      <c r="B202" s="167">
        <f>D5</f>
        <v>0.06</v>
      </c>
      <c r="C202" s="168">
        <v>0.05</v>
      </c>
      <c r="D202" s="168">
        <v>5.0999999999999997E-2</v>
      </c>
      <c r="E202" s="168">
        <v>5.1999999999999998E-2</v>
      </c>
      <c r="F202" s="168">
        <f t="shared" ref="F202:R202" si="95">E202+0.001</f>
        <v>5.2999999999999999E-2</v>
      </c>
      <c r="G202" s="168">
        <f t="shared" si="95"/>
        <v>5.3999999999999999E-2</v>
      </c>
      <c r="H202" s="168">
        <f t="shared" si="95"/>
        <v>5.5E-2</v>
      </c>
      <c r="I202" s="168">
        <f t="shared" si="95"/>
        <v>5.6000000000000001E-2</v>
      </c>
      <c r="J202" s="168">
        <f t="shared" si="95"/>
        <v>5.7000000000000002E-2</v>
      </c>
      <c r="K202" s="168">
        <f t="shared" si="95"/>
        <v>5.8000000000000003E-2</v>
      </c>
      <c r="L202" s="168">
        <f t="shared" si="95"/>
        <v>5.9000000000000004E-2</v>
      </c>
      <c r="M202" s="168">
        <f t="shared" si="95"/>
        <v>6.0000000000000005E-2</v>
      </c>
      <c r="N202" s="168">
        <f t="shared" si="95"/>
        <v>6.1000000000000006E-2</v>
      </c>
      <c r="O202" s="168">
        <f t="shared" si="95"/>
        <v>6.2000000000000006E-2</v>
      </c>
      <c r="P202" s="168">
        <f t="shared" si="95"/>
        <v>6.3E-2</v>
      </c>
      <c r="Q202" s="168">
        <f t="shared" si="95"/>
        <v>6.4000000000000001E-2</v>
      </c>
      <c r="R202" s="168">
        <f t="shared" si="95"/>
        <v>6.5000000000000002E-2</v>
      </c>
    </row>
    <row r="203" spans="1:18" ht="18" customHeight="1" x14ac:dyDescent="0.2">
      <c r="A203" s="23" t="s">
        <v>144</v>
      </c>
      <c r="B203" s="167">
        <f>B175</f>
        <v>544.9740140505711</v>
      </c>
      <c r="C203" s="44">
        <f t="dataTable" ref="C203:R205" dt2D="0" dtr="1" r1="D5" ca="1"/>
        <v>-1216.9245224975821</v>
      </c>
      <c r="D203" s="44">
        <v>-1040.2653254942618</v>
      </c>
      <c r="E203" s="44">
        <v>-863.78578394223496</v>
      </c>
      <c r="F203" s="44">
        <v>-687.43864360909481</v>
      </c>
      <c r="G203" s="44">
        <v>-511.13662742634847</v>
      </c>
      <c r="H203" s="44">
        <v>-335.10987932688244</v>
      </c>
      <c r="I203" s="44">
        <v>-159.08313122741617</v>
      </c>
      <c r="J203" s="167">
        <v>16.943616872049319</v>
      </c>
      <c r="K203" s="167">
        <v>192.97036497151453</v>
      </c>
      <c r="L203" s="167">
        <v>368.99711307098107</v>
      </c>
      <c r="M203" s="167">
        <v>544.9740140505719</v>
      </c>
      <c r="N203" s="167">
        <v>720.70643805941722</v>
      </c>
      <c r="O203" s="167">
        <v>896.43886206826289</v>
      </c>
      <c r="P203" s="167">
        <v>1072.0519217495792</v>
      </c>
      <c r="Q203" s="167">
        <v>1247.4821597716193</v>
      </c>
      <c r="R203" s="167">
        <v>1422.9123977936583</v>
      </c>
    </row>
    <row r="204" spans="1:18" ht="18" customHeight="1" x14ac:dyDescent="0.2">
      <c r="A204" s="23" t="s">
        <v>145</v>
      </c>
      <c r="B204" s="167">
        <f>B176</f>
        <v>0.2600743134525656</v>
      </c>
      <c r="C204" s="44">
        <v>-0.23941376631781175</v>
      </c>
      <c r="D204" s="44">
        <v>-0.15237712426037597</v>
      </c>
      <c r="E204" s="44">
        <v>-9.0863836746806537E-2</v>
      </c>
      <c r="F204" s="44">
        <v>-3.8888371176054704E-2</v>
      </c>
      <c r="G204" s="167">
        <v>8.091276993091201E-3</v>
      </c>
      <c r="H204" s="167">
        <v>5.2090321440935394E-2</v>
      </c>
      <c r="I204" s="167">
        <v>9.4398248028470189E-2</v>
      </c>
      <c r="J204" s="167">
        <v>0.13581174290140319</v>
      </c>
      <c r="K204" s="167">
        <v>0.1769219261565762</v>
      </c>
      <c r="L204" s="167">
        <v>0.21820728847867787</v>
      </c>
      <c r="M204" s="167">
        <v>0.26007431345256582</v>
      </c>
      <c r="N204" s="167">
        <v>0.30287077947753827</v>
      </c>
      <c r="O204" s="167">
        <v>0.3470263430966265</v>
      </c>
      <c r="P204" s="167">
        <v>0.39289495238441474</v>
      </c>
      <c r="Q204" s="167">
        <v>0.4408604266385896</v>
      </c>
      <c r="R204" s="167">
        <v>0.49139142794024004</v>
      </c>
    </row>
    <row r="205" spans="1:18" ht="18" customHeight="1" x14ac:dyDescent="0.2">
      <c r="A205" s="23" t="s">
        <v>146</v>
      </c>
      <c r="B205" s="167">
        <f>B177</f>
        <v>5.5039174714923229</v>
      </c>
      <c r="C205" s="167">
        <v>9.0572274586577031</v>
      </c>
      <c r="D205" s="167">
        <v>7.5972340949938992</v>
      </c>
      <c r="E205" s="167">
        <v>6.1387254871259085</v>
      </c>
      <c r="F205" s="167">
        <v>4.6813111042073947</v>
      </c>
      <c r="G205" s="167">
        <v>3.2242696481516404</v>
      </c>
      <c r="H205" s="167">
        <v>1.7695031349329127</v>
      </c>
      <c r="I205" s="167">
        <v>0.31473662171418321</v>
      </c>
      <c r="J205" s="167">
        <v>1.1400298915045399</v>
      </c>
      <c r="K205" s="167">
        <v>2.5947964047232603</v>
      </c>
      <c r="L205" s="167">
        <v>4.0495629179419925</v>
      </c>
      <c r="M205" s="167">
        <v>5.50391747149233</v>
      </c>
      <c r="N205" s="167">
        <v>6.95625155421006</v>
      </c>
      <c r="O205" s="167">
        <v>8.4085856369277927</v>
      </c>
      <c r="P205" s="167">
        <v>9.8599332375998276</v>
      </c>
      <c r="Q205" s="167">
        <v>11.309769915467928</v>
      </c>
      <c r="R205" s="167">
        <v>12.75960659333602</v>
      </c>
    </row>
    <row r="206" spans="1:18" ht="18" customHeight="1" x14ac:dyDescent="0.2">
      <c r="A206" s="23"/>
      <c r="B206" s="167"/>
      <c r="C206" s="167"/>
      <c r="D206" s="167"/>
      <c r="E206" s="167"/>
      <c r="F206" s="167"/>
      <c r="G206" s="167"/>
      <c r="H206" s="167"/>
      <c r="I206" s="167"/>
      <c r="J206" s="167"/>
      <c r="K206" s="167"/>
      <c r="L206" s="167"/>
      <c r="M206" s="167"/>
      <c r="N206" s="23"/>
      <c r="O206" s="23"/>
      <c r="P206" s="23"/>
      <c r="Q206" s="23"/>
      <c r="R206" s="23"/>
    </row>
    <row r="207" spans="1:18" ht="18" customHeight="1" x14ac:dyDescent="0.2">
      <c r="A207" s="23" t="s">
        <v>143</v>
      </c>
      <c r="B207" s="23">
        <f>D6</f>
        <v>7.0000000000000007E-2</v>
      </c>
      <c r="C207" s="23">
        <f>B207-0.02</f>
        <v>0.05</v>
      </c>
      <c r="D207" s="23">
        <v>5.1999999999999998E-2</v>
      </c>
      <c r="E207" s="23">
        <f t="shared" ref="E207:R207" si="96">D207+0.002</f>
        <v>5.3999999999999999E-2</v>
      </c>
      <c r="F207" s="23">
        <f t="shared" si="96"/>
        <v>5.6000000000000001E-2</v>
      </c>
      <c r="G207" s="23">
        <f t="shared" si="96"/>
        <v>5.8000000000000003E-2</v>
      </c>
      <c r="H207" s="23">
        <f t="shared" si="96"/>
        <v>6.0000000000000005E-2</v>
      </c>
      <c r="I207" s="23">
        <f t="shared" si="96"/>
        <v>6.2000000000000006E-2</v>
      </c>
      <c r="J207" s="23">
        <f t="shared" si="96"/>
        <v>6.4000000000000001E-2</v>
      </c>
      <c r="K207" s="23">
        <f t="shared" si="96"/>
        <v>6.6000000000000003E-2</v>
      </c>
      <c r="L207" s="23">
        <f t="shared" si="96"/>
        <v>6.8000000000000005E-2</v>
      </c>
      <c r="M207" s="23">
        <f t="shared" si="96"/>
        <v>7.0000000000000007E-2</v>
      </c>
      <c r="N207" s="23">
        <f t="shared" si="96"/>
        <v>7.2000000000000008E-2</v>
      </c>
      <c r="O207" s="23">
        <f t="shared" si="96"/>
        <v>7.400000000000001E-2</v>
      </c>
      <c r="P207" s="23">
        <f t="shared" si="96"/>
        <v>7.6000000000000012E-2</v>
      </c>
      <c r="Q207" s="23">
        <f t="shared" si="96"/>
        <v>7.8000000000000014E-2</v>
      </c>
      <c r="R207" s="23">
        <f t="shared" si="96"/>
        <v>8.0000000000000016E-2</v>
      </c>
    </row>
    <row r="208" spans="1:18" ht="18" customHeight="1" x14ac:dyDescent="0.2">
      <c r="A208" s="23" t="s">
        <v>144</v>
      </c>
      <c r="B208" s="167">
        <f>B175</f>
        <v>544.9740140505711</v>
      </c>
      <c r="C208" s="44">
        <f t="dataTable" ref="C208:R210" dt2D="0" dtr="1" r1="D6" ca="1"/>
        <v>-335.10987932688255</v>
      </c>
      <c r="D208" s="44">
        <v>-247.09650527715019</v>
      </c>
      <c r="E208" s="44">
        <v>-159.08313122741697</v>
      </c>
      <c r="F208" s="44">
        <v>-71.069757177684011</v>
      </c>
      <c r="G208" s="167">
        <v>16.94361687204858</v>
      </c>
      <c r="H208" s="167">
        <v>104.95699092178188</v>
      </c>
      <c r="I208" s="167">
        <v>192.97036497151413</v>
      </c>
      <c r="J208" s="167">
        <v>280.98373902124706</v>
      </c>
      <c r="K208" s="167">
        <v>368.99711307098045</v>
      </c>
      <c r="L208" s="167">
        <v>457.01048712071292</v>
      </c>
      <c r="M208" s="167">
        <v>544.9740140505711</v>
      </c>
      <c r="N208" s="167">
        <v>632.84022605499365</v>
      </c>
      <c r="O208" s="167">
        <v>720.70643805941654</v>
      </c>
      <c r="P208" s="167">
        <v>808.57265006383977</v>
      </c>
      <c r="Q208" s="167">
        <v>896.43886206826244</v>
      </c>
      <c r="R208" s="167">
        <v>984.30507407268578</v>
      </c>
    </row>
    <row r="209" spans="1:18" ht="18" customHeight="1" x14ac:dyDescent="0.2">
      <c r="A209" s="23" t="s">
        <v>145</v>
      </c>
      <c r="B209" s="167">
        <f t="shared" ref="B209:B210" si="97">B176</f>
        <v>0.2600743134525656</v>
      </c>
      <c r="C209" s="167">
        <v>5.2090321440935172E-2</v>
      </c>
      <c r="D209" s="167">
        <v>7.3399523176534531E-2</v>
      </c>
      <c r="E209" s="167">
        <v>9.4398248028469967E-2</v>
      </c>
      <c r="F209" s="167">
        <v>0.11517641099476061</v>
      </c>
      <c r="G209" s="167">
        <v>0.13581174290140319</v>
      </c>
      <c r="H209" s="167">
        <v>0.1563729334630779</v>
      </c>
      <c r="I209" s="167">
        <v>0.1769219261565762</v>
      </c>
      <c r="J209" s="167">
        <v>0.1975156391839985</v>
      </c>
      <c r="K209" s="167">
        <v>0.21820728847867743</v>
      </c>
      <c r="L209" s="167">
        <v>0.23904742887665886</v>
      </c>
      <c r="M209" s="167">
        <v>0.2600743134525656</v>
      </c>
      <c r="N209" s="167">
        <v>0.28132617622884326</v>
      </c>
      <c r="O209" s="167">
        <v>0.30287077947753804</v>
      </c>
      <c r="P209" s="167">
        <v>0.32475506251082509</v>
      </c>
      <c r="Q209" s="167">
        <v>0.3470263430966265</v>
      </c>
      <c r="R209" s="167">
        <v>0.36973269282498333</v>
      </c>
    </row>
    <row r="210" spans="1:18" ht="18" customHeight="1" x14ac:dyDescent="0.2">
      <c r="A210" s="23" t="s">
        <v>146</v>
      </c>
      <c r="B210" s="167">
        <f t="shared" si="97"/>
        <v>5.5039174714923229</v>
      </c>
      <c r="C210" s="167">
        <v>1.7695031349329136</v>
      </c>
      <c r="D210" s="167">
        <v>1.0421198783235552</v>
      </c>
      <c r="E210" s="167">
        <v>0.31473662171418981</v>
      </c>
      <c r="F210" s="167">
        <v>0.4126466348951735</v>
      </c>
      <c r="G210" s="167">
        <v>1.1400298915045337</v>
      </c>
      <c r="H210" s="167">
        <v>1.8674131481138998</v>
      </c>
      <c r="I210" s="167">
        <v>2.5947964047232572</v>
      </c>
      <c r="J210" s="167">
        <v>3.3221796613326204</v>
      </c>
      <c r="K210" s="167">
        <v>4.0495629179419872</v>
      </c>
      <c r="L210" s="167">
        <v>4.7769461745513464</v>
      </c>
      <c r="M210" s="167">
        <v>5.5039174714923229</v>
      </c>
      <c r="N210" s="167">
        <v>6.230084512851187</v>
      </c>
      <c r="O210" s="167">
        <v>6.9562515542100538</v>
      </c>
      <c r="P210" s="167">
        <v>7.6824185955689241</v>
      </c>
      <c r="Q210" s="167">
        <v>8.4085856369277892</v>
      </c>
      <c r="R210" s="167">
        <v>9.1347526782866595</v>
      </c>
    </row>
    <row r="212" spans="1:18" ht="18" customHeight="1" x14ac:dyDescent="0.2">
      <c r="A212" s="23" t="s">
        <v>147</v>
      </c>
      <c r="B212" s="23">
        <f>D8</f>
        <v>80</v>
      </c>
      <c r="C212" s="23">
        <v>65</v>
      </c>
      <c r="D212" s="23">
        <v>67</v>
      </c>
      <c r="E212" s="23">
        <v>69</v>
      </c>
      <c r="F212" s="23">
        <v>71</v>
      </c>
      <c r="G212" s="23">
        <v>73</v>
      </c>
      <c r="H212" s="23">
        <v>75</v>
      </c>
      <c r="I212" s="23">
        <v>77</v>
      </c>
      <c r="J212" s="23">
        <v>79</v>
      </c>
      <c r="K212" s="23">
        <v>81</v>
      </c>
      <c r="L212" s="23">
        <v>83</v>
      </c>
      <c r="M212" s="23">
        <v>85</v>
      </c>
    </row>
    <row r="213" spans="1:18" ht="18" customHeight="1" x14ac:dyDescent="0.2">
      <c r="A213" s="23" t="s">
        <v>144</v>
      </c>
      <c r="B213" s="167">
        <f>B175</f>
        <v>544.9740140505711</v>
      </c>
      <c r="C213" s="44">
        <f t="dataTable" ref="C213:M215" dt2D="0" dtr="1" r1="D8" ca="1"/>
        <v>-623.25633778209817</v>
      </c>
      <c r="D213" s="44">
        <v>-467.22331424809965</v>
      </c>
      <c r="E213" s="44">
        <v>-311.4813789099552</v>
      </c>
      <c r="F213" s="44">
        <v>-155.75315344079061</v>
      </c>
      <c r="G213" s="44">
        <v>-2.4927971628386558E-2</v>
      </c>
      <c r="H213" s="167">
        <v>155.70329749753557</v>
      </c>
      <c r="I213" s="167">
        <v>311.43152296670024</v>
      </c>
      <c r="J213" s="167">
        <v>467.15974843586469</v>
      </c>
      <c r="K213" s="167">
        <v>622.70297205105737</v>
      </c>
      <c r="L213" s="167">
        <v>778.16088805203117</v>
      </c>
      <c r="M213" s="167">
        <v>933.61880405300508</v>
      </c>
    </row>
    <row r="214" spans="1:18" ht="18" customHeight="1" x14ac:dyDescent="0.2">
      <c r="A214" s="23" t="s">
        <v>145</v>
      </c>
      <c r="B214" s="167">
        <f>B176</f>
        <v>0.2600743134525656</v>
      </c>
      <c r="C214" s="44">
        <v>-3.2082151318201801E-2</v>
      </c>
      <c r="D214" s="167">
        <v>1.2941601480576326E-2</v>
      </c>
      <c r="E214" s="167">
        <v>5.450659648490408E-2</v>
      </c>
      <c r="F214" s="167">
        <v>9.3887007850872894E-2</v>
      </c>
      <c r="G214" s="167">
        <v>0.13184098407053124</v>
      </c>
      <c r="H214" s="167">
        <v>0.1688998562432682</v>
      </c>
      <c r="I214" s="167">
        <v>0.20546597354457719</v>
      </c>
      <c r="J214" s="167">
        <v>0.24186283789205909</v>
      </c>
      <c r="K214" s="167">
        <v>0.27832612761733988</v>
      </c>
      <c r="L214" s="167">
        <v>0.31512206092899375</v>
      </c>
      <c r="M214" s="167">
        <v>0.35249210571282297</v>
      </c>
    </row>
    <row r="215" spans="1:18" ht="18" customHeight="1" x14ac:dyDescent="0.2">
      <c r="A215" s="23" t="s">
        <v>146</v>
      </c>
      <c r="B215" s="167">
        <f>B177</f>
        <v>5.5039174714923229</v>
      </c>
      <c r="C215" s="167">
        <v>4.1508788246454396</v>
      </c>
      <c r="D215" s="167">
        <v>2.8613497045297493</v>
      </c>
      <c r="E215" s="167">
        <v>1.5742262719831008</v>
      </c>
      <c r="F215" s="167">
        <v>0.28721614413876545</v>
      </c>
      <c r="G215" s="167">
        <v>0.9997939837055505</v>
      </c>
      <c r="H215" s="167">
        <v>2.2868041115498809</v>
      </c>
      <c r="I215" s="167">
        <v>3.5738142393942169</v>
      </c>
      <c r="J215" s="167">
        <v>4.8608243672385507</v>
      </c>
      <c r="K215" s="167">
        <v>6.1463055541409704</v>
      </c>
      <c r="L215" s="167">
        <v>7.4310817194382741</v>
      </c>
      <c r="M215" s="167">
        <v>8.7158578847355788</v>
      </c>
    </row>
    <row r="216" spans="1:18" ht="18" customHeight="1" x14ac:dyDescent="0.2">
      <c r="A216" s="23"/>
      <c r="B216" s="23"/>
      <c r="C216" s="23"/>
      <c r="D216" s="23"/>
      <c r="E216" s="23"/>
      <c r="F216" s="23"/>
      <c r="G216" s="23"/>
      <c r="H216" s="23"/>
      <c r="I216" s="23"/>
      <c r="J216" s="23"/>
      <c r="K216" s="23"/>
      <c r="L216" s="23"/>
      <c r="M216" s="23"/>
    </row>
    <row r="217" spans="1:18" ht="18" customHeight="1" x14ac:dyDescent="0.2">
      <c r="A217" s="23" t="s">
        <v>148</v>
      </c>
      <c r="B217" s="23">
        <f>D9</f>
        <v>20</v>
      </c>
      <c r="C217" s="23">
        <v>10</v>
      </c>
      <c r="D217" s="23">
        <v>11</v>
      </c>
      <c r="E217" s="23">
        <v>12</v>
      </c>
      <c r="F217" s="23">
        <v>13</v>
      </c>
      <c r="G217" s="23">
        <v>14</v>
      </c>
      <c r="H217" s="23">
        <v>15</v>
      </c>
      <c r="I217" s="23">
        <v>16</v>
      </c>
      <c r="J217" s="23">
        <v>17</v>
      </c>
      <c r="K217" s="23">
        <v>18</v>
      </c>
      <c r="L217" s="23">
        <v>19</v>
      </c>
      <c r="M217" s="23">
        <v>20</v>
      </c>
    </row>
    <row r="218" spans="1:18" ht="18" customHeight="1" x14ac:dyDescent="0.2">
      <c r="A218" s="23" t="s">
        <v>144</v>
      </c>
      <c r="B218" s="167">
        <f>B175</f>
        <v>544.9740140505711</v>
      </c>
      <c r="C218" s="44">
        <f t="dataTable" ref="C218:M220" dt2D="0" dtr="1" r1="D9" ca="1"/>
        <v>-371.64010849329162</v>
      </c>
      <c r="D218" s="44">
        <v>-279.97371152691812</v>
      </c>
      <c r="E218" s="44">
        <v>-188.30731456054497</v>
      </c>
      <c r="F218" s="44">
        <v>-96.64091759417073</v>
      </c>
      <c r="G218" s="44">
        <v>-4.9745206277965366</v>
      </c>
      <c r="H218" s="167">
        <v>86.691876338576861</v>
      </c>
      <c r="I218" s="167">
        <v>178.35827330495164</v>
      </c>
      <c r="J218" s="167">
        <v>270.02467027132491</v>
      </c>
      <c r="K218" s="167">
        <v>361.69106723769846</v>
      </c>
      <c r="L218" s="167">
        <v>453.3574642040727</v>
      </c>
      <c r="M218" s="167">
        <v>544.9740140505711</v>
      </c>
    </row>
    <row r="219" spans="1:18" ht="18" customHeight="1" x14ac:dyDescent="0.2">
      <c r="A219" s="23" t="s">
        <v>145</v>
      </c>
      <c r="B219" s="167">
        <f t="shared" ref="B219:B220" si="98">B176</f>
        <v>0.2600743134525656</v>
      </c>
      <c r="C219" s="167">
        <v>3.8870001290141287E-2</v>
      </c>
      <c r="D219" s="167">
        <v>6.2691719099388088E-2</v>
      </c>
      <c r="E219" s="167">
        <v>8.583416630595031E-2</v>
      </c>
      <c r="F219" s="167">
        <v>0.10844704066981725</v>
      </c>
      <c r="G219" s="167">
        <v>0.13065161292474925</v>
      </c>
      <c r="H219" s="167">
        <v>0.15254871467040565</v>
      </c>
      <c r="I219" s="167">
        <v>0.17422415117915069</v>
      </c>
      <c r="J219" s="167">
        <v>0.19575249333809186</v>
      </c>
      <c r="K219" s="167">
        <v>0.21719981154812329</v>
      </c>
      <c r="L219" s="167">
        <v>0.23862569726884342</v>
      </c>
      <c r="M219" s="167">
        <v>0.2600743134525656</v>
      </c>
    </row>
    <row r="220" spans="1:18" ht="18" customHeight="1" x14ac:dyDescent="0.2">
      <c r="A220" s="23" t="s">
        <v>146</v>
      </c>
      <c r="B220" s="167">
        <f t="shared" si="98"/>
        <v>5.5039174714923229</v>
      </c>
      <c r="C220" s="167">
        <v>2.0714058553164598</v>
      </c>
      <c r="D220" s="167">
        <v>1.3138323266687446</v>
      </c>
      <c r="E220" s="167">
        <v>0.55625879802103295</v>
      </c>
      <c r="F220" s="167">
        <v>0.20131473062668812</v>
      </c>
      <c r="G220" s="167">
        <v>0.95888825927440879</v>
      </c>
      <c r="H220" s="167">
        <v>1.7164617879221229</v>
      </c>
      <c r="I220" s="167">
        <v>2.4740353165698483</v>
      </c>
      <c r="J220" s="167">
        <v>3.2316088452175613</v>
      </c>
      <c r="K220" s="167">
        <v>3.9891823738652765</v>
      </c>
      <c r="L220" s="167">
        <v>4.7467559025129979</v>
      </c>
      <c r="M220" s="167">
        <v>5.5039174714923229</v>
      </c>
    </row>
    <row r="221" spans="1:18" ht="18" customHeight="1" x14ac:dyDescent="0.2">
      <c r="B221" s="39"/>
    </row>
    <row r="222" spans="1:18" ht="18" customHeight="1" x14ac:dyDescent="0.2">
      <c r="A222" s="24" t="s">
        <v>149</v>
      </c>
      <c r="B222" s="46">
        <f>P5</f>
        <v>0.03</v>
      </c>
      <c r="C222" s="24">
        <v>0.02</v>
      </c>
      <c r="D222" s="24">
        <v>2.1999999999999999E-2</v>
      </c>
      <c r="E222" s="24">
        <v>2.4E-2</v>
      </c>
      <c r="F222" s="24">
        <v>2.5999999999999999E-2</v>
      </c>
      <c r="G222" s="24">
        <v>2.8000000000000001E-2</v>
      </c>
      <c r="H222" s="24">
        <v>0.03</v>
      </c>
      <c r="I222" s="24">
        <v>3.2000000000000001E-2</v>
      </c>
      <c r="J222" s="24">
        <v>3.4000000000000002E-2</v>
      </c>
      <c r="K222" s="24">
        <v>3.5999999999999997E-2</v>
      </c>
      <c r="L222" s="24">
        <v>3.7999999999999999E-2</v>
      </c>
      <c r="M222" s="24">
        <v>0.04</v>
      </c>
    </row>
    <row r="223" spans="1:18" ht="18" customHeight="1" x14ac:dyDescent="0.2">
      <c r="A223" s="24" t="s">
        <v>144</v>
      </c>
      <c r="B223" s="46">
        <f>B175</f>
        <v>544.9740140505711</v>
      </c>
      <c r="C223" s="46">
        <f t="dataTable" ref="C223:M225" dt2D="0" dtr="1" r1="P5" ca="1"/>
        <v>1852.8620031799894</v>
      </c>
      <c r="D223" s="46">
        <v>1591.7862084496323</v>
      </c>
      <c r="E223" s="46">
        <v>1330.4631117148988</v>
      </c>
      <c r="F223" s="46">
        <v>1068.895810371087</v>
      </c>
      <c r="G223" s="46">
        <v>806.99293729111628</v>
      </c>
      <c r="H223" s="46">
        <v>544.9740140505711</v>
      </c>
      <c r="I223" s="46">
        <v>282.58996418992439</v>
      </c>
      <c r="J223" s="46">
        <v>20.15606720940275</v>
      </c>
      <c r="K223" s="169">
        <v>-242.27782977111744</v>
      </c>
      <c r="L223" s="169">
        <v>-504.71172675163911</v>
      </c>
      <c r="M223" s="169">
        <v>-767.30893752126508</v>
      </c>
    </row>
    <row r="224" spans="1:18" ht="18" customHeight="1" x14ac:dyDescent="0.2">
      <c r="A224" s="24" t="s">
        <v>145</v>
      </c>
      <c r="B224" s="46">
        <f t="shared" ref="B224:B225" si="99">B176</f>
        <v>0.2600743134525656</v>
      </c>
      <c r="C224" s="46">
        <v>0.68274416292936135</v>
      </c>
      <c r="D224" s="46">
        <v>0.57645570852259365</v>
      </c>
      <c r="E224" s="46">
        <v>0.48376188443730128</v>
      </c>
      <c r="F224" s="46">
        <v>0.40170245761629353</v>
      </c>
      <c r="G224" s="46">
        <v>0.32780172356243953</v>
      </c>
      <c r="H224" s="46">
        <v>0.2600743134525656</v>
      </c>
      <c r="I224" s="46">
        <v>0.19675661809100364</v>
      </c>
      <c r="J224" s="46">
        <v>0.13640095242487305</v>
      </c>
      <c r="K224" s="46">
        <v>7.7563375059320316E-2</v>
      </c>
      <c r="L224" s="46">
        <v>1.864556221036695E-2</v>
      </c>
      <c r="M224" s="46">
        <v>-4.2515525077053806E-2</v>
      </c>
    </row>
    <row r="225" spans="1:18" ht="18" customHeight="1" x14ac:dyDescent="0.2">
      <c r="A225" s="24" t="s">
        <v>146</v>
      </c>
      <c r="B225" s="46">
        <f t="shared" si="99"/>
        <v>5.5039174714923229</v>
      </c>
      <c r="C225" s="46">
        <v>16.312909117189996</v>
      </c>
      <c r="D225" s="46">
        <v>14.155257921071343</v>
      </c>
      <c r="E225" s="46">
        <v>11.995562906734701</v>
      </c>
      <c r="F225" s="46">
        <v>9.8338496724883218</v>
      </c>
      <c r="G225" s="46">
        <v>7.6693631181083992</v>
      </c>
      <c r="H225" s="46">
        <v>5.5039174714923229</v>
      </c>
      <c r="I225" s="46">
        <v>3.3354542495035076</v>
      </c>
      <c r="J225" s="46">
        <v>1.1665790678463037</v>
      </c>
      <c r="K225" s="46">
        <v>1.0022961138108879</v>
      </c>
      <c r="L225" s="46">
        <v>3.171171295468092</v>
      </c>
      <c r="M225" s="46">
        <v>5.3413961778616947</v>
      </c>
    </row>
    <row r="227" spans="1:18" ht="18" customHeight="1" x14ac:dyDescent="0.2">
      <c r="A227" s="24" t="s">
        <v>150</v>
      </c>
      <c r="B227" s="24">
        <f>P6</f>
        <v>3.5000000000000003E-2</v>
      </c>
      <c r="C227" s="24">
        <v>0.03</v>
      </c>
      <c r="D227" s="24">
        <v>3.1E-2</v>
      </c>
      <c r="E227" s="24">
        <v>3.2000000000000001E-2</v>
      </c>
      <c r="F227" s="24">
        <v>3.3000000000000002E-2</v>
      </c>
      <c r="G227" s="24">
        <v>3.4000000000000002E-2</v>
      </c>
      <c r="H227" s="24">
        <v>3.5000000000000003E-2</v>
      </c>
      <c r="I227" s="24">
        <v>3.5999999999999997E-2</v>
      </c>
      <c r="J227" s="24">
        <v>3.6999999999999998E-2</v>
      </c>
      <c r="K227" s="24">
        <v>3.7999999999999999E-2</v>
      </c>
      <c r="L227" s="24">
        <v>3.9E-2</v>
      </c>
      <c r="M227" s="24">
        <v>0.04</v>
      </c>
      <c r="N227" s="24">
        <v>4.1000000000000002E-2</v>
      </c>
      <c r="O227" s="24">
        <v>4.2000000000000003E-2</v>
      </c>
      <c r="P227" s="24">
        <v>4.2999999999999997E-2</v>
      </c>
      <c r="Q227" s="24">
        <v>4.3999999999999997E-2</v>
      </c>
      <c r="R227" s="24">
        <v>4.4999999999999998E-2</v>
      </c>
    </row>
    <row r="228" spans="1:18" ht="18" customHeight="1" x14ac:dyDescent="0.2">
      <c r="A228" s="24" t="s">
        <v>144</v>
      </c>
      <c r="B228" s="46">
        <f>B175</f>
        <v>544.9740140505711</v>
      </c>
      <c r="C228" s="46">
        <f t="dataTable" ref="C228:R230" dt2D="0" dtr="1" r1="P6" ca="1"/>
        <v>708.7358410759125</v>
      </c>
      <c r="D228" s="46">
        <v>675.98347567084386</v>
      </c>
      <c r="E228" s="46">
        <v>643.23111026577624</v>
      </c>
      <c r="F228" s="46">
        <v>610.47874486070759</v>
      </c>
      <c r="G228" s="46">
        <v>577.72637945563895</v>
      </c>
      <c r="H228" s="46">
        <v>544.9740140505711</v>
      </c>
      <c r="I228" s="46">
        <v>512.21962404788098</v>
      </c>
      <c r="J228" s="46">
        <v>479.41538692531583</v>
      </c>
      <c r="K228" s="46">
        <v>446.61114980275067</v>
      </c>
      <c r="L228" s="46">
        <v>413.80691268018586</v>
      </c>
      <c r="M228" s="46">
        <v>381.00267555762019</v>
      </c>
      <c r="N228" s="46">
        <v>348.19843843505532</v>
      </c>
      <c r="O228" s="46">
        <v>315.39420131249022</v>
      </c>
      <c r="P228" s="46">
        <v>282.58996418992569</v>
      </c>
      <c r="Q228" s="46">
        <v>249.78572706735974</v>
      </c>
      <c r="R228" s="46">
        <v>216.98148994479448</v>
      </c>
    </row>
    <row r="229" spans="1:18" ht="18" customHeight="1" x14ac:dyDescent="0.2">
      <c r="A229" s="24" t="s">
        <v>145</v>
      </c>
      <c r="B229" s="46">
        <f t="shared" ref="B229:B230" si="100">B176</f>
        <v>0.2600743134525656</v>
      </c>
      <c r="C229" s="46">
        <v>0.30177510045896572</v>
      </c>
      <c r="D229" s="46">
        <v>0.29327614249147804</v>
      </c>
      <c r="E229" s="46">
        <v>0.28485983692130046</v>
      </c>
      <c r="F229" s="46">
        <v>0.27652290110253874</v>
      </c>
      <c r="G229" s="46">
        <v>0.26826211422904045</v>
      </c>
      <c r="H229" s="46">
        <v>0.2600743134525656</v>
      </c>
      <c r="I229" s="46">
        <v>0.25195596273520948</v>
      </c>
      <c r="J229" s="46">
        <v>0.24389386789462097</v>
      </c>
      <c r="K229" s="46">
        <v>0.23589549332952009</v>
      </c>
      <c r="L229" s="46">
        <v>0.22795786660032658</v>
      </c>
      <c r="M229" s="46">
        <v>0.22007805291150517</v>
      </c>
      <c r="N229" s="46">
        <v>0.21225315090030783</v>
      </c>
      <c r="O229" s="46">
        <v>0.20448028843629684</v>
      </c>
      <c r="P229" s="46">
        <v>0.19675661809100409</v>
      </c>
      <c r="Q229" s="46">
        <v>0.18907931276151135</v>
      </c>
      <c r="R229" s="46">
        <v>0.18144556098472342</v>
      </c>
    </row>
    <row r="230" spans="1:18" ht="18" customHeight="1" x14ac:dyDescent="0.2">
      <c r="A230" s="24" t="s">
        <v>146</v>
      </c>
      <c r="B230" s="46">
        <f t="shared" si="100"/>
        <v>5.5039174714923229</v>
      </c>
      <c r="C230" s="46">
        <v>6.8573210006273762</v>
      </c>
      <c r="D230" s="46">
        <v>6.5866402948003628</v>
      </c>
      <c r="E230" s="46">
        <v>6.3159595889733575</v>
      </c>
      <c r="F230" s="46">
        <v>6.0452788831463433</v>
      </c>
      <c r="G230" s="46">
        <v>5.77459817731933</v>
      </c>
      <c r="H230" s="46">
        <v>5.5039174714923229</v>
      </c>
      <c r="I230" s="46">
        <v>5.2332200334535619</v>
      </c>
      <c r="J230" s="46">
        <v>4.962110635746412</v>
      </c>
      <c r="K230" s="46">
        <v>4.6910012380392621</v>
      </c>
      <c r="L230" s="46">
        <v>4.4198918403321148</v>
      </c>
      <c r="M230" s="46">
        <v>4.1487824426249604</v>
      </c>
      <c r="N230" s="46">
        <v>3.8776730449178127</v>
      </c>
      <c r="O230" s="46">
        <v>3.6065636472106628</v>
      </c>
      <c r="P230" s="46">
        <v>3.3354542495035182</v>
      </c>
      <c r="Q230" s="46">
        <v>3.0643448517963616</v>
      </c>
      <c r="R230" s="46">
        <v>2.7932354540892104</v>
      </c>
    </row>
    <row r="232" spans="1:18" ht="18" customHeight="1" x14ac:dyDescent="0.2">
      <c r="A232" s="25" t="s">
        <v>151</v>
      </c>
      <c r="B232" s="25">
        <f>K6</f>
        <v>10</v>
      </c>
      <c r="C232" s="25">
        <v>9.5</v>
      </c>
      <c r="D232" s="25">
        <v>9.6</v>
      </c>
      <c r="E232" s="25">
        <v>9.6999999999999993</v>
      </c>
      <c r="F232" s="25">
        <v>9.8000000000000007</v>
      </c>
      <c r="G232" s="25">
        <v>9.9</v>
      </c>
      <c r="H232" s="25">
        <v>10</v>
      </c>
      <c r="I232" s="25">
        <v>10.1</v>
      </c>
      <c r="J232" s="25">
        <v>10.199999999999999</v>
      </c>
      <c r="K232" s="25">
        <v>10.3</v>
      </c>
      <c r="L232" s="25">
        <v>10.4</v>
      </c>
      <c r="M232" s="25">
        <v>10.5</v>
      </c>
      <c r="N232" s="25">
        <v>10.6</v>
      </c>
      <c r="O232" s="25">
        <v>10.7</v>
      </c>
      <c r="P232" s="25">
        <v>10.8</v>
      </c>
      <c r="Q232" s="25">
        <v>10.9</v>
      </c>
      <c r="R232" s="25">
        <v>11</v>
      </c>
    </row>
    <row r="233" spans="1:18" ht="18" customHeight="1" x14ac:dyDescent="0.2">
      <c r="A233" s="25" t="s">
        <v>144</v>
      </c>
      <c r="B233" s="170">
        <f>B175</f>
        <v>544.9740140505711</v>
      </c>
      <c r="C233" s="170">
        <f t="dataTable" ref="C233:R235" dt2D="0" dtr="1" r1="K6" ca="1"/>
        <v>548.73683728628396</v>
      </c>
      <c r="D233" s="170">
        <v>547.98427263914209</v>
      </c>
      <c r="E233" s="170">
        <v>547.23170799199897</v>
      </c>
      <c r="F233" s="170">
        <v>546.47914334485654</v>
      </c>
      <c r="G233" s="170">
        <v>545.72657869771444</v>
      </c>
      <c r="H233" s="170">
        <v>544.9740140505711</v>
      </c>
      <c r="I233" s="170">
        <v>544.22144940342912</v>
      </c>
      <c r="J233" s="170">
        <v>543.46888475628646</v>
      </c>
      <c r="K233" s="170">
        <v>542.71632010914368</v>
      </c>
      <c r="L233" s="170">
        <v>541.95998602185352</v>
      </c>
      <c r="M233" s="170">
        <v>541.19401723470514</v>
      </c>
      <c r="N233" s="170">
        <v>540.4280484475571</v>
      </c>
      <c r="O233" s="170">
        <v>539.66207966040929</v>
      </c>
      <c r="P233" s="170">
        <v>538.89611087326045</v>
      </c>
      <c r="Q233" s="170">
        <v>538.13014208611264</v>
      </c>
      <c r="R233" s="170">
        <v>537.36417329896426</v>
      </c>
    </row>
    <row r="234" spans="1:18" ht="18" customHeight="1" x14ac:dyDescent="0.2">
      <c r="A234" s="25" t="s">
        <v>145</v>
      </c>
      <c r="B234" s="170">
        <f t="shared" ref="B234:B235" si="101">B176</f>
        <v>0.2600743134525656</v>
      </c>
      <c r="C234" s="170">
        <v>0.26098331482827763</v>
      </c>
      <c r="D234" s="170">
        <v>0.26080146730798548</v>
      </c>
      <c r="E234" s="170">
        <v>0.26061964345193944</v>
      </c>
      <c r="F234" s="170">
        <v>0.26043784321847019</v>
      </c>
      <c r="G234" s="170">
        <v>0.26025606656590461</v>
      </c>
      <c r="H234" s="170">
        <v>0.2600743134525656</v>
      </c>
      <c r="I234" s="170">
        <v>0.25989258383677516</v>
      </c>
      <c r="J234" s="170">
        <v>0.25971087767684997</v>
      </c>
      <c r="K234" s="170">
        <v>0.25952919493110449</v>
      </c>
      <c r="L234" s="170">
        <v>0.25934674278981751</v>
      </c>
      <c r="M234" s="170">
        <v>0.25916228723302503</v>
      </c>
      <c r="N234" s="170">
        <v>0.25897785429524789</v>
      </c>
      <c r="O234" s="170">
        <v>0.25879344393410864</v>
      </c>
      <c r="P234" s="170">
        <v>0.25860905610722473</v>
      </c>
      <c r="Q234" s="170">
        <v>0.2584246907722092</v>
      </c>
      <c r="R234" s="170">
        <v>0.25824034788666816</v>
      </c>
    </row>
    <row r="235" spans="1:18" ht="18" customHeight="1" x14ac:dyDescent="0.2">
      <c r="A235" s="25" t="s">
        <v>146</v>
      </c>
      <c r="B235" s="170">
        <f t="shared" si="101"/>
        <v>5.5039174714923229</v>
      </c>
      <c r="C235" s="170">
        <v>5.5350151841841653</v>
      </c>
      <c r="D235" s="170">
        <v>5.5287956416458028</v>
      </c>
      <c r="E235" s="170">
        <v>5.5225760991074297</v>
      </c>
      <c r="F235" s="170">
        <v>5.516356556569062</v>
      </c>
      <c r="G235" s="170">
        <v>5.5101370140306978</v>
      </c>
      <c r="H235" s="170">
        <v>5.5039174714923229</v>
      </c>
      <c r="I235" s="170">
        <v>5.4976979289539596</v>
      </c>
      <c r="J235" s="170">
        <v>5.4914783864155909</v>
      </c>
      <c r="K235" s="170">
        <v>5.4852588438772205</v>
      </c>
      <c r="L235" s="170">
        <v>5.4790081489409381</v>
      </c>
      <c r="M235" s="170">
        <v>5.4726778283859927</v>
      </c>
      <c r="N235" s="170">
        <v>5.4663475078310508</v>
      </c>
      <c r="O235" s="170">
        <v>5.4600171872761099</v>
      </c>
      <c r="P235" s="170">
        <v>5.4536868667211609</v>
      </c>
      <c r="Q235" s="170">
        <v>5.4473565461662199</v>
      </c>
      <c r="R235" s="170">
        <v>5.4410262256112745</v>
      </c>
    </row>
    <row r="237" spans="1:18" ht="18" customHeight="1" x14ac:dyDescent="0.2">
      <c r="A237" s="26" t="s">
        <v>56</v>
      </c>
      <c r="B237" s="26">
        <f>K11</f>
        <v>120</v>
      </c>
      <c r="C237" s="26">
        <v>115</v>
      </c>
      <c r="D237" s="26">
        <v>116</v>
      </c>
      <c r="E237" s="26">
        <v>117</v>
      </c>
      <c r="F237" s="26">
        <v>118</v>
      </c>
      <c r="G237" s="26">
        <v>119</v>
      </c>
      <c r="H237" s="26">
        <v>120</v>
      </c>
      <c r="I237" s="26">
        <v>121</v>
      </c>
      <c r="J237" s="26">
        <v>122</v>
      </c>
      <c r="K237" s="26">
        <v>123</v>
      </c>
      <c r="L237" s="26">
        <v>124</v>
      </c>
      <c r="M237" s="26">
        <v>125</v>
      </c>
      <c r="N237" s="26">
        <v>126</v>
      </c>
      <c r="O237" s="26">
        <v>127</v>
      </c>
      <c r="P237" s="26">
        <v>128</v>
      </c>
      <c r="Q237" s="26">
        <v>129</v>
      </c>
      <c r="R237" s="26">
        <v>130</v>
      </c>
    </row>
    <row r="238" spans="1:18" ht="18" customHeight="1" x14ac:dyDescent="0.2">
      <c r="A238" s="26" t="s">
        <v>144</v>
      </c>
      <c r="B238" s="47">
        <f>B175</f>
        <v>544.9740140505711</v>
      </c>
      <c r="C238" s="47">
        <f t="dataTable" ref="C238:R240" dt2D="0" dtr="1" r1="K11" ca="1"/>
        <v>549.89983012743517</v>
      </c>
      <c r="D238" s="47">
        <v>548.91517160070816</v>
      </c>
      <c r="E238" s="47">
        <v>547.93025434605215</v>
      </c>
      <c r="F238" s="47">
        <v>546.94508485383187</v>
      </c>
      <c r="G238" s="47">
        <v>545.95966939912569</v>
      </c>
      <c r="H238" s="47">
        <v>544.9740140505711</v>
      </c>
      <c r="I238" s="47">
        <v>543.98812467879191</v>
      </c>
      <c r="J238" s="47">
        <v>543.002006964408</v>
      </c>
      <c r="K238" s="47">
        <v>542.01566640565989</v>
      </c>
      <c r="L238" s="47">
        <v>541.02910832566533</v>
      </c>
      <c r="M238" s="47">
        <v>540.042337879348</v>
      </c>
      <c r="N238" s="47">
        <v>539.05536006001682</v>
      </c>
      <c r="O238" s="47">
        <v>538.06817970565271</v>
      </c>
      <c r="P238" s="47">
        <v>537.08080150491071</v>
      </c>
      <c r="Q238" s="47">
        <v>536.09323000282268</v>
      </c>
      <c r="R238" s="47">
        <v>535.1054696062705</v>
      </c>
    </row>
    <row r="239" spans="1:18" ht="18" customHeight="1" x14ac:dyDescent="0.2">
      <c r="A239" s="26" t="s">
        <v>145</v>
      </c>
      <c r="B239" s="47">
        <f t="shared" ref="B239:B240" si="102">B176</f>
        <v>0.2600743134525656</v>
      </c>
      <c r="C239" s="47">
        <v>0.26209075118431646</v>
      </c>
      <c r="D239" s="47">
        <v>0.26168500458486665</v>
      </c>
      <c r="E239" s="47">
        <v>0.2612804948786116</v>
      </c>
      <c r="F239" s="47">
        <v>0.26087721466570479</v>
      </c>
      <c r="G239" s="47">
        <v>0.26047515661286402</v>
      </c>
      <c r="H239" s="47">
        <v>0.2600743134525656</v>
      </c>
      <c r="I239" s="47">
        <v>0.2596746779822583</v>
      </c>
      <c r="J239" s="47">
        <v>0.25927624306358377</v>
      </c>
      <c r="K239" s="47">
        <v>0.25887900162161159</v>
      </c>
      <c r="L239" s="47">
        <v>0.258482946644085</v>
      </c>
      <c r="M239" s="47">
        <v>0.25808807118067767</v>
      </c>
      <c r="N239" s="47">
        <v>0.25769436834226167</v>
      </c>
      <c r="O239" s="47">
        <v>0.25730183130018602</v>
      </c>
      <c r="P239" s="47">
        <v>0.25691045328556639</v>
      </c>
      <c r="Q239" s="47">
        <v>0.25652022758858473</v>
      </c>
      <c r="R239" s="47">
        <v>0.25613114755780098</v>
      </c>
    </row>
    <row r="240" spans="1:18" ht="18" customHeight="1" x14ac:dyDescent="0.2">
      <c r="A240" s="26" t="s">
        <v>146</v>
      </c>
      <c r="B240" s="47">
        <f t="shared" si="102"/>
        <v>5.5039174714923229</v>
      </c>
      <c r="C240" s="47">
        <v>5.7405157769606481</v>
      </c>
      <c r="D240" s="47">
        <v>5.6915826632539162</v>
      </c>
      <c r="E240" s="47">
        <v>5.6434767317462047</v>
      </c>
      <c r="F240" s="47">
        <v>5.5961771836456462</v>
      </c>
      <c r="G240" s="47">
        <v>5.5496639116593807</v>
      </c>
      <c r="H240" s="47">
        <v>5.5039174714923229</v>
      </c>
      <c r="I240" s="47">
        <v>5.4589190547441957</v>
      </c>
      <c r="J240" s="47">
        <v>5.4146504631252679</v>
      </c>
      <c r="K240" s="47">
        <v>5.3710940839166117</v>
      </c>
      <c r="L240" s="47">
        <v>5.3282328666053225</v>
      </c>
      <c r="M240" s="47">
        <v>5.2860503006297463</v>
      </c>
      <c r="N240" s="47">
        <v>5.2445303941733608</v>
      </c>
      <c r="O240" s="47">
        <v>5.2036576539504118</v>
      </c>
      <c r="P240" s="47">
        <v>5.16341706592954</v>
      </c>
      <c r="Q240" s="47">
        <v>5.1237940769447903</v>
      </c>
      <c r="R240" s="47">
        <v>5.0847745771471029</v>
      </c>
    </row>
    <row r="242" spans="1:18" ht="18" customHeight="1" x14ac:dyDescent="0.2">
      <c r="A242" s="27" t="s">
        <v>90</v>
      </c>
      <c r="B242" s="27">
        <f>P22</f>
        <v>8</v>
      </c>
      <c r="C242" s="27">
        <v>6</v>
      </c>
      <c r="D242" s="27">
        <v>6.5</v>
      </c>
      <c r="E242" s="27">
        <v>7</v>
      </c>
      <c r="F242" s="27">
        <v>7.5</v>
      </c>
      <c r="G242" s="27">
        <v>8</v>
      </c>
      <c r="H242" s="27">
        <v>8.5</v>
      </c>
      <c r="I242" s="27">
        <v>9</v>
      </c>
      <c r="J242" s="27">
        <v>9.5</v>
      </c>
      <c r="K242" s="27">
        <v>10</v>
      </c>
      <c r="L242" s="27">
        <v>10.5</v>
      </c>
      <c r="M242" s="27">
        <v>11</v>
      </c>
      <c r="N242" s="27">
        <v>11.5</v>
      </c>
      <c r="O242" s="27">
        <v>12</v>
      </c>
      <c r="P242" s="27">
        <v>12.5</v>
      </c>
      <c r="Q242" s="27">
        <v>13</v>
      </c>
      <c r="R242" s="27">
        <v>13.5</v>
      </c>
    </row>
    <row r="243" spans="1:18" ht="18" customHeight="1" x14ac:dyDescent="0.2">
      <c r="A243" s="27" t="s">
        <v>144</v>
      </c>
      <c r="B243" s="171">
        <f>B175</f>
        <v>544.9740140505711</v>
      </c>
      <c r="C243" s="171">
        <f t="dataTable" ref="C243:R245" dt2D="0" dtr="1" r1="P22" ca="1"/>
        <v>556.28037545831069</v>
      </c>
      <c r="D243" s="171">
        <v>553.45378510637568</v>
      </c>
      <c r="E243" s="171">
        <v>550.62719475444101</v>
      </c>
      <c r="F243" s="171">
        <v>547.80060440250645</v>
      </c>
      <c r="G243" s="171">
        <v>544.9740140505711</v>
      </c>
      <c r="H243" s="171">
        <v>542.14310612916574</v>
      </c>
      <c r="I243" s="171">
        <v>539.26235108788489</v>
      </c>
      <c r="J243" s="171">
        <v>536.38159604660405</v>
      </c>
      <c r="K243" s="171">
        <v>533.50084100532342</v>
      </c>
      <c r="L243" s="171">
        <v>530.62008596404246</v>
      </c>
      <c r="M243" s="171">
        <v>527.73933092276172</v>
      </c>
      <c r="N243" s="171">
        <v>524.85857588148076</v>
      </c>
      <c r="O243" s="171">
        <v>521.97782084020014</v>
      </c>
      <c r="P243" s="171">
        <v>519.09706579891974</v>
      </c>
      <c r="Q243" s="171">
        <v>516.21631075763867</v>
      </c>
      <c r="R243" s="171">
        <v>513.3355557163577</v>
      </c>
    </row>
    <row r="244" spans="1:18" ht="18" customHeight="1" x14ac:dyDescent="0.2">
      <c r="A244" s="27" t="s">
        <v>145</v>
      </c>
      <c r="B244" s="171">
        <f t="shared" ref="B244:B245" si="103">B176</f>
        <v>0.2600743134525656</v>
      </c>
      <c r="C244" s="171">
        <v>0.26305303444597761</v>
      </c>
      <c r="D244" s="171">
        <v>0.26230685420033995</v>
      </c>
      <c r="E244" s="171">
        <v>0.2615616762197901</v>
      </c>
      <c r="F244" s="171">
        <v>0.26081749710110746</v>
      </c>
      <c r="G244" s="171">
        <v>0.2600743134525656</v>
      </c>
      <c r="H244" s="171">
        <v>0.25933121420418592</v>
      </c>
      <c r="I244" s="171">
        <v>0.2585786232520253</v>
      </c>
      <c r="J244" s="171">
        <v>0.25782701584598189</v>
      </c>
      <c r="K244" s="171">
        <v>0.25707638864510907</v>
      </c>
      <c r="L244" s="171">
        <v>0.25632673831950337</v>
      </c>
      <c r="M244" s="171">
        <v>0.25557806155025609</v>
      </c>
      <c r="N244" s="171">
        <v>0.2548303550294051</v>
      </c>
      <c r="O244" s="171">
        <v>0.25408361545988556</v>
      </c>
      <c r="P244" s="171">
        <v>0.25333783955548372</v>
      </c>
      <c r="Q244" s="171">
        <v>0.25259302404078832</v>
      </c>
      <c r="R244" s="171">
        <v>0.25184916565114168</v>
      </c>
    </row>
    <row r="245" spans="1:18" ht="18" customHeight="1" x14ac:dyDescent="0.2">
      <c r="A245" s="27" t="s">
        <v>146</v>
      </c>
      <c r="B245" s="171">
        <f t="shared" si="103"/>
        <v>5.5039174714923229</v>
      </c>
      <c r="C245" s="171">
        <v>5.5973584748620722</v>
      </c>
      <c r="D245" s="171">
        <v>5.5739982240196335</v>
      </c>
      <c r="E245" s="171">
        <v>5.5506379731771984</v>
      </c>
      <c r="F245" s="171">
        <v>5.5272777223347642</v>
      </c>
      <c r="G245" s="171">
        <v>5.5039174714923229</v>
      </c>
      <c r="H245" s="171">
        <v>5.4805215382575678</v>
      </c>
      <c r="I245" s="171">
        <v>5.4567136453544203</v>
      </c>
      <c r="J245" s="171">
        <v>5.4329057524512727</v>
      </c>
      <c r="K245" s="171">
        <v>5.4090978595481278</v>
      </c>
      <c r="L245" s="171">
        <v>5.3852899666449794</v>
      </c>
      <c r="M245" s="171">
        <v>5.3614820737418327</v>
      </c>
      <c r="N245" s="171">
        <v>5.3376741808386843</v>
      </c>
      <c r="O245" s="171">
        <v>5.3138662879355385</v>
      </c>
      <c r="P245" s="171">
        <v>5.2900583950323945</v>
      </c>
      <c r="Q245" s="171">
        <v>5.2662505021292452</v>
      </c>
      <c r="R245" s="171">
        <v>5.2424426092260967</v>
      </c>
    </row>
    <row r="247" spans="1:18" ht="18" customHeight="1" x14ac:dyDescent="0.25">
      <c r="A247" s="1" t="s">
        <v>152</v>
      </c>
    </row>
    <row r="248" spans="1:18" ht="18" customHeight="1" x14ac:dyDescent="0.2">
      <c r="A248" s="5" t="s">
        <v>153</v>
      </c>
      <c r="B248" s="45">
        <f>B175</f>
        <v>544.9740140505711</v>
      </c>
      <c r="C248" s="45">
        <v>0.02</v>
      </c>
      <c r="D248" s="45">
        <v>2.1999999999999999E-2</v>
      </c>
      <c r="E248" s="45">
        <v>2.4E-2</v>
      </c>
      <c r="F248" s="45">
        <v>2.5999999999999999E-2</v>
      </c>
      <c r="G248" s="45">
        <v>2.8000000000000001E-2</v>
      </c>
      <c r="H248" s="45">
        <v>0.03</v>
      </c>
      <c r="I248" s="45">
        <v>3.2000000000000001E-2</v>
      </c>
      <c r="J248" s="45">
        <v>3.4000000000000002E-2</v>
      </c>
      <c r="K248" s="45">
        <v>3.5999999999999997E-2</v>
      </c>
      <c r="L248" s="45">
        <v>3.7999999999999999E-2</v>
      </c>
      <c r="M248" s="45">
        <v>0.04</v>
      </c>
      <c r="N248" s="45">
        <v>4.2000000000000003E-2</v>
      </c>
      <c r="O248" s="45">
        <v>4.3999999999999997E-2</v>
      </c>
      <c r="P248" s="45">
        <v>4.5999999999999999E-2</v>
      </c>
      <c r="Q248" s="45">
        <v>4.8000000000000001E-2</v>
      </c>
      <c r="R248" s="45">
        <v>0.05</v>
      </c>
    </row>
    <row r="249" spans="1:18" ht="18" customHeight="1" x14ac:dyDescent="0.2">
      <c r="B249" s="45">
        <v>0.05</v>
      </c>
      <c r="C249" s="45">
        <f t="dataTable" ref="C249:R264" dt2D="1" dtr="1" r1="P5" r2="D5" ca="1"/>
        <v>96.925865078396441</v>
      </c>
      <c r="D249" s="168">
        <v>-165.50803190212483</v>
      </c>
      <c r="E249" s="168">
        <v>-427.94192888264632</v>
      </c>
      <c r="F249" s="168">
        <v>-690.75995411085296</v>
      </c>
      <c r="G249" s="168">
        <v>-953.67289081788874</v>
      </c>
      <c r="H249" s="168">
        <v>-1216.9245224975821</v>
      </c>
      <c r="I249" s="168">
        <v>-1480.2709326829497</v>
      </c>
      <c r="J249" s="168">
        <v>-1743.8823651986461</v>
      </c>
      <c r="K249" s="168">
        <v>-2007.4937977143406</v>
      </c>
      <c r="L249" s="168">
        <v>-2271.1052302300382</v>
      </c>
      <c r="M249" s="168">
        <v>-2534.7166627457332</v>
      </c>
      <c r="N249" s="168">
        <v>-2798.3280952614314</v>
      </c>
      <c r="O249" s="168">
        <v>-3061.9395277771255</v>
      </c>
      <c r="P249" s="168">
        <v>-3325.5509602928228</v>
      </c>
      <c r="Q249" s="168">
        <v>-3589.1623928085191</v>
      </c>
      <c r="R249" s="168">
        <v>-3852.7738253242146</v>
      </c>
    </row>
    <row r="250" spans="1:18" ht="18" customHeight="1" x14ac:dyDescent="0.2">
      <c r="B250" s="45">
        <v>5.1999999999999998E-2</v>
      </c>
      <c r="C250" s="45">
        <v>448.97936127732669</v>
      </c>
      <c r="D250" s="45">
        <v>186.54546429680528</v>
      </c>
      <c r="E250" s="168">
        <v>-75.888432683715934</v>
      </c>
      <c r="F250" s="168">
        <v>-338.32232966423692</v>
      </c>
      <c r="G250" s="168">
        <v>-600.92572869340427</v>
      </c>
      <c r="H250" s="168">
        <v>-863.78578394223496</v>
      </c>
      <c r="I250" s="168">
        <v>-1126.857760170634</v>
      </c>
      <c r="J250" s="168">
        <v>-1390.1093918503279</v>
      </c>
      <c r="K250" s="168">
        <v>-1653.5675277658406</v>
      </c>
      <c r="L250" s="168">
        <v>-1917.1789602815372</v>
      </c>
      <c r="M250" s="168">
        <v>-2180.7903927972343</v>
      </c>
      <c r="N250" s="168">
        <v>-2444.4018253129298</v>
      </c>
      <c r="O250" s="168">
        <v>-2708.0132578286257</v>
      </c>
      <c r="P250" s="168">
        <v>-2971.6246903443225</v>
      </c>
      <c r="Q250" s="168">
        <v>-3235.236122860018</v>
      </c>
      <c r="R250" s="168">
        <v>-3498.8475553757144</v>
      </c>
    </row>
    <row r="251" spans="1:18" ht="18" customHeight="1" x14ac:dyDescent="0.2">
      <c r="B251" s="45">
        <v>5.3999999999999999E-2</v>
      </c>
      <c r="C251" s="45">
        <v>800.67408620022422</v>
      </c>
      <c r="D251" s="45">
        <v>538.59896049573661</v>
      </c>
      <c r="E251" s="45">
        <v>276.16506351521537</v>
      </c>
      <c r="F251" s="45">
        <v>13.731166534694268</v>
      </c>
      <c r="G251" s="168">
        <v>-248.70273044582774</v>
      </c>
      <c r="H251" s="168">
        <v>-511.13662742634847</v>
      </c>
      <c r="I251" s="168">
        <v>-773.95155852478524</v>
      </c>
      <c r="J251" s="168">
        <v>-1036.811613773617</v>
      </c>
      <c r="K251" s="168">
        <v>-1300.0426295233774</v>
      </c>
      <c r="L251" s="168">
        <v>-1563.2942612030713</v>
      </c>
      <c r="M251" s="168">
        <v>-1826.8641228487329</v>
      </c>
      <c r="N251" s="168">
        <v>-2090.47555536443</v>
      </c>
      <c r="O251" s="168">
        <v>-2354.0869878801241</v>
      </c>
      <c r="P251" s="168">
        <v>-2617.6984203958214</v>
      </c>
      <c r="Q251" s="168">
        <v>-2881.3098529115173</v>
      </c>
      <c r="R251" s="168">
        <v>-3144.9212854272128</v>
      </c>
    </row>
    <row r="252" spans="1:18" ht="18" customHeight="1" x14ac:dyDescent="0.2">
      <c r="B252" s="45">
        <v>5.6000000000000001E-2</v>
      </c>
      <c r="C252" s="45">
        <v>1151.8767623143665</v>
      </c>
      <c r="D252" s="45">
        <v>890.12001097737107</v>
      </c>
      <c r="E252" s="45">
        <v>628.10108773682578</v>
      </c>
      <c r="F252" s="45">
        <v>365.78466273362682</v>
      </c>
      <c r="G252" s="45">
        <v>103.35076575310487</v>
      </c>
      <c r="H252" s="168">
        <v>-159.08313122741617</v>
      </c>
      <c r="I252" s="168">
        <v>-421.5170282079377</v>
      </c>
      <c r="J252" s="168">
        <v>-684.1173331073345</v>
      </c>
      <c r="K252" s="168">
        <v>-946.9773883561644</v>
      </c>
      <c r="L252" s="168">
        <v>-1209.9758671964266</v>
      </c>
      <c r="M252" s="168">
        <v>-1473.2274988761203</v>
      </c>
      <c r="N252" s="168">
        <v>-1736.5492854159277</v>
      </c>
      <c r="O252" s="168">
        <v>-2000.1607179316229</v>
      </c>
      <c r="P252" s="168">
        <v>-2263.7721504473193</v>
      </c>
      <c r="Q252" s="168">
        <v>-2527.3835829630148</v>
      </c>
      <c r="R252" s="168">
        <v>-2790.9950154787111</v>
      </c>
    </row>
    <row r="253" spans="1:18" ht="18" customHeight="1" x14ac:dyDescent="0.2">
      <c r="B253" s="45">
        <v>5.8000000000000003E-2</v>
      </c>
      <c r="C253" s="45">
        <v>1502.6220429110858</v>
      </c>
      <c r="D253" s="45">
        <v>1241.1699370146323</v>
      </c>
      <c r="E253" s="45">
        <v>979.56593575451598</v>
      </c>
      <c r="F253" s="45">
        <v>717.54701251397091</v>
      </c>
      <c r="G253" s="45">
        <v>455.40426195203531</v>
      </c>
      <c r="H253" s="45">
        <v>192.97036497151453</v>
      </c>
      <c r="I253" s="168">
        <v>-69.46353200900711</v>
      </c>
      <c r="J253" s="168">
        <v>-331.89742898952898</v>
      </c>
      <c r="K253" s="168">
        <v>-594.33132597004919</v>
      </c>
      <c r="L253" s="168">
        <v>-857.14316293871548</v>
      </c>
      <c r="M253" s="168">
        <v>-1120.0032181875463</v>
      </c>
      <c r="N253" s="168">
        <v>-1383.1607365491727</v>
      </c>
      <c r="O253" s="168">
        <v>-1646.4123682288648</v>
      </c>
      <c r="P253" s="168">
        <v>-1909.8458804988193</v>
      </c>
      <c r="Q253" s="168">
        <v>-2173.457313014515</v>
      </c>
      <c r="R253" s="168">
        <v>-2437.0687455302104</v>
      </c>
    </row>
    <row r="254" spans="1:18" ht="18" customHeight="1" x14ac:dyDescent="0.2">
      <c r="B254" s="45">
        <v>0.06</v>
      </c>
      <c r="C254" s="45">
        <v>1852.8620031799894</v>
      </c>
      <c r="D254" s="45">
        <v>1591.7862084496323</v>
      </c>
      <c r="E254" s="45">
        <v>1330.4631117148988</v>
      </c>
      <c r="F254" s="45">
        <v>1068.895810371087</v>
      </c>
      <c r="G254" s="45">
        <v>806.99293729111628</v>
      </c>
      <c r="H254" s="45">
        <v>544.9740140505711</v>
      </c>
      <c r="I254" s="45">
        <v>282.58996418992439</v>
      </c>
      <c r="J254" s="45">
        <v>20.15606720940275</v>
      </c>
      <c r="K254" s="168">
        <v>-242.27782977111744</v>
      </c>
      <c r="L254" s="168">
        <v>-504.71172675163911</v>
      </c>
      <c r="M254" s="168">
        <v>-767.30893752126508</v>
      </c>
      <c r="N254" s="168">
        <v>-1030.1689927700963</v>
      </c>
      <c r="O254" s="168">
        <v>-1293.0939742222208</v>
      </c>
      <c r="P254" s="168">
        <v>-1556.3456059019154</v>
      </c>
      <c r="Q254" s="168">
        <v>-1819.5972375816089</v>
      </c>
      <c r="R254" s="168">
        <v>-2083.1424755817088</v>
      </c>
    </row>
    <row r="255" spans="1:18" ht="18" customHeight="1" x14ac:dyDescent="0.2">
      <c r="B255" s="45">
        <v>6.2E-2</v>
      </c>
      <c r="C255" s="45">
        <v>2203.1019634488921</v>
      </c>
      <c r="D255" s="45">
        <v>1942.0261687185357</v>
      </c>
      <c r="E255" s="45">
        <v>1680.9503739881789</v>
      </c>
      <c r="F255" s="45">
        <v>1419.7562864151655</v>
      </c>
      <c r="G255" s="45">
        <v>1158.1889850713521</v>
      </c>
      <c r="H255" s="45">
        <v>896.43886206826221</v>
      </c>
      <c r="I255" s="45">
        <v>634.41993882771601</v>
      </c>
      <c r="J255" s="45">
        <v>372.20956340833322</v>
      </c>
      <c r="K255" s="45">
        <v>109.77566642781323</v>
      </c>
      <c r="L255" s="168">
        <v>-152.65823055270826</v>
      </c>
      <c r="M255" s="168">
        <v>-415.09212753322993</v>
      </c>
      <c r="N255" s="168">
        <v>-677.52602451375196</v>
      </c>
      <c r="O255" s="168">
        <v>-940.33476735264605</v>
      </c>
      <c r="P255" s="168">
        <v>-1203.1948226014779</v>
      </c>
      <c r="Q255" s="168">
        <v>-1466.2788435749667</v>
      </c>
      <c r="R255" s="168">
        <v>-1729.5304752546597</v>
      </c>
    </row>
    <row r="256" spans="1:18" ht="18" customHeight="1" x14ac:dyDescent="0.2">
      <c r="B256" s="45">
        <v>6.4000000000000001E-2</v>
      </c>
      <c r="C256" s="45">
        <v>2553.3419237177964</v>
      </c>
      <c r="D256" s="45">
        <v>2292.2661289874395</v>
      </c>
      <c r="E256" s="45">
        <v>2031.1903342570827</v>
      </c>
      <c r="F256" s="45">
        <v>1770.114539526726</v>
      </c>
      <c r="G256" s="45">
        <v>1509.038744796369</v>
      </c>
      <c r="H256" s="45">
        <v>1247.4821597716193</v>
      </c>
      <c r="I256" s="45">
        <v>985.88478684540769</v>
      </c>
      <c r="J256" s="45">
        <v>723.86586360486172</v>
      </c>
      <c r="K256" s="45">
        <v>461.82916262674473</v>
      </c>
      <c r="L256" s="45">
        <v>199.39526564622327</v>
      </c>
      <c r="M256" s="168">
        <v>-63.038631334298067</v>
      </c>
      <c r="N256" s="168">
        <v>-325.47252831482012</v>
      </c>
      <c r="O256" s="168">
        <v>-587.90642529533989</v>
      </c>
      <c r="P256" s="168">
        <v>-850.50054193519622</v>
      </c>
      <c r="Q256" s="168">
        <v>-1113.3605971840266</v>
      </c>
      <c r="R256" s="168">
        <v>-1376.2206524328574</v>
      </c>
    </row>
    <row r="257" spans="1:18" ht="18" customHeight="1" x14ac:dyDescent="0.2">
      <c r="B257" s="45">
        <v>6.6000000000000003E-2</v>
      </c>
      <c r="C257" s="45">
        <v>2903.5818839867002</v>
      </c>
      <c r="D257" s="45">
        <v>2642.5060892563424</v>
      </c>
      <c r="E257" s="45">
        <v>2381.430294525986</v>
      </c>
      <c r="F257" s="45">
        <v>2120.3544997956292</v>
      </c>
      <c r="G257" s="45">
        <v>1859.2787050652719</v>
      </c>
      <c r="H257" s="45">
        <v>1598.2029103349153</v>
      </c>
      <c r="I257" s="45">
        <v>1336.7753344718847</v>
      </c>
      <c r="J257" s="45">
        <v>1075.2080331280717</v>
      </c>
      <c r="K257" s="45">
        <v>813.3117883820081</v>
      </c>
      <c r="L257" s="45">
        <v>551.29286514146224</v>
      </c>
      <c r="M257" s="45">
        <v>289.01486486463261</v>
      </c>
      <c r="N257" s="45">
        <v>26.580967884110294</v>
      </c>
      <c r="O257" s="168">
        <v>-235.8529290964095</v>
      </c>
      <c r="P257" s="168">
        <v>-498.28682607693139</v>
      </c>
      <c r="Q257" s="168">
        <v>-760.72072305745246</v>
      </c>
      <c r="R257" s="168">
        <v>-1023.526371766577</v>
      </c>
    </row>
    <row r="258" spans="1:18" ht="18" customHeight="1" x14ac:dyDescent="0.2">
      <c r="B258" s="45">
        <v>6.8000000000000005E-2</v>
      </c>
      <c r="C258" s="45">
        <v>3253.821844255604</v>
      </c>
      <c r="D258" s="45">
        <v>2992.7460495252476</v>
      </c>
      <c r="E258" s="45">
        <v>2731.6702547948903</v>
      </c>
      <c r="F258" s="45">
        <v>2470.5944600645344</v>
      </c>
      <c r="G258" s="45">
        <v>2209.5186653341761</v>
      </c>
      <c r="H258" s="45">
        <v>1948.4428706038202</v>
      </c>
      <c r="I258" s="45">
        <v>1687.3670758734634</v>
      </c>
      <c r="J258" s="45">
        <v>1426.0685091721521</v>
      </c>
      <c r="K258" s="45">
        <v>1164.5012078283407</v>
      </c>
      <c r="L258" s="45">
        <v>902.75771315915495</v>
      </c>
      <c r="M258" s="45">
        <v>640.73878991860954</v>
      </c>
      <c r="N258" s="45">
        <v>378.6344640830431</v>
      </c>
      <c r="O258" s="45">
        <v>116.20056710252339</v>
      </c>
      <c r="P258" s="168">
        <v>-146.23332987799887</v>
      </c>
      <c r="Q258" s="168">
        <v>-408.6672268585196</v>
      </c>
      <c r="R258" s="168">
        <v>-671.10112383904084</v>
      </c>
    </row>
    <row r="259" spans="1:18" ht="18" customHeight="1" x14ac:dyDescent="0.2">
      <c r="B259" s="45">
        <v>6.9999999999999896E-2</v>
      </c>
      <c r="C259" s="45">
        <v>3604.0185536524186</v>
      </c>
      <c r="D259" s="45">
        <v>3342.986009794131</v>
      </c>
      <c r="E259" s="45">
        <v>3081.9102150637741</v>
      </c>
      <c r="F259" s="45">
        <v>2820.8344203334177</v>
      </c>
      <c r="G259" s="45">
        <v>2559.7586256030604</v>
      </c>
      <c r="H259" s="45">
        <v>2298.6828308727031</v>
      </c>
      <c r="I259" s="45">
        <v>2037.6070361423463</v>
      </c>
      <c r="J259" s="45">
        <v>1776.531241411989</v>
      </c>
      <c r="K259" s="45">
        <v>1515.3616838723995</v>
      </c>
      <c r="L259" s="45">
        <v>1253.7943825285865</v>
      </c>
      <c r="M259" s="45">
        <v>992.2036379362803</v>
      </c>
      <c r="N259" s="45">
        <v>730.18471469573399</v>
      </c>
      <c r="O259" s="45">
        <v>468.16579145518995</v>
      </c>
      <c r="P259" s="45">
        <v>205.82016632091234</v>
      </c>
      <c r="Q259" s="168">
        <v>-56.613730659608706</v>
      </c>
      <c r="R259" s="168">
        <v>-319.04762764012969</v>
      </c>
    </row>
    <row r="260" spans="1:18" ht="18" customHeight="1" x14ac:dyDescent="0.2">
      <c r="B260" s="45">
        <v>7.1999999999999897E-2</v>
      </c>
      <c r="C260" s="45">
        <v>3953.7338509053666</v>
      </c>
      <c r="D260" s="45">
        <v>3693.0985733603002</v>
      </c>
      <c r="E260" s="45">
        <v>3432.1501753326779</v>
      </c>
      <c r="F260" s="45">
        <v>3171.0743806023211</v>
      </c>
      <c r="G260" s="45">
        <v>2909.9985858719638</v>
      </c>
      <c r="H260" s="45">
        <v>2648.9227911416074</v>
      </c>
      <c r="I260" s="45">
        <v>2387.8469964112501</v>
      </c>
      <c r="J260" s="45">
        <v>2126.7712016808923</v>
      </c>
      <c r="K260" s="45">
        <v>1865.6954069505371</v>
      </c>
      <c r="L260" s="45">
        <v>1604.61961222018</v>
      </c>
      <c r="M260" s="45">
        <v>1343.087557228853</v>
      </c>
      <c r="N260" s="45">
        <v>1081.5202558850392</v>
      </c>
      <c r="O260" s="45">
        <v>819.63063947288072</v>
      </c>
      <c r="P260" s="45">
        <v>557.61171623233463</v>
      </c>
      <c r="Q260" s="45">
        <v>295.43976553932231</v>
      </c>
      <c r="R260" s="45">
        <v>33.005868558801211</v>
      </c>
    </row>
    <row r="261" spans="1:18" ht="18" customHeight="1" x14ac:dyDescent="0.2">
      <c r="B261" s="45">
        <v>7.3999999999999899E-2</v>
      </c>
      <c r="C261" s="45">
        <v>4303.1327643637678</v>
      </c>
      <c r="D261" s="45">
        <v>4042.8138706132495</v>
      </c>
      <c r="E261" s="45">
        <v>3782.1785930681822</v>
      </c>
      <c r="F261" s="45">
        <v>3521.3143408712258</v>
      </c>
      <c r="G261" s="45">
        <v>3260.2385461408685</v>
      </c>
      <c r="H261" s="45">
        <v>2999.1627514105121</v>
      </c>
      <c r="I261" s="45">
        <v>2738.0869566801548</v>
      </c>
      <c r="J261" s="45">
        <v>2477.011161949798</v>
      </c>
      <c r="K261" s="45">
        <v>2215.9353672194416</v>
      </c>
      <c r="L261" s="45">
        <v>1954.8595724890847</v>
      </c>
      <c r="M261" s="45">
        <v>1693.7837777587276</v>
      </c>
      <c r="N261" s="45">
        <v>1432.38073192912</v>
      </c>
      <c r="O261" s="45">
        <v>1170.8134305853087</v>
      </c>
      <c r="P261" s="45">
        <v>909.07656425002756</v>
      </c>
      <c r="Q261" s="45">
        <v>647.05764100948261</v>
      </c>
      <c r="R261" s="45">
        <v>385.03871776893698</v>
      </c>
    </row>
    <row r="262" spans="1:18" ht="18" customHeight="1" x14ac:dyDescent="0.2">
      <c r="B262" s="45">
        <v>7.5999999999999901E-2</v>
      </c>
      <c r="C262" s="45">
        <v>4652.3093839607909</v>
      </c>
      <c r="D262" s="45">
        <v>4392.153527611812</v>
      </c>
      <c r="E262" s="45">
        <v>4131.8938903211301</v>
      </c>
      <c r="F262" s="45">
        <v>3871.2586127760633</v>
      </c>
      <c r="G262" s="45">
        <v>3610.4785064097709</v>
      </c>
      <c r="H262" s="45">
        <v>3349.402711679415</v>
      </c>
      <c r="I262" s="45">
        <v>3088.3269169490577</v>
      </c>
      <c r="J262" s="45">
        <v>2827.2511222187004</v>
      </c>
      <c r="K262" s="45">
        <v>2566.1753274883445</v>
      </c>
      <c r="L262" s="45">
        <v>2305.0995327579872</v>
      </c>
      <c r="M262" s="45">
        <v>2044.0237380276308</v>
      </c>
      <c r="N262" s="45">
        <v>1782.947943297273</v>
      </c>
      <c r="O262" s="45">
        <v>1521.6739066293876</v>
      </c>
      <c r="P262" s="45">
        <v>1260.106605285574</v>
      </c>
      <c r="Q262" s="45">
        <v>998.52248902717338</v>
      </c>
      <c r="R262" s="45">
        <v>736.50356578662843</v>
      </c>
    </row>
    <row r="263" spans="1:18" ht="18" customHeight="1" x14ac:dyDescent="0.2">
      <c r="B263" s="45">
        <v>7.7999999999999903E-2</v>
      </c>
      <c r="C263" s="45">
        <v>5000.9332293659472</v>
      </c>
      <c r="D263" s="45">
        <v>4741.2991340082144</v>
      </c>
      <c r="E263" s="45">
        <v>4481.1742908598571</v>
      </c>
      <c r="F263" s="45">
        <v>4220.9739100290117</v>
      </c>
      <c r="G263" s="45">
        <v>3960.3386324839448</v>
      </c>
      <c r="H263" s="45">
        <v>3699.6426719483188</v>
      </c>
      <c r="I263" s="45">
        <v>3438.5668772179624</v>
      </c>
      <c r="J263" s="45">
        <v>3177.4910824876047</v>
      </c>
      <c r="K263" s="45">
        <v>2916.4152877572492</v>
      </c>
      <c r="L263" s="45">
        <v>2655.3394930268919</v>
      </c>
      <c r="M263" s="45">
        <v>2394.263698296535</v>
      </c>
      <c r="N263" s="45">
        <v>2133.1879035661773</v>
      </c>
      <c r="O263" s="45">
        <v>1872.1121088358216</v>
      </c>
      <c r="P263" s="45">
        <v>1610.9670813296539</v>
      </c>
      <c r="Q263" s="45">
        <v>1349.3997799858419</v>
      </c>
      <c r="R263" s="45">
        <v>1087.8324786420292</v>
      </c>
    </row>
    <row r="264" spans="1:18" ht="18" customHeight="1" x14ac:dyDescent="0.2">
      <c r="B264" s="45">
        <v>7.9999999999999905E-2</v>
      </c>
      <c r="C264" s="45">
        <v>5349.5567823122501</v>
      </c>
      <c r="D264" s="45">
        <v>5089.9226869545182</v>
      </c>
      <c r="E264" s="45">
        <v>4830.2885915967836</v>
      </c>
      <c r="F264" s="45">
        <v>4570.1950541079041</v>
      </c>
      <c r="G264" s="45">
        <v>4310.0391977589234</v>
      </c>
      <c r="H264" s="45">
        <v>4049.4186521918273</v>
      </c>
      <c r="I264" s="45">
        <v>3788.7833746467604</v>
      </c>
      <c r="J264" s="45">
        <v>3527.7310427565089</v>
      </c>
      <c r="K264" s="45">
        <v>3266.6552480261535</v>
      </c>
      <c r="L264" s="45">
        <v>3005.5794532957966</v>
      </c>
      <c r="M264" s="45">
        <v>2744.5036585654393</v>
      </c>
      <c r="N264" s="45">
        <v>2483.4278638350811</v>
      </c>
      <c r="O264" s="45">
        <v>2222.3520691047261</v>
      </c>
      <c r="P264" s="45">
        <v>1961.2762743743683</v>
      </c>
      <c r="Q264" s="45">
        <v>1700.2004796440121</v>
      </c>
      <c r="R264" s="45">
        <v>1438.692954686109</v>
      </c>
    </row>
    <row r="265" spans="1:18" ht="18" customHeight="1" x14ac:dyDescent="0.2">
      <c r="B265" s="45"/>
      <c r="C265" s="45"/>
      <c r="D265" s="45"/>
      <c r="E265" s="45"/>
      <c r="F265" s="45"/>
      <c r="G265" s="45"/>
      <c r="H265" s="45"/>
      <c r="I265" s="45"/>
      <c r="J265" s="45"/>
      <c r="K265" s="45"/>
      <c r="L265" s="45"/>
      <c r="M265" s="45"/>
      <c r="N265" s="45"/>
      <c r="O265" s="45"/>
      <c r="P265" s="45"/>
      <c r="Q265" s="45"/>
      <c r="R265" s="45"/>
    </row>
    <row r="266" spans="1:18" ht="18" customHeight="1" x14ac:dyDescent="0.2">
      <c r="A266" s="5" t="s">
        <v>154</v>
      </c>
      <c r="B266" s="45">
        <f>B175</f>
        <v>544.9740140505711</v>
      </c>
      <c r="C266" s="45">
        <v>2.5000000000000001E-2</v>
      </c>
      <c r="D266" s="45">
        <v>2.7E-2</v>
      </c>
      <c r="E266" s="45">
        <v>2.9000000000000001E-2</v>
      </c>
      <c r="F266" s="45">
        <v>3.1E-2</v>
      </c>
      <c r="G266" s="45">
        <v>3.3000000000000002E-2</v>
      </c>
      <c r="H266" s="45">
        <v>3.5000000000000003E-2</v>
      </c>
      <c r="I266" s="45">
        <v>3.6999999999999998E-2</v>
      </c>
      <c r="J266" s="45">
        <v>3.9E-2</v>
      </c>
      <c r="K266" s="45">
        <v>4.1000000000000002E-2</v>
      </c>
      <c r="L266" s="45">
        <v>4.2999999999999997E-2</v>
      </c>
      <c r="M266" s="45">
        <v>4.4999999999999998E-2</v>
      </c>
      <c r="N266" s="45">
        <v>4.7E-2</v>
      </c>
      <c r="O266" s="45">
        <v>4.9000000000000002E-2</v>
      </c>
      <c r="P266" s="45">
        <v>5.0999999999999997E-2</v>
      </c>
      <c r="Q266" s="45">
        <v>5.2999999999999999E-2</v>
      </c>
      <c r="R266" s="45">
        <v>5.5E-2</v>
      </c>
    </row>
    <row r="267" spans="1:18" ht="18" customHeight="1" x14ac:dyDescent="0.2">
      <c r="B267" s="45">
        <v>0.05</v>
      </c>
      <c r="C267" s="168">
        <f t="dataTable" ref="C267:R282" dt2D="1" dtr="1" r1="P6" r2="D6" ca="1"/>
        <v>-7.0675081012308993</v>
      </c>
      <c r="D267" s="168">
        <v>-72.675982346360968</v>
      </c>
      <c r="E267" s="168">
        <v>-138.28445659149145</v>
      </c>
      <c r="F267" s="168">
        <v>-203.89293083662227</v>
      </c>
      <c r="G267" s="168">
        <v>-269.5014050817523</v>
      </c>
      <c r="H267" s="168">
        <v>-335.10987932688255</v>
      </c>
      <c r="I267" s="168">
        <v>-400.71835357201286</v>
      </c>
      <c r="J267" s="168">
        <v>-466.32682781714328</v>
      </c>
      <c r="K267" s="168">
        <v>-531.93530206227376</v>
      </c>
      <c r="L267" s="168">
        <v>-597.60441819164339</v>
      </c>
      <c r="M267" s="168">
        <v>-663.31943200385285</v>
      </c>
      <c r="N267" s="168">
        <v>-729.03444581605982</v>
      </c>
      <c r="O267" s="168">
        <v>-794.74945962826735</v>
      </c>
      <c r="P267" s="168">
        <v>-860.46447344047533</v>
      </c>
      <c r="Q267" s="168">
        <v>-926.17948725268332</v>
      </c>
      <c r="R267" s="168">
        <v>-991.89450106489096</v>
      </c>
    </row>
    <row r="268" spans="1:18" ht="18" customHeight="1" x14ac:dyDescent="0.2">
      <c r="B268" s="45">
        <v>5.1999999999999998E-2</v>
      </c>
      <c r="C268" s="45">
        <v>80.945865948501591</v>
      </c>
      <c r="D268" s="45">
        <v>15.33739170337131</v>
      </c>
      <c r="E268" s="168">
        <v>-50.271082541759014</v>
      </c>
      <c r="F268" s="168">
        <v>-115.87955678688962</v>
      </c>
      <c r="G268" s="168">
        <v>-181.4880310320199</v>
      </c>
      <c r="H268" s="168">
        <v>-247.09650527715019</v>
      </c>
      <c r="I268" s="168">
        <v>-312.70497952228027</v>
      </c>
      <c r="J268" s="168">
        <v>-378.31345376741046</v>
      </c>
      <c r="K268" s="168">
        <v>-443.92192801254112</v>
      </c>
      <c r="L268" s="168">
        <v>-509.53040225767069</v>
      </c>
      <c r="M268" s="168">
        <v>-575.14586183728215</v>
      </c>
      <c r="N268" s="168">
        <v>-640.86087564948946</v>
      </c>
      <c r="O268" s="168">
        <v>-706.57588946169722</v>
      </c>
      <c r="P268" s="168">
        <v>-772.29090327390509</v>
      </c>
      <c r="Q268" s="168">
        <v>-838.00591708611319</v>
      </c>
      <c r="R268" s="168">
        <v>-903.72093089832083</v>
      </c>
    </row>
    <row r="269" spans="1:18" ht="18" customHeight="1" x14ac:dyDescent="0.2">
      <c r="B269" s="45">
        <v>5.3999999999999999E-2</v>
      </c>
      <c r="C269" s="45">
        <v>168.95923999823481</v>
      </c>
      <c r="D269" s="45">
        <v>103.35076575310455</v>
      </c>
      <c r="E269" s="45">
        <v>37.742291507973988</v>
      </c>
      <c r="F269" s="168">
        <v>-27.866182737156635</v>
      </c>
      <c r="G269" s="168">
        <v>-93.474656982286746</v>
      </c>
      <c r="H269" s="168">
        <v>-159.08313122741697</v>
      </c>
      <c r="I269" s="168">
        <v>-224.69160547254714</v>
      </c>
      <c r="J269" s="168">
        <v>-290.30007971767736</v>
      </c>
      <c r="K269" s="168">
        <v>-355.90855396280779</v>
      </c>
      <c r="L269" s="168">
        <v>-421.5170282079373</v>
      </c>
      <c r="M269" s="168">
        <v>-487.12550245306869</v>
      </c>
      <c r="N269" s="168">
        <v>-552.73397669819849</v>
      </c>
      <c r="O269" s="168">
        <v>-618.40231929512629</v>
      </c>
      <c r="P269" s="168">
        <v>-684.1173331073345</v>
      </c>
      <c r="Q269" s="168">
        <v>-749.83234691954272</v>
      </c>
      <c r="R269" s="168">
        <v>-815.54736073175025</v>
      </c>
    </row>
    <row r="270" spans="1:18" ht="18" customHeight="1" x14ac:dyDescent="0.2">
      <c r="B270" s="45">
        <v>5.6000000000000001E-2</v>
      </c>
      <c r="C270" s="45">
        <v>256.97261404796791</v>
      </c>
      <c r="D270" s="45">
        <v>191.36413980283766</v>
      </c>
      <c r="E270" s="45">
        <v>125.75566555770718</v>
      </c>
      <c r="F270" s="45">
        <v>60.147191312576382</v>
      </c>
      <c r="G270" s="168">
        <v>-5.461282932553587</v>
      </c>
      <c r="H270" s="168">
        <v>-71.069757177684011</v>
      </c>
      <c r="I270" s="168">
        <v>-136.67823142281401</v>
      </c>
      <c r="J270" s="168">
        <v>-202.28670566794449</v>
      </c>
      <c r="K270" s="168">
        <v>-267.89517991307491</v>
      </c>
      <c r="L270" s="168">
        <v>-333.50365415820443</v>
      </c>
      <c r="M270" s="168">
        <v>-399.11212840333593</v>
      </c>
      <c r="N270" s="168">
        <v>-464.72060264846556</v>
      </c>
      <c r="O270" s="168">
        <v>-530.32907689359592</v>
      </c>
      <c r="P270" s="168">
        <v>-595.94376294076426</v>
      </c>
      <c r="Q270" s="168">
        <v>-661.65877675297247</v>
      </c>
      <c r="R270" s="168">
        <v>-727.37379056517966</v>
      </c>
    </row>
    <row r="271" spans="1:18" ht="18" customHeight="1" x14ac:dyDescent="0.2">
      <c r="B271" s="45">
        <v>5.8000000000000003E-2</v>
      </c>
      <c r="C271" s="45">
        <v>344.9859880977005</v>
      </c>
      <c r="D271" s="45">
        <v>279.37751385257002</v>
      </c>
      <c r="E271" s="45">
        <v>213.76903960743988</v>
      </c>
      <c r="F271" s="45">
        <v>148.16056536230917</v>
      </c>
      <c r="G271" s="45">
        <v>82.55209111717906</v>
      </c>
      <c r="H271" s="45">
        <v>16.94361687204858</v>
      </c>
      <c r="I271" s="168">
        <v>-48.664857373081333</v>
      </c>
      <c r="J271" s="168">
        <v>-114.27333161821194</v>
      </c>
      <c r="K271" s="168">
        <v>-179.88180586334235</v>
      </c>
      <c r="L271" s="168">
        <v>-245.49028010847184</v>
      </c>
      <c r="M271" s="168">
        <v>-311.09875435360289</v>
      </c>
      <c r="N271" s="168">
        <v>-376.7072285987332</v>
      </c>
      <c r="O271" s="168">
        <v>-442.31570284386339</v>
      </c>
      <c r="P271" s="168">
        <v>-507.92417708899387</v>
      </c>
      <c r="Q271" s="168">
        <v>-573.53265133412424</v>
      </c>
      <c r="R271" s="168">
        <v>-639.20022039860987</v>
      </c>
    </row>
    <row r="272" spans="1:18" ht="18" customHeight="1" x14ac:dyDescent="0.2">
      <c r="B272" s="45">
        <v>0.06</v>
      </c>
      <c r="C272" s="45">
        <v>432.99936214743354</v>
      </c>
      <c r="D272" s="45">
        <v>367.3908879023034</v>
      </c>
      <c r="E272" s="45">
        <v>301.78241365717292</v>
      </c>
      <c r="F272" s="45">
        <v>236.17393941204222</v>
      </c>
      <c r="G272" s="45">
        <v>170.56546516691208</v>
      </c>
      <c r="H272" s="45">
        <v>104.95699092178168</v>
      </c>
      <c r="I272" s="45">
        <v>39.348516676651627</v>
      </c>
      <c r="J272" s="168">
        <v>-26.259957568478413</v>
      </c>
      <c r="K272" s="168">
        <v>-91.868431813608865</v>
      </c>
      <c r="L272" s="168">
        <v>-157.47690605873842</v>
      </c>
      <c r="M272" s="168">
        <v>-223.08538030386978</v>
      </c>
      <c r="N272" s="168">
        <v>-288.69385454899964</v>
      </c>
      <c r="O272" s="168">
        <v>-354.30232879412995</v>
      </c>
      <c r="P272" s="168">
        <v>-419.91080303926043</v>
      </c>
      <c r="Q272" s="168">
        <v>-485.51927728439108</v>
      </c>
      <c r="R272" s="168">
        <v>-551.12775152952122</v>
      </c>
    </row>
    <row r="273" spans="1:18" ht="18" customHeight="1" x14ac:dyDescent="0.2">
      <c r="B273" s="45">
        <v>6.2E-2</v>
      </c>
      <c r="C273" s="45">
        <v>521.01273619716517</v>
      </c>
      <c r="D273" s="45">
        <v>455.40426195203509</v>
      </c>
      <c r="E273" s="45">
        <v>389.79578770690472</v>
      </c>
      <c r="F273" s="45">
        <v>324.18731346177407</v>
      </c>
      <c r="G273" s="45">
        <v>258.57883921664393</v>
      </c>
      <c r="H273" s="45">
        <v>192.97036497151339</v>
      </c>
      <c r="I273" s="45">
        <v>127.36189072638328</v>
      </c>
      <c r="J273" s="45">
        <v>61.753416481253112</v>
      </c>
      <c r="K273" s="168">
        <v>-3.8550577638773973</v>
      </c>
      <c r="L273" s="168">
        <v>-69.463532009006897</v>
      </c>
      <c r="M273" s="168">
        <v>-135.07200625413827</v>
      </c>
      <c r="N273" s="168">
        <v>-200.6804804992683</v>
      </c>
      <c r="O273" s="168">
        <v>-266.28895474439867</v>
      </c>
      <c r="P273" s="168">
        <v>-331.89742898952898</v>
      </c>
      <c r="Q273" s="168">
        <v>-397.50590323465985</v>
      </c>
      <c r="R273" s="168">
        <v>-463.11437747978982</v>
      </c>
    </row>
    <row r="274" spans="1:18" ht="18" customHeight="1" x14ac:dyDescent="0.2">
      <c r="B274" s="45">
        <v>6.4000000000000001E-2</v>
      </c>
      <c r="C274" s="45">
        <v>608.89903208798421</v>
      </c>
      <c r="D274" s="45">
        <v>543.39430127784783</v>
      </c>
      <c r="E274" s="45">
        <v>477.80916175663799</v>
      </c>
      <c r="F274" s="45">
        <v>412.20068751150757</v>
      </c>
      <c r="G274" s="45">
        <v>346.59221326637714</v>
      </c>
      <c r="H274" s="45">
        <v>280.98373902124706</v>
      </c>
      <c r="I274" s="45">
        <v>215.37526477611692</v>
      </c>
      <c r="J274" s="45">
        <v>149.76679053098644</v>
      </c>
      <c r="K274" s="45">
        <v>84.158316285856131</v>
      </c>
      <c r="L274" s="45">
        <v>18.549842040726617</v>
      </c>
      <c r="M274" s="168">
        <v>-47.058632204404731</v>
      </c>
      <c r="N274" s="168">
        <v>-112.66710644953459</v>
      </c>
      <c r="O274" s="168">
        <v>-178.27558069466505</v>
      </c>
      <c r="P274" s="168">
        <v>-243.88405493979533</v>
      </c>
      <c r="Q274" s="168">
        <v>-309.49252918492618</v>
      </c>
      <c r="R274" s="168">
        <v>-375.10100343005649</v>
      </c>
    </row>
    <row r="275" spans="1:18" ht="18" customHeight="1" x14ac:dyDescent="0.2">
      <c r="B275" s="45">
        <v>6.6000000000000003E-2</v>
      </c>
      <c r="C275" s="45">
        <v>696.76524409240801</v>
      </c>
      <c r="D275" s="45">
        <v>631.26051328227175</v>
      </c>
      <c r="E275" s="45">
        <v>565.7557824721348</v>
      </c>
      <c r="F275" s="45">
        <v>500.21406156124112</v>
      </c>
      <c r="G275" s="45">
        <v>434.60558731611081</v>
      </c>
      <c r="H275" s="45">
        <v>368.99711307098045</v>
      </c>
      <c r="I275" s="45">
        <v>303.38863882585036</v>
      </c>
      <c r="J275" s="45">
        <v>237.78016458072005</v>
      </c>
      <c r="K275" s="45">
        <v>172.17169033558957</v>
      </c>
      <c r="L275" s="45">
        <v>106.56321609045969</v>
      </c>
      <c r="M275" s="45">
        <v>40.95474184532867</v>
      </c>
      <c r="N275" s="168">
        <v>-24.653732399801115</v>
      </c>
      <c r="O275" s="168">
        <v>-90.26220664493168</v>
      </c>
      <c r="P275" s="168">
        <v>-155.870680890062</v>
      </c>
      <c r="Q275" s="168">
        <v>-221.47915513519271</v>
      </c>
      <c r="R275" s="168">
        <v>-287.08762938032294</v>
      </c>
    </row>
    <row r="276" spans="1:18" ht="18" customHeight="1" x14ac:dyDescent="0.2">
      <c r="B276" s="45">
        <v>6.8000000000000005E-2</v>
      </c>
      <c r="C276" s="45">
        <v>784.63145609683011</v>
      </c>
      <c r="D276" s="45">
        <v>719.12672528669384</v>
      </c>
      <c r="E276" s="45">
        <v>653.62199447655723</v>
      </c>
      <c r="F276" s="45">
        <v>588.11726366642051</v>
      </c>
      <c r="G276" s="45">
        <v>522.61253285628447</v>
      </c>
      <c r="H276" s="45">
        <v>457.01048712071292</v>
      </c>
      <c r="I276" s="45">
        <v>391.40201287558295</v>
      </c>
      <c r="J276" s="45">
        <v>325.79353863045225</v>
      </c>
      <c r="K276" s="45">
        <v>260.18506438532194</v>
      </c>
      <c r="L276" s="45">
        <v>194.57659014019259</v>
      </c>
      <c r="M276" s="45">
        <v>128.9681158950612</v>
      </c>
      <c r="N276" s="45">
        <v>63.359641649931319</v>
      </c>
      <c r="O276" s="168">
        <v>-2.2488325951992465</v>
      </c>
      <c r="P276" s="168">
        <v>-67.857306840329457</v>
      </c>
      <c r="Q276" s="168">
        <v>-133.46578108546032</v>
      </c>
      <c r="R276" s="168">
        <v>-199.0742553305904</v>
      </c>
    </row>
    <row r="277" spans="1:18" ht="18" customHeight="1" x14ac:dyDescent="0.2">
      <c r="B277" s="45">
        <v>6.9999999999999896E-2</v>
      </c>
      <c r="C277" s="45">
        <v>872.497668101248</v>
      </c>
      <c r="D277" s="45">
        <v>806.99293729111196</v>
      </c>
      <c r="E277" s="45">
        <v>741.48820648097512</v>
      </c>
      <c r="F277" s="45">
        <v>675.98347567083863</v>
      </c>
      <c r="G277" s="45">
        <v>610.47874486070214</v>
      </c>
      <c r="H277" s="45">
        <v>544.97401405056598</v>
      </c>
      <c r="I277" s="45">
        <v>479.4153869253106</v>
      </c>
      <c r="J277" s="45">
        <v>413.80691268018052</v>
      </c>
      <c r="K277" s="45">
        <v>348.19843843504998</v>
      </c>
      <c r="L277" s="45">
        <v>282.58996418992058</v>
      </c>
      <c r="M277" s="45">
        <v>216.98148994478925</v>
      </c>
      <c r="N277" s="45">
        <v>151.37301569965928</v>
      </c>
      <c r="O277" s="45">
        <v>85.764541454528882</v>
      </c>
      <c r="P277" s="45">
        <v>20.156067209398572</v>
      </c>
      <c r="Q277" s="168">
        <v>-45.452407035732165</v>
      </c>
      <c r="R277" s="168">
        <v>-111.06088128086233</v>
      </c>
    </row>
    <row r="278" spans="1:18" ht="18" customHeight="1" x14ac:dyDescent="0.2">
      <c r="B278" s="45">
        <v>7.1999999999999897E-2</v>
      </c>
      <c r="C278" s="45">
        <v>960.36388010567066</v>
      </c>
      <c r="D278" s="45">
        <v>894.85914929553508</v>
      </c>
      <c r="E278" s="45">
        <v>829.35441848539824</v>
      </c>
      <c r="F278" s="45">
        <v>763.84968767526175</v>
      </c>
      <c r="G278" s="45">
        <v>698.34495686512537</v>
      </c>
      <c r="H278" s="45">
        <v>632.84022605498888</v>
      </c>
      <c r="I278" s="45">
        <v>567.33549524485272</v>
      </c>
      <c r="J278" s="45">
        <v>501.82028672991339</v>
      </c>
      <c r="K278" s="45">
        <v>436.21181248478274</v>
      </c>
      <c r="L278" s="45">
        <v>370.60333823965334</v>
      </c>
      <c r="M278" s="45">
        <v>304.99486399452201</v>
      </c>
      <c r="N278" s="45">
        <v>239.38638974939181</v>
      </c>
      <c r="O278" s="45">
        <v>173.77791550426156</v>
      </c>
      <c r="P278" s="45">
        <v>108.1694412591311</v>
      </c>
      <c r="Q278" s="45">
        <v>42.560967014000539</v>
      </c>
      <c r="R278" s="168">
        <v>-23.047507231129543</v>
      </c>
    </row>
    <row r="279" spans="1:18" ht="18" customHeight="1" x14ac:dyDescent="0.2">
      <c r="B279" s="45">
        <v>7.3999999999999899E-2</v>
      </c>
      <c r="C279" s="45">
        <v>1048.150572385262</v>
      </c>
      <c r="D279" s="45">
        <v>982.72536129995797</v>
      </c>
      <c r="E279" s="45">
        <v>917.22063048982113</v>
      </c>
      <c r="F279" s="45">
        <v>851.71589967968487</v>
      </c>
      <c r="G279" s="45">
        <v>786.21116886954837</v>
      </c>
      <c r="H279" s="45">
        <v>720.70643805941199</v>
      </c>
      <c r="I279" s="45">
        <v>655.20170724927607</v>
      </c>
      <c r="J279" s="45">
        <v>589.69697643913935</v>
      </c>
      <c r="K279" s="45">
        <v>524.19224562900308</v>
      </c>
      <c r="L279" s="45">
        <v>458.61671228938656</v>
      </c>
      <c r="M279" s="45">
        <v>393.00823804425522</v>
      </c>
      <c r="N279" s="45">
        <v>327.39976379912531</v>
      </c>
      <c r="O279" s="45">
        <v>261.79128955399477</v>
      </c>
      <c r="P279" s="45">
        <v>196.18281530886458</v>
      </c>
      <c r="Q279" s="45">
        <v>130.57434106373367</v>
      </c>
      <c r="R279" s="45">
        <v>64.965866818603729</v>
      </c>
    </row>
    <row r="280" spans="1:18" ht="18" customHeight="1" x14ac:dyDescent="0.2">
      <c r="B280" s="45">
        <v>7.5999999999999901E-2</v>
      </c>
      <c r="C280" s="45">
        <v>1135.8656913962814</v>
      </c>
      <c r="D280" s="45">
        <v>1070.4738660603282</v>
      </c>
      <c r="E280" s="45">
        <v>1005.082040724375</v>
      </c>
      <c r="F280" s="45">
        <v>939.58211168410708</v>
      </c>
      <c r="G280" s="45">
        <v>874.07738087397104</v>
      </c>
      <c r="H280" s="45">
        <v>808.57265006383454</v>
      </c>
      <c r="I280" s="45">
        <v>743.06791925369816</v>
      </c>
      <c r="J280" s="45">
        <v>677.56318844356235</v>
      </c>
      <c r="K280" s="45">
        <v>612.05845763342552</v>
      </c>
      <c r="L280" s="45">
        <v>546.55372682329016</v>
      </c>
      <c r="M280" s="45">
        <v>481.02161209398764</v>
      </c>
      <c r="N280" s="45">
        <v>415.41313784885779</v>
      </c>
      <c r="O280" s="45">
        <v>349.80466360372759</v>
      </c>
      <c r="P280" s="45">
        <v>284.19618935859711</v>
      </c>
      <c r="Q280" s="45">
        <v>218.58771511346629</v>
      </c>
      <c r="R280" s="45">
        <v>152.97924086833621</v>
      </c>
    </row>
    <row r="281" spans="1:18" ht="18" customHeight="1" x14ac:dyDescent="0.2">
      <c r="B281" s="45">
        <v>7.7999999999999903E-2</v>
      </c>
      <c r="C281" s="45">
        <v>1223.5808104073012</v>
      </c>
      <c r="D281" s="45">
        <v>1158.1889850713485</v>
      </c>
      <c r="E281" s="45">
        <v>1092.7971597353951</v>
      </c>
      <c r="F281" s="45">
        <v>1027.4053343994417</v>
      </c>
      <c r="G281" s="45">
        <v>961.9435928783937</v>
      </c>
      <c r="H281" s="45">
        <v>896.43886206825766</v>
      </c>
      <c r="I281" s="45">
        <v>830.93413125812151</v>
      </c>
      <c r="J281" s="45">
        <v>765.42940044798468</v>
      </c>
      <c r="K281" s="45">
        <v>699.9246696378483</v>
      </c>
      <c r="L281" s="45">
        <v>634.41993882771283</v>
      </c>
      <c r="M281" s="45">
        <v>568.91520801757542</v>
      </c>
      <c r="N281" s="45">
        <v>503.41047720743938</v>
      </c>
      <c r="O281" s="45">
        <v>437.81803765346001</v>
      </c>
      <c r="P281" s="45">
        <v>372.2095634083297</v>
      </c>
      <c r="Q281" s="45">
        <v>306.60108916319899</v>
      </c>
      <c r="R281" s="45">
        <v>240.99261491806891</v>
      </c>
    </row>
    <row r="282" spans="1:18" ht="18" customHeight="1" x14ac:dyDescent="0.2">
      <c r="B282" s="45">
        <v>7.9999999999999905E-2</v>
      </c>
      <c r="C282" s="45">
        <v>1311.2959294183211</v>
      </c>
      <c r="D282" s="45">
        <v>1245.9041040823681</v>
      </c>
      <c r="E282" s="45">
        <v>1180.5122787464147</v>
      </c>
      <c r="F282" s="45">
        <v>1115.1204534104613</v>
      </c>
      <c r="G282" s="45">
        <v>1049.7286280745084</v>
      </c>
      <c r="H282" s="45">
        <v>984.30507407268033</v>
      </c>
      <c r="I282" s="45">
        <v>918.8003432625444</v>
      </c>
      <c r="J282" s="45">
        <v>853.29561245240779</v>
      </c>
      <c r="K282" s="45">
        <v>787.7908816422713</v>
      </c>
      <c r="L282" s="45">
        <v>722.28615083213583</v>
      </c>
      <c r="M282" s="45">
        <v>656.78142002199866</v>
      </c>
      <c r="N282" s="45">
        <v>591.2766892118625</v>
      </c>
      <c r="O282" s="45">
        <v>525.77195840172612</v>
      </c>
      <c r="P282" s="45">
        <v>460.22293745806292</v>
      </c>
      <c r="Q282" s="45">
        <v>394.61446321293215</v>
      </c>
      <c r="R282" s="45">
        <v>329.00598896780212</v>
      </c>
    </row>
    <row r="283" spans="1:18" ht="18" customHeight="1" x14ac:dyDescent="0.2">
      <c r="B283" s="45"/>
      <c r="C283" s="45"/>
      <c r="D283" s="45"/>
      <c r="E283" s="45"/>
      <c r="F283" s="45"/>
      <c r="G283" s="45"/>
      <c r="H283" s="45"/>
      <c r="I283" s="45"/>
      <c r="J283" s="45"/>
      <c r="K283" s="45"/>
      <c r="L283" s="45"/>
      <c r="M283" s="45"/>
      <c r="N283" s="45"/>
      <c r="O283" s="45"/>
      <c r="P283" s="45"/>
      <c r="Q283" s="45"/>
      <c r="R283" s="45"/>
    </row>
    <row r="284" spans="1:18" ht="18" customHeight="1" x14ac:dyDescent="0.2">
      <c r="A284" s="5" t="s">
        <v>155</v>
      </c>
      <c r="B284" s="45">
        <f>B175</f>
        <v>544.9740140505711</v>
      </c>
      <c r="C284" s="45">
        <v>90</v>
      </c>
      <c r="D284" s="45">
        <v>88</v>
      </c>
      <c r="E284" s="45">
        <v>86</v>
      </c>
      <c r="F284" s="45">
        <v>84</v>
      </c>
      <c r="G284" s="45">
        <v>82</v>
      </c>
      <c r="H284" s="45">
        <v>80</v>
      </c>
      <c r="I284" s="45">
        <v>78</v>
      </c>
      <c r="J284" s="45">
        <v>76</v>
      </c>
      <c r="K284" s="45">
        <v>74</v>
      </c>
      <c r="L284" s="45">
        <v>72</v>
      </c>
      <c r="M284" s="45">
        <v>70</v>
      </c>
      <c r="N284" s="45">
        <v>68</v>
      </c>
      <c r="O284" s="45">
        <v>66</v>
      </c>
      <c r="P284" s="45">
        <v>64</v>
      </c>
      <c r="Q284" s="45">
        <v>62</v>
      </c>
      <c r="R284" s="45">
        <v>60</v>
      </c>
    </row>
    <row r="285" spans="1:18" ht="18" customHeight="1" x14ac:dyDescent="0.2">
      <c r="B285" s="45">
        <v>0.05</v>
      </c>
      <c r="C285" s="168">
        <f t="dataTable" ref="C285:R300" dt2D="1" dtr="1" r1="D8" r2="D5" ca="1"/>
        <v>-656.7488723549493</v>
      </c>
      <c r="D285" s="168">
        <v>-768.69511080566281</v>
      </c>
      <c r="E285" s="168">
        <v>-880.64134925637541</v>
      </c>
      <c r="F285" s="168">
        <v>-992.58758770708869</v>
      </c>
      <c r="G285" s="168">
        <v>-1104.7497384868725</v>
      </c>
      <c r="H285" s="168">
        <v>-1216.9245224975821</v>
      </c>
      <c r="I285" s="168">
        <v>-1329.099306508291</v>
      </c>
      <c r="J285" s="168">
        <v>-1441.4720774262901</v>
      </c>
      <c r="K285" s="168">
        <v>-1553.8783660558092</v>
      </c>
      <c r="L285" s="168">
        <v>-1666.2846546853282</v>
      </c>
      <c r="M285" s="168">
        <v>-1778.6909433148476</v>
      </c>
      <c r="N285" s="168">
        <v>-1891.0972319443672</v>
      </c>
      <c r="O285" s="168">
        <v>-2003.5035205738852</v>
      </c>
      <c r="P285" s="168">
        <v>-2115.9098092034019</v>
      </c>
      <c r="Q285" s="168">
        <v>-2228.3160978329224</v>
      </c>
      <c r="R285" s="168">
        <v>-2340.7223864624402</v>
      </c>
    </row>
    <row r="286" spans="1:18" ht="18" customHeight="1" x14ac:dyDescent="0.2">
      <c r="B286" s="45">
        <v>5.1999999999999998E-2</v>
      </c>
      <c r="C286" s="168">
        <v>-260.57574437892697</v>
      </c>
      <c r="D286" s="168">
        <v>-381.09862022819794</v>
      </c>
      <c r="E286" s="168">
        <v>-501.62149607746755</v>
      </c>
      <c r="F286" s="168">
        <v>-622.25859300749369</v>
      </c>
      <c r="G286" s="168">
        <v>-743.02218847486427</v>
      </c>
      <c r="H286" s="168">
        <v>-863.78578394223496</v>
      </c>
      <c r="I286" s="168">
        <v>-984.61387235181451</v>
      </c>
      <c r="J286" s="168">
        <v>-1105.6216162126898</v>
      </c>
      <c r="K286" s="168">
        <v>-1226.6293600735646</v>
      </c>
      <c r="L286" s="168">
        <v>-1347.7510117316785</v>
      </c>
      <c r="M286" s="168">
        <v>-1469.0054571099099</v>
      </c>
      <c r="N286" s="168">
        <v>-1590.2599024881417</v>
      </c>
      <c r="O286" s="168">
        <v>-1711.5143478663733</v>
      </c>
      <c r="P286" s="168">
        <v>-1832.7687932446026</v>
      </c>
      <c r="Q286" s="168">
        <v>-1954.0232386228347</v>
      </c>
      <c r="R286" s="168">
        <v>-2075.2776840010656</v>
      </c>
    </row>
    <row r="287" spans="1:18" ht="18" customHeight="1" x14ac:dyDescent="0.2">
      <c r="B287" s="45">
        <v>5.3999999999999999E-2</v>
      </c>
      <c r="C287" s="172">
        <v>135.48443884487062</v>
      </c>
      <c r="D287" s="45">
        <v>6.1602255906269363</v>
      </c>
      <c r="E287" s="168">
        <v>-123.16398766361758</v>
      </c>
      <c r="F287" s="168">
        <v>-252.48820091786013</v>
      </c>
      <c r="G287" s="168">
        <v>-381.81241417210401</v>
      </c>
      <c r="H287" s="168">
        <v>-511.13662742634847</v>
      </c>
      <c r="I287" s="168">
        <v>-640.67245575998129</v>
      </c>
      <c r="J287" s="168">
        <v>-770.25340824400814</v>
      </c>
      <c r="K287" s="168">
        <v>-899.83436072803602</v>
      </c>
      <c r="L287" s="168">
        <v>-1029.6505493284603</v>
      </c>
      <c r="M287" s="168">
        <v>-1159.4912530395013</v>
      </c>
      <c r="N287" s="168">
        <v>-1289.4225730319163</v>
      </c>
      <c r="O287" s="168">
        <v>-1419.5251751588592</v>
      </c>
      <c r="P287" s="168">
        <v>-1549.6277772858018</v>
      </c>
      <c r="Q287" s="168">
        <v>-1679.730379412747</v>
      </c>
      <c r="R287" s="168">
        <v>-1809.8329815396896</v>
      </c>
    </row>
    <row r="288" spans="1:18" ht="18" customHeight="1" x14ac:dyDescent="0.2">
      <c r="B288" s="45">
        <v>5.6000000000000001E-2</v>
      </c>
      <c r="C288" s="172">
        <v>531.46768601563531</v>
      </c>
      <c r="D288" s="45">
        <v>393.41907140945261</v>
      </c>
      <c r="E288" s="45">
        <v>255.29352075023587</v>
      </c>
      <c r="F288" s="45">
        <v>117.16797009101793</v>
      </c>
      <c r="G288" s="168">
        <v>-20.957580568198807</v>
      </c>
      <c r="H288" s="168">
        <v>-159.08313122741617</v>
      </c>
      <c r="I288" s="168">
        <v>-297.2086818866336</v>
      </c>
      <c r="J288" s="168">
        <v>-435.33423254585063</v>
      </c>
      <c r="K288" s="168">
        <v>-573.59215111172489</v>
      </c>
      <c r="L288" s="168">
        <v>-711.99046061240995</v>
      </c>
      <c r="M288" s="168">
        <v>-850.38877011309455</v>
      </c>
      <c r="N288" s="168">
        <v>-989.01132184489597</v>
      </c>
      <c r="O288" s="168">
        <v>-1127.6849854061024</v>
      </c>
      <c r="P288" s="168">
        <v>-1266.4867613270003</v>
      </c>
      <c r="Q288" s="168">
        <v>-1405.4375202026577</v>
      </c>
      <c r="R288" s="168">
        <v>-1544.3882790783132</v>
      </c>
    </row>
    <row r="289" spans="1:18" ht="18" customHeight="1" x14ac:dyDescent="0.2">
      <c r="B289" s="45">
        <v>5.8000000000000003E-2</v>
      </c>
      <c r="C289" s="172">
        <v>926.86564003553735</v>
      </c>
      <c r="D289" s="45">
        <v>780.19434523500558</v>
      </c>
      <c r="E289" s="45">
        <v>633.52305043447461</v>
      </c>
      <c r="F289" s="45">
        <v>486.824141099896</v>
      </c>
      <c r="G289" s="45">
        <v>339.89725303570594</v>
      </c>
      <c r="H289" s="45">
        <v>192.97036497151453</v>
      </c>
      <c r="I289" s="45">
        <v>46.043476907324475</v>
      </c>
      <c r="J289" s="168">
        <v>-100.88341115686637</v>
      </c>
      <c r="K289" s="168">
        <v>-247.81029922105705</v>
      </c>
      <c r="L289" s="168">
        <v>-394.73718728524796</v>
      </c>
      <c r="M289" s="168">
        <v>-541.78127453009779</v>
      </c>
      <c r="N289" s="168">
        <v>-688.99694104744083</v>
      </c>
      <c r="O289" s="168">
        <v>-836.2126075647808</v>
      </c>
      <c r="P289" s="168">
        <v>-983.70393376199343</v>
      </c>
      <c r="Q289" s="168">
        <v>-1131.2105571733673</v>
      </c>
      <c r="R289" s="168">
        <v>-1278.9435766169379</v>
      </c>
    </row>
    <row r="290" spans="1:18" ht="18" customHeight="1" x14ac:dyDescent="0.2">
      <c r="B290" s="45">
        <v>0.06</v>
      </c>
      <c r="C290" s="172">
        <v>1321.7158629492949</v>
      </c>
      <c r="D290" s="45">
        <v>1166.5249318961278</v>
      </c>
      <c r="E290" s="45">
        <v>1011.3340008429616</v>
      </c>
      <c r="F290" s="45">
        <v>855.88984605251824</v>
      </c>
      <c r="G290" s="45">
        <v>700.43193005154467</v>
      </c>
      <c r="H290" s="45">
        <v>544.9740140505711</v>
      </c>
      <c r="I290" s="45">
        <v>389.29563570128113</v>
      </c>
      <c r="J290" s="45">
        <v>233.56741023211811</v>
      </c>
      <c r="K290" s="45">
        <v>77.839184762953892</v>
      </c>
      <c r="L290" s="168">
        <v>-77.889040706209755</v>
      </c>
      <c r="M290" s="168">
        <v>-233.61726617537383</v>
      </c>
      <c r="N290" s="168">
        <v>-389.34549164453824</v>
      </c>
      <c r="O290" s="168">
        <v>-545.23982601509942</v>
      </c>
      <c r="P290" s="168">
        <v>-701.27284954909703</v>
      </c>
      <c r="Q290" s="168">
        <v>-857.38880181821924</v>
      </c>
      <c r="R290" s="168">
        <v>-1013.7283850797571</v>
      </c>
    </row>
    <row r="291" spans="1:18" ht="18" customHeight="1" x14ac:dyDescent="0.2">
      <c r="B291" s="45">
        <v>6.2E-2</v>
      </c>
      <c r="C291" s="172">
        <v>1716.1444383299004</v>
      </c>
      <c r="D291" s="45">
        <v>1552.4601486233416</v>
      </c>
      <c r="E291" s="45">
        <v>1388.5090125903462</v>
      </c>
      <c r="F291" s="45">
        <v>1224.5465696360779</v>
      </c>
      <c r="G291" s="45">
        <v>1060.5841266818093</v>
      </c>
      <c r="H291" s="45">
        <v>896.43886206826221</v>
      </c>
      <c r="I291" s="45">
        <v>732.1943248668465</v>
      </c>
      <c r="J291" s="45">
        <v>567.94978766542954</v>
      </c>
      <c r="K291" s="45">
        <v>403.48866874696535</v>
      </c>
      <c r="L291" s="45">
        <v>238.95910587282771</v>
      </c>
      <c r="M291" s="45">
        <v>74.429542998692085</v>
      </c>
      <c r="N291" s="168">
        <v>-90.100019875446563</v>
      </c>
      <c r="O291" s="168">
        <v>-254.62958274958234</v>
      </c>
      <c r="P291" s="168">
        <v>-419.1591456237183</v>
      </c>
      <c r="Q291" s="168">
        <v>-583.96780556672843</v>
      </c>
      <c r="R291" s="168">
        <v>-748.81818611738311</v>
      </c>
    </row>
    <row r="292" spans="1:18" ht="18" customHeight="1" x14ac:dyDescent="0.2">
      <c r="B292" s="45">
        <v>6.4000000000000001E-2</v>
      </c>
      <c r="C292" s="172">
        <v>2110.1643936324162</v>
      </c>
      <c r="D292" s="45">
        <v>1937.7241049191352</v>
      </c>
      <c r="E292" s="45">
        <v>1765.2838162058549</v>
      </c>
      <c r="F292" s="45">
        <v>1592.8435274925744</v>
      </c>
      <c r="G292" s="45">
        <v>1420.2161146269907</v>
      </c>
      <c r="H292" s="45">
        <v>1247.4821597716193</v>
      </c>
      <c r="I292" s="45">
        <v>1074.7482049162484</v>
      </c>
      <c r="J292" s="45">
        <v>901.84139328223694</v>
      </c>
      <c r="K292" s="45">
        <v>728.8102348803784</v>
      </c>
      <c r="L292" s="45">
        <v>555.77907647851885</v>
      </c>
      <c r="M292" s="45">
        <v>382.47635217275581</v>
      </c>
      <c r="N292" s="45">
        <v>209.1454518936452</v>
      </c>
      <c r="O292" s="45">
        <v>35.814551614534935</v>
      </c>
      <c r="P292" s="168">
        <v>-137.51634866457402</v>
      </c>
      <c r="Q292" s="168">
        <v>-310.84724894368514</v>
      </c>
      <c r="R292" s="168">
        <v>-484.29747561767186</v>
      </c>
    </row>
    <row r="293" spans="1:18" ht="18" customHeight="1" x14ac:dyDescent="0.2">
      <c r="B293" s="45">
        <v>6.6000000000000003E-2</v>
      </c>
      <c r="C293" s="45">
        <v>2504.1843489349335</v>
      </c>
      <c r="D293" s="45">
        <v>2322.98806121493</v>
      </c>
      <c r="E293" s="45">
        <v>2141.7917734949265</v>
      </c>
      <c r="F293" s="45">
        <v>1960.5954857749225</v>
      </c>
      <c r="G293" s="45">
        <v>1779.3991980549195</v>
      </c>
      <c r="H293" s="45">
        <v>1598.2029103349153</v>
      </c>
      <c r="I293" s="45">
        <v>1416.8371690592262</v>
      </c>
      <c r="J293" s="45">
        <v>1235.3317023027525</v>
      </c>
      <c r="K293" s="45">
        <v>1053.8262355462796</v>
      </c>
      <c r="L293" s="45">
        <v>872.09743969444162</v>
      </c>
      <c r="M293" s="45">
        <v>690.27966009214163</v>
      </c>
      <c r="N293" s="45">
        <v>508.39092366273667</v>
      </c>
      <c r="O293" s="45">
        <v>326.25868597865389</v>
      </c>
      <c r="P293" s="45">
        <v>144.12644829457093</v>
      </c>
      <c r="Q293" s="168">
        <v>-38.005789389512884</v>
      </c>
      <c r="R293" s="168">
        <v>-220.13802707359551</v>
      </c>
    </row>
    <row r="294" spans="1:18" ht="18" customHeight="1" x14ac:dyDescent="0.2">
      <c r="B294" s="45">
        <v>6.8000000000000005E-2</v>
      </c>
      <c r="C294" s="45">
        <v>2898.2043042374498</v>
      </c>
      <c r="D294" s="45">
        <v>2708.2520175107234</v>
      </c>
      <c r="E294" s="45">
        <v>2518.2997307839987</v>
      </c>
      <c r="F294" s="45">
        <v>2328.3474440572727</v>
      </c>
      <c r="G294" s="45">
        <v>2138.3951573305462</v>
      </c>
      <c r="H294" s="45">
        <v>1948.4428706038202</v>
      </c>
      <c r="I294" s="45">
        <v>1758.4905838770935</v>
      </c>
      <c r="J294" s="45">
        <v>1568.5382971503675</v>
      </c>
      <c r="K294" s="45">
        <v>1378.3721758870527</v>
      </c>
      <c r="L294" s="45">
        <v>1188.0951972294779</v>
      </c>
      <c r="M294" s="45">
        <v>997.81140210762123</v>
      </c>
      <c r="N294" s="45">
        <v>807.20700130487751</v>
      </c>
      <c r="O294" s="45">
        <v>616.60260050213526</v>
      </c>
      <c r="P294" s="45">
        <v>425.7692452537168</v>
      </c>
      <c r="Q294" s="45">
        <v>234.83567016465861</v>
      </c>
      <c r="R294" s="45">
        <v>43.902095075602602</v>
      </c>
    </row>
    <row r="295" spans="1:18" ht="18" customHeight="1" x14ac:dyDescent="0.2">
      <c r="B295" s="45">
        <v>6.9999999999999896E-2</v>
      </c>
      <c r="C295" s="45">
        <v>3292.2242595399457</v>
      </c>
      <c r="D295" s="45">
        <v>3093.5159738064972</v>
      </c>
      <c r="E295" s="45">
        <v>2894.8076880730482</v>
      </c>
      <c r="F295" s="45">
        <v>2696.0994023395997</v>
      </c>
      <c r="G295" s="45">
        <v>2497.3911166061521</v>
      </c>
      <c r="H295" s="45">
        <v>2298.6828308727031</v>
      </c>
      <c r="I295" s="45">
        <v>2099.9745451392546</v>
      </c>
      <c r="J295" s="45">
        <v>1901.2662594058072</v>
      </c>
      <c r="K295" s="45">
        <v>1702.5579736723594</v>
      </c>
      <c r="L295" s="45">
        <v>1503.8496879389095</v>
      </c>
      <c r="M295" s="45">
        <v>1304.8211351104555</v>
      </c>
      <c r="N295" s="45">
        <v>1105.7726445517776</v>
      </c>
      <c r="O295" s="45">
        <v>906.56110011671399</v>
      </c>
      <c r="P295" s="45">
        <v>707.17007811353074</v>
      </c>
      <c r="Q295" s="45">
        <v>507.67712971881508</v>
      </c>
      <c r="R295" s="45">
        <v>307.94221722478625</v>
      </c>
    </row>
    <row r="296" spans="1:18" ht="18" customHeight="1" x14ac:dyDescent="0.2">
      <c r="B296" s="45">
        <v>7.1999999999999897E-2</v>
      </c>
      <c r="C296" s="45">
        <v>3686.2442148424611</v>
      </c>
      <c r="D296" s="45">
        <v>3478.7799301022901</v>
      </c>
      <c r="E296" s="45">
        <v>3271.3156453621204</v>
      </c>
      <c r="F296" s="45">
        <v>3063.8513606219499</v>
      </c>
      <c r="G296" s="45">
        <v>2856.3870758817793</v>
      </c>
      <c r="H296" s="45">
        <v>2648.9227911416074</v>
      </c>
      <c r="I296" s="45">
        <v>2441.4585064014364</v>
      </c>
      <c r="J296" s="45">
        <v>2233.9942216612667</v>
      </c>
      <c r="K296" s="45">
        <v>2026.5299369210948</v>
      </c>
      <c r="L296" s="45">
        <v>1819.0656521809237</v>
      </c>
      <c r="M296" s="45">
        <v>1611.6013674407532</v>
      </c>
      <c r="N296" s="45">
        <v>1404.0040491892453</v>
      </c>
      <c r="O296" s="45">
        <v>1196.1840467294683</v>
      </c>
      <c r="P296" s="45">
        <v>988.34195652768403</v>
      </c>
      <c r="Q296" s="45">
        <v>780.16431332405693</v>
      </c>
      <c r="R296" s="45">
        <v>571.9823393739855</v>
      </c>
    </row>
    <row r="297" spans="1:18" ht="18" customHeight="1" x14ac:dyDescent="0.2">
      <c r="B297" s="45">
        <v>7.3999999999999899E-2</v>
      </c>
      <c r="C297" s="45">
        <v>4079.8561794133166</v>
      </c>
      <c r="D297" s="45">
        <v>3863.9394956172487</v>
      </c>
      <c r="E297" s="45">
        <v>3647.8236026511927</v>
      </c>
      <c r="F297" s="45">
        <v>3431.6033189042996</v>
      </c>
      <c r="G297" s="45">
        <v>3215.3830351574056</v>
      </c>
      <c r="H297" s="45">
        <v>2999.1627514105121</v>
      </c>
      <c r="I297" s="45">
        <v>2782.942467663619</v>
      </c>
      <c r="J297" s="45">
        <v>2566.7221839167255</v>
      </c>
      <c r="K297" s="45">
        <v>2350.5019001698315</v>
      </c>
      <c r="L297" s="45">
        <v>2134.2816164229371</v>
      </c>
      <c r="M297" s="45">
        <v>1918.0613326760449</v>
      </c>
      <c r="N297" s="45">
        <v>1701.8410489291496</v>
      </c>
      <c r="O297" s="45">
        <v>1485.6207651822565</v>
      </c>
      <c r="P297" s="45">
        <v>1269.0524251049546</v>
      </c>
      <c r="Q297" s="45">
        <v>1052.4609107440729</v>
      </c>
      <c r="R297" s="45">
        <v>835.58530613369931</v>
      </c>
    </row>
    <row r="298" spans="1:18" ht="18" customHeight="1" x14ac:dyDescent="0.2">
      <c r="B298" s="45">
        <v>7.5999999999999901E-2</v>
      </c>
      <c r="C298" s="45">
        <v>4473.2580207041392</v>
      </c>
      <c r="D298" s="45">
        <v>4248.6263225954935</v>
      </c>
      <c r="E298" s="45">
        <v>4023.9667563681014</v>
      </c>
      <c r="F298" s="45">
        <v>3799.3071901407116</v>
      </c>
      <c r="G298" s="45">
        <v>3574.3789944330319</v>
      </c>
      <c r="H298" s="45">
        <v>3349.402711679415</v>
      </c>
      <c r="I298" s="45">
        <v>3124.4264289257999</v>
      </c>
      <c r="J298" s="45">
        <v>2899.4501461721838</v>
      </c>
      <c r="K298" s="45">
        <v>2674.4738634185669</v>
      </c>
      <c r="L298" s="45">
        <v>2449.4975806649509</v>
      </c>
      <c r="M298" s="45">
        <v>2224.5212979113348</v>
      </c>
      <c r="N298" s="45">
        <v>1999.5450151577184</v>
      </c>
      <c r="O298" s="45">
        <v>1774.5687324041021</v>
      </c>
      <c r="P298" s="45">
        <v>1549.5924496504881</v>
      </c>
      <c r="Q298" s="45">
        <v>1324.377779678234</v>
      </c>
      <c r="R298" s="45">
        <v>1099.0147534162529</v>
      </c>
    </row>
    <row r="299" spans="1:18" ht="18" customHeight="1" x14ac:dyDescent="0.2">
      <c r="B299" s="45">
        <v>7.7999999999999903E-2</v>
      </c>
      <c r="C299" s="45">
        <v>4866.0817177507934</v>
      </c>
      <c r="D299" s="45">
        <v>4633.006718563217</v>
      </c>
      <c r="E299" s="45">
        <v>4399.9107009150221</v>
      </c>
      <c r="F299" s="45">
        <v>4166.508252256308</v>
      </c>
      <c r="G299" s="45">
        <v>3933.1058035975921</v>
      </c>
      <c r="H299" s="45">
        <v>3699.6426719483188</v>
      </c>
      <c r="I299" s="45">
        <v>3465.9103901879803</v>
      </c>
      <c r="J299" s="45">
        <v>3232.1781084276417</v>
      </c>
      <c r="K299" s="45">
        <v>2998.4458266673046</v>
      </c>
      <c r="L299" s="45">
        <v>2764.7135449069647</v>
      </c>
      <c r="M299" s="45">
        <v>2530.9812631466252</v>
      </c>
      <c r="N299" s="45">
        <v>2297.2489813862862</v>
      </c>
      <c r="O299" s="45">
        <v>2063.5166996259486</v>
      </c>
      <c r="P299" s="45">
        <v>1829.7844178656114</v>
      </c>
      <c r="Q299" s="45">
        <v>1596.0521361052715</v>
      </c>
      <c r="R299" s="45">
        <v>1362.1601104493118</v>
      </c>
    </row>
    <row r="300" spans="1:18" ht="18" customHeight="1" x14ac:dyDescent="0.2">
      <c r="B300" s="45">
        <v>7.9999999999999905E-2</v>
      </c>
      <c r="C300" s="45">
        <v>5258.7191777019252</v>
      </c>
      <c r="D300" s="45">
        <v>5017.1010001199438</v>
      </c>
      <c r="E300" s="45">
        <v>4775.2965854424465</v>
      </c>
      <c r="F300" s="45">
        <v>4533.4921707649437</v>
      </c>
      <c r="G300" s="45">
        <v>4291.5639832818651</v>
      </c>
      <c r="H300" s="45">
        <v>4049.4186521918273</v>
      </c>
      <c r="I300" s="45">
        <v>3807.2733211017885</v>
      </c>
      <c r="J300" s="45">
        <v>3564.9060706831006</v>
      </c>
      <c r="K300" s="45">
        <v>3322.4177899160391</v>
      </c>
      <c r="L300" s="45">
        <v>3079.9295091489771</v>
      </c>
      <c r="M300" s="45">
        <v>2837.4412283819161</v>
      </c>
      <c r="N300" s="45">
        <v>2594.9529476148541</v>
      </c>
      <c r="O300" s="45">
        <v>2352.4646668477944</v>
      </c>
      <c r="P300" s="45">
        <v>2109.9763860807334</v>
      </c>
      <c r="Q300" s="45">
        <v>1867.4881053136714</v>
      </c>
      <c r="R300" s="45">
        <v>1624.9998245466109</v>
      </c>
    </row>
    <row r="301" spans="1:18" ht="18" customHeight="1" x14ac:dyDescent="0.2">
      <c r="B301" s="45"/>
      <c r="C301" s="45"/>
      <c r="D301" s="45"/>
      <c r="E301" s="45"/>
      <c r="F301" s="45"/>
      <c r="G301" s="45"/>
      <c r="H301" s="45"/>
      <c r="I301" s="45"/>
      <c r="J301" s="45"/>
      <c r="K301" s="45"/>
      <c r="L301" s="45"/>
      <c r="M301" s="45"/>
      <c r="N301" s="45"/>
      <c r="O301" s="45"/>
      <c r="P301" s="45"/>
      <c r="Q301" s="45"/>
      <c r="R301" s="45"/>
    </row>
    <row r="302" spans="1:18" ht="18" customHeight="1" x14ac:dyDescent="0.2">
      <c r="A302" s="5" t="s">
        <v>156</v>
      </c>
      <c r="B302" s="45">
        <f>B175</f>
        <v>544.9740140505711</v>
      </c>
      <c r="C302" s="45">
        <v>30</v>
      </c>
      <c r="D302" s="45">
        <v>29</v>
      </c>
      <c r="E302" s="45">
        <v>28</v>
      </c>
      <c r="F302" s="45">
        <v>27</v>
      </c>
      <c r="G302" s="45">
        <v>26</v>
      </c>
      <c r="H302" s="45">
        <v>25</v>
      </c>
      <c r="I302" s="45">
        <v>24</v>
      </c>
      <c r="J302" s="45">
        <v>23</v>
      </c>
      <c r="K302" s="45">
        <v>22</v>
      </c>
      <c r="L302" s="45">
        <v>21</v>
      </c>
      <c r="M302" s="45">
        <v>20</v>
      </c>
      <c r="N302" s="45">
        <v>19</v>
      </c>
      <c r="O302" s="45">
        <v>18</v>
      </c>
      <c r="P302" s="45">
        <v>17</v>
      </c>
      <c r="Q302" s="45">
        <v>16</v>
      </c>
      <c r="R302" s="45">
        <v>15</v>
      </c>
    </row>
    <row r="303" spans="1:18" ht="18" customHeight="1" x14ac:dyDescent="0.2">
      <c r="B303" s="45">
        <v>0.05</v>
      </c>
      <c r="C303" s="45">
        <f t="dataTable" ref="C303:R318" dt2D="1" dtr="1" r1="D9" r2="D6" ca="1"/>
        <v>141.48722008819158</v>
      </c>
      <c r="D303" s="45">
        <v>93.827510146684915</v>
      </c>
      <c r="E303" s="45">
        <v>46.167800205177173</v>
      </c>
      <c r="F303" s="168">
        <v>-1.4919097363305838</v>
      </c>
      <c r="G303" s="168">
        <v>-49.151619677838553</v>
      </c>
      <c r="H303" s="168">
        <v>-96.811329619344946</v>
      </c>
      <c r="I303" s="168">
        <v>-144.47103956085229</v>
      </c>
      <c r="J303" s="168">
        <v>-192.13074950235921</v>
      </c>
      <c r="K303" s="168">
        <v>-239.7904594438678</v>
      </c>
      <c r="L303" s="168">
        <v>-287.45016938537549</v>
      </c>
      <c r="M303" s="168">
        <v>-335.10987932688255</v>
      </c>
      <c r="N303" s="168">
        <v>-382.76958926838967</v>
      </c>
      <c r="O303" s="168">
        <v>-430.42929920989701</v>
      </c>
      <c r="P303" s="168">
        <v>-478.08900915140373</v>
      </c>
      <c r="Q303" s="168">
        <v>-525.77933293813487</v>
      </c>
      <c r="R303" s="168">
        <v>-573.5380754369653</v>
      </c>
    </row>
    <row r="304" spans="1:18" ht="18" customHeight="1" x14ac:dyDescent="0.2">
      <c r="B304" s="45">
        <v>5.1999999999999998E-2</v>
      </c>
      <c r="C304" s="45">
        <v>273.50728116279015</v>
      </c>
      <c r="D304" s="45">
        <v>221.44690251879615</v>
      </c>
      <c r="E304" s="45">
        <v>169.38652387480312</v>
      </c>
      <c r="F304" s="45">
        <v>117.32614523080838</v>
      </c>
      <c r="G304" s="45">
        <v>65.265766586813839</v>
      </c>
      <c r="H304" s="45">
        <v>13.205387942819755</v>
      </c>
      <c r="I304" s="168">
        <v>-38.854990701173975</v>
      </c>
      <c r="J304" s="168">
        <v>-90.915369345166496</v>
      </c>
      <c r="K304" s="168">
        <v>-142.97574798916176</v>
      </c>
      <c r="L304" s="168">
        <v>-195.03612663315619</v>
      </c>
      <c r="M304" s="168">
        <v>-247.09650527715019</v>
      </c>
      <c r="N304" s="168">
        <v>-299.15688392114362</v>
      </c>
      <c r="O304" s="168">
        <v>-351.21726256513722</v>
      </c>
      <c r="P304" s="168">
        <v>-403.27764120913179</v>
      </c>
      <c r="Q304" s="168">
        <v>-455.3380198531251</v>
      </c>
      <c r="R304" s="168">
        <v>-507.40789781203813</v>
      </c>
    </row>
    <row r="305" spans="2:18" ht="18" customHeight="1" x14ac:dyDescent="0.2">
      <c r="B305" s="45">
        <v>5.3999999999999999E-2</v>
      </c>
      <c r="C305" s="45">
        <v>405.52734223739003</v>
      </c>
      <c r="D305" s="45">
        <v>349.06629489090881</v>
      </c>
      <c r="E305" s="45">
        <v>292.60524754442895</v>
      </c>
      <c r="F305" s="45">
        <v>236.14420019794755</v>
      </c>
      <c r="G305" s="45">
        <v>179.68315285146741</v>
      </c>
      <c r="H305" s="45">
        <v>123.22210550498662</v>
      </c>
      <c r="I305" s="45">
        <v>66.761058158505278</v>
      </c>
      <c r="J305" s="45">
        <v>10.300010812025477</v>
      </c>
      <c r="K305" s="168">
        <v>-46.161036534456244</v>
      </c>
      <c r="L305" s="168">
        <v>-102.62208388093708</v>
      </c>
      <c r="M305" s="168">
        <v>-159.08313122741697</v>
      </c>
      <c r="N305" s="168">
        <v>-215.54417857389706</v>
      </c>
      <c r="O305" s="168">
        <v>-272.00522592037805</v>
      </c>
      <c r="P305" s="168">
        <v>-328.46627326685842</v>
      </c>
      <c r="Q305" s="168">
        <v>-384.92732061333902</v>
      </c>
      <c r="R305" s="168">
        <v>-441.38836795981956</v>
      </c>
    </row>
    <row r="306" spans="2:18" ht="18" customHeight="1" x14ac:dyDescent="0.2">
      <c r="B306" s="45">
        <v>5.6000000000000001E-2</v>
      </c>
      <c r="C306" s="45">
        <v>537.45298450738653</v>
      </c>
      <c r="D306" s="45">
        <v>476.68568726302158</v>
      </c>
      <c r="E306" s="45">
        <v>415.82397121405427</v>
      </c>
      <c r="F306" s="45">
        <v>354.96225516508724</v>
      </c>
      <c r="G306" s="45">
        <v>294.10053911612039</v>
      </c>
      <c r="H306" s="45">
        <v>233.23882306715342</v>
      </c>
      <c r="I306" s="45">
        <v>172.37710701818486</v>
      </c>
      <c r="J306" s="45">
        <v>111.5153909692186</v>
      </c>
      <c r="K306" s="45">
        <v>50.653674920250353</v>
      </c>
      <c r="L306" s="168">
        <v>-10.208041128717184</v>
      </c>
      <c r="M306" s="168">
        <v>-71.069757177684011</v>
      </c>
      <c r="N306" s="168">
        <v>-131.93147322665098</v>
      </c>
      <c r="O306" s="168">
        <v>-192.79318927561883</v>
      </c>
      <c r="P306" s="168">
        <v>-253.65490532458523</v>
      </c>
      <c r="Q306" s="168">
        <v>-314.5166213735522</v>
      </c>
      <c r="R306" s="168">
        <v>-375.37833742252036</v>
      </c>
    </row>
    <row r="307" spans="2:18" ht="18" customHeight="1" x14ac:dyDescent="0.2">
      <c r="B307" s="45">
        <v>5.8000000000000003E-2</v>
      </c>
      <c r="C307" s="45">
        <v>669.25230251402127</v>
      </c>
      <c r="D307" s="45">
        <v>604.1047464650228</v>
      </c>
      <c r="E307" s="45">
        <v>538.95719041602388</v>
      </c>
      <c r="F307" s="45">
        <v>473.78031013222585</v>
      </c>
      <c r="G307" s="45">
        <v>408.51792538077234</v>
      </c>
      <c r="H307" s="45">
        <v>343.25554062931934</v>
      </c>
      <c r="I307" s="45">
        <v>277.99315587786418</v>
      </c>
      <c r="J307" s="45">
        <v>212.73077112641187</v>
      </c>
      <c r="K307" s="45">
        <v>147.46838637495586</v>
      </c>
      <c r="L307" s="45">
        <v>82.206001623502715</v>
      </c>
      <c r="M307" s="45">
        <v>16.94361687204858</v>
      </c>
      <c r="N307" s="168">
        <v>-48.318767879405172</v>
      </c>
      <c r="O307" s="168">
        <v>-113.58115263085855</v>
      </c>
      <c r="P307" s="168">
        <v>-178.84353738231246</v>
      </c>
      <c r="Q307" s="168">
        <v>-244.10592213376611</v>
      </c>
      <c r="R307" s="168">
        <v>-309.36830688522042</v>
      </c>
    </row>
    <row r="308" spans="2:18" ht="18" customHeight="1" x14ac:dyDescent="0.2">
      <c r="B308" s="45">
        <v>0.06</v>
      </c>
      <c r="C308" s="45">
        <v>801.05162052065498</v>
      </c>
      <c r="D308" s="45">
        <v>731.51075387143521</v>
      </c>
      <c r="E308" s="45">
        <v>661.96988722221533</v>
      </c>
      <c r="F308" s="45">
        <v>592.42902057299511</v>
      </c>
      <c r="G308" s="45">
        <v>522.88815392377535</v>
      </c>
      <c r="H308" s="45">
        <v>453.27225819148418</v>
      </c>
      <c r="I308" s="45">
        <v>383.60920473754328</v>
      </c>
      <c r="J308" s="45">
        <v>313.94615128360397</v>
      </c>
      <c r="K308" s="45">
        <v>244.28309782966272</v>
      </c>
      <c r="L308" s="45">
        <v>174.62004437572165</v>
      </c>
      <c r="M308" s="45">
        <v>104.95699092178168</v>
      </c>
      <c r="N308" s="45">
        <v>35.293937467841573</v>
      </c>
      <c r="O308" s="168">
        <v>-34.369115986099544</v>
      </c>
      <c r="P308" s="168">
        <v>-104.03216944003988</v>
      </c>
      <c r="Q308" s="168">
        <v>-173.69522289397949</v>
      </c>
      <c r="R308" s="168">
        <v>-243.35827634792093</v>
      </c>
    </row>
    <row r="309" spans="2:18" ht="18" customHeight="1" x14ac:dyDescent="0.2">
      <c r="B309" s="45">
        <v>6.2E-2</v>
      </c>
      <c r="C309" s="45">
        <v>932.8509385272896</v>
      </c>
      <c r="D309" s="45">
        <v>858.91676127784842</v>
      </c>
      <c r="E309" s="45">
        <v>784.98258402840713</v>
      </c>
      <c r="F309" s="45">
        <v>711.04840677896573</v>
      </c>
      <c r="G309" s="45">
        <v>637.11422952952569</v>
      </c>
      <c r="H309" s="45">
        <v>563.18005228008428</v>
      </c>
      <c r="I309" s="45">
        <v>489.22525359722351</v>
      </c>
      <c r="J309" s="45">
        <v>415.16153144079715</v>
      </c>
      <c r="K309" s="45">
        <v>341.09780928436885</v>
      </c>
      <c r="L309" s="45">
        <v>267.03408712794186</v>
      </c>
      <c r="M309" s="45">
        <v>192.97036497151339</v>
      </c>
      <c r="N309" s="45">
        <v>118.9066428150872</v>
      </c>
      <c r="O309" s="45">
        <v>44.842920658659608</v>
      </c>
      <c r="P309" s="168">
        <v>-29.220801497767084</v>
      </c>
      <c r="Q309" s="168">
        <v>-103.28452365419351</v>
      </c>
      <c r="R309" s="168">
        <v>-177.34824581062165</v>
      </c>
    </row>
    <row r="310" spans="2:18" ht="18" customHeight="1" x14ac:dyDescent="0.2">
      <c r="B310" s="45">
        <v>6.4000000000000001E-2</v>
      </c>
      <c r="C310" s="45">
        <v>1064.5458432573143</v>
      </c>
      <c r="D310" s="45">
        <v>986.32276868426152</v>
      </c>
      <c r="E310" s="45">
        <v>907.9952808345995</v>
      </c>
      <c r="F310" s="45">
        <v>829.66779298493748</v>
      </c>
      <c r="G310" s="45">
        <v>751.34030513527568</v>
      </c>
      <c r="H310" s="45">
        <v>673.0128172856131</v>
      </c>
      <c r="I310" s="45">
        <v>594.68532943595085</v>
      </c>
      <c r="J310" s="45">
        <v>516.35784158628985</v>
      </c>
      <c r="K310" s="45">
        <v>437.91252073907481</v>
      </c>
      <c r="L310" s="45">
        <v>359.44812988016048</v>
      </c>
      <c r="M310" s="45">
        <v>280.98373902124706</v>
      </c>
      <c r="N310" s="45">
        <v>202.51934816233393</v>
      </c>
      <c r="O310" s="45">
        <v>124.05495730341912</v>
      </c>
      <c r="P310" s="45">
        <v>45.590566444506067</v>
      </c>
      <c r="Q310" s="168">
        <v>-32.873824414407821</v>
      </c>
      <c r="R310" s="168">
        <v>-111.33821527332131</v>
      </c>
    </row>
    <row r="311" spans="2:18" ht="18" customHeight="1" x14ac:dyDescent="0.2">
      <c r="B311" s="45">
        <v>6.6000000000000003E-2</v>
      </c>
      <c r="C311" s="45">
        <v>1196.118521773845</v>
      </c>
      <c r="D311" s="45">
        <v>1113.5397665626015</v>
      </c>
      <c r="E311" s="45">
        <v>1030.9610113513597</v>
      </c>
      <c r="F311" s="45">
        <v>948.28717919090764</v>
      </c>
      <c r="G311" s="45">
        <v>865.56638074102466</v>
      </c>
      <c r="H311" s="45">
        <v>782.84558229114214</v>
      </c>
      <c r="I311" s="45">
        <v>700.12478384125814</v>
      </c>
      <c r="J311" s="45">
        <v>617.40398539137618</v>
      </c>
      <c r="K311" s="45">
        <v>534.68318694149161</v>
      </c>
      <c r="L311" s="45">
        <v>451.86217263237972</v>
      </c>
      <c r="M311" s="45">
        <v>368.99711307098045</v>
      </c>
      <c r="N311" s="45">
        <v>286.13205350957969</v>
      </c>
      <c r="O311" s="45">
        <v>203.26699394817928</v>
      </c>
      <c r="P311" s="45">
        <v>120.40193438677954</v>
      </c>
      <c r="Q311" s="45">
        <v>37.536874825378845</v>
      </c>
      <c r="R311" s="168">
        <v>-45.328184736021711</v>
      </c>
    </row>
    <row r="312" spans="2:18" ht="18" customHeight="1" x14ac:dyDescent="0.2">
      <c r="B312" s="45">
        <v>6.8000000000000005E-2</v>
      </c>
      <c r="C312" s="45">
        <v>1327.6912002903744</v>
      </c>
      <c r="D312" s="45">
        <v>1240.7266891285815</v>
      </c>
      <c r="E312" s="45">
        <v>1153.7621779667879</v>
      </c>
      <c r="F312" s="45">
        <v>1066.7976668049942</v>
      </c>
      <c r="G312" s="45">
        <v>979.79245634677432</v>
      </c>
      <c r="H312" s="45">
        <v>892.67834729667061</v>
      </c>
      <c r="I312" s="45">
        <v>805.56423824656542</v>
      </c>
      <c r="J312" s="45">
        <v>718.4501291964624</v>
      </c>
      <c r="K312" s="45">
        <v>631.33602014635665</v>
      </c>
      <c r="L312" s="45">
        <v>544.22191109625203</v>
      </c>
      <c r="M312" s="45">
        <v>457.01048712071292</v>
      </c>
      <c r="N312" s="45">
        <v>369.74475885682602</v>
      </c>
      <c r="O312" s="45">
        <v>282.47903059293913</v>
      </c>
      <c r="P312" s="45">
        <v>195.21330232905217</v>
      </c>
      <c r="Q312" s="45">
        <v>107.94757406516555</v>
      </c>
      <c r="R312" s="45">
        <v>20.681845801277802</v>
      </c>
    </row>
    <row r="313" spans="2:18" ht="18" customHeight="1" x14ac:dyDescent="0.2">
      <c r="B313" s="45">
        <v>6.9999999999999896E-2</v>
      </c>
      <c r="C313" s="45">
        <v>1459.2638788068969</v>
      </c>
      <c r="D313" s="45">
        <v>1367.9136116945519</v>
      </c>
      <c r="E313" s="45">
        <v>1276.5633445822095</v>
      </c>
      <c r="F313" s="45">
        <v>1185.2130774698642</v>
      </c>
      <c r="G313" s="45">
        <v>1093.8628103575204</v>
      </c>
      <c r="H313" s="45">
        <v>1002.5111123021927</v>
      </c>
      <c r="I313" s="45">
        <v>911.00369265186691</v>
      </c>
      <c r="J313" s="45">
        <v>819.49627300154259</v>
      </c>
      <c r="K313" s="45">
        <v>727.98885335121588</v>
      </c>
      <c r="L313" s="45">
        <v>636.48143370089065</v>
      </c>
      <c r="M313" s="45">
        <v>544.97401405056598</v>
      </c>
      <c r="N313" s="45">
        <v>453.35746420406724</v>
      </c>
      <c r="O313" s="45">
        <v>361.69106723769386</v>
      </c>
      <c r="P313" s="45">
        <v>270.02467027132053</v>
      </c>
      <c r="Q313" s="45">
        <v>178.3582733049476</v>
      </c>
      <c r="R313" s="45">
        <v>86.69187633857365</v>
      </c>
    </row>
    <row r="314" spans="2:18" ht="18" customHeight="1" x14ac:dyDescent="0.2">
      <c r="B314" s="45">
        <v>7.1999999999999897E-2</v>
      </c>
      <c r="C314" s="45">
        <v>1590.7782574430441</v>
      </c>
      <c r="D314" s="45">
        <v>1495.1005342605317</v>
      </c>
      <c r="E314" s="45">
        <v>1399.3645111976366</v>
      </c>
      <c r="F314" s="45">
        <v>1303.628488134741</v>
      </c>
      <c r="G314" s="45">
        <v>1207.892465071847</v>
      </c>
      <c r="H314" s="45">
        <v>1112.1564420089512</v>
      </c>
      <c r="I314" s="45">
        <v>1016.4204189460561</v>
      </c>
      <c r="J314" s="45">
        <v>920.54241680662903</v>
      </c>
      <c r="K314" s="45">
        <v>824.64168655608216</v>
      </c>
      <c r="L314" s="45">
        <v>728.74095630553495</v>
      </c>
      <c r="M314" s="45">
        <v>632.84022605498888</v>
      </c>
      <c r="N314" s="45">
        <v>536.93949580444257</v>
      </c>
      <c r="O314" s="45">
        <v>440.90310388245348</v>
      </c>
      <c r="P314" s="45">
        <v>344.83603821359333</v>
      </c>
      <c r="Q314" s="45">
        <v>248.76897254473397</v>
      </c>
      <c r="R314" s="45">
        <v>152.70190687587331</v>
      </c>
    </row>
    <row r="315" spans="2:18" ht="18" customHeight="1" x14ac:dyDescent="0.2">
      <c r="B315" s="45">
        <v>7.3999999999999899E-2</v>
      </c>
      <c r="C315" s="45">
        <v>1722.1182425438835</v>
      </c>
      <c r="D315" s="45">
        <v>1622.1667192557602</v>
      </c>
      <c r="E315" s="45">
        <v>1522.1656778130648</v>
      </c>
      <c r="F315" s="45">
        <v>1422.0438987996181</v>
      </c>
      <c r="G315" s="45">
        <v>1321.9221197861723</v>
      </c>
      <c r="H315" s="45">
        <v>1221.8003407727263</v>
      </c>
      <c r="I315" s="45">
        <v>1121.6785617592798</v>
      </c>
      <c r="J315" s="45">
        <v>1021.5567827458353</v>
      </c>
      <c r="K315" s="45">
        <v>921.29451976094674</v>
      </c>
      <c r="L315" s="45">
        <v>821.00047891017903</v>
      </c>
      <c r="M315" s="45">
        <v>720.70643805941199</v>
      </c>
      <c r="N315" s="45">
        <v>620.41239720864485</v>
      </c>
      <c r="O315" s="45">
        <v>520.11514052721293</v>
      </c>
      <c r="P315" s="45">
        <v>419.64740615586663</v>
      </c>
      <c r="Q315" s="45">
        <v>319.17967178452034</v>
      </c>
      <c r="R315" s="45">
        <v>218.71193741317273</v>
      </c>
    </row>
    <row r="316" spans="2:18" ht="18" customHeight="1" x14ac:dyDescent="0.2">
      <c r="B316" s="45">
        <v>7.5999999999999901E-2</v>
      </c>
      <c r="C316" s="45">
        <v>1853.4582276447222</v>
      </c>
      <c r="D316" s="45">
        <v>1749.1287048532374</v>
      </c>
      <c r="E316" s="45">
        <v>1644.7991820617526</v>
      </c>
      <c r="F316" s="45">
        <v>1540.4593094644945</v>
      </c>
      <c r="G316" s="45">
        <v>1435.9517745004982</v>
      </c>
      <c r="H316" s="45">
        <v>1331.4442395365008</v>
      </c>
      <c r="I316" s="45">
        <v>1226.9367045725032</v>
      </c>
      <c r="J316" s="45">
        <v>1122.4291696085077</v>
      </c>
      <c r="K316" s="45">
        <v>1017.9216346445096</v>
      </c>
      <c r="L316" s="45">
        <v>913.26000151482344</v>
      </c>
      <c r="M316" s="45">
        <v>808.57265006383454</v>
      </c>
      <c r="N316" s="45">
        <v>703.8852986128461</v>
      </c>
      <c r="O316" s="45">
        <v>599.19794716185697</v>
      </c>
      <c r="P316" s="45">
        <v>494.4587740981392</v>
      </c>
      <c r="Q316" s="45">
        <v>389.59037102430693</v>
      </c>
      <c r="R316" s="45">
        <v>284.7219679504729</v>
      </c>
    </row>
    <row r="317" spans="2:18" ht="18" customHeight="1" x14ac:dyDescent="0.2">
      <c r="B317" s="45">
        <v>7.7999999999999903E-2</v>
      </c>
      <c r="C317" s="45">
        <v>1984.7982127455616</v>
      </c>
      <c r="D317" s="45">
        <v>1876.0906904507149</v>
      </c>
      <c r="E317" s="45">
        <v>1767.3831681558704</v>
      </c>
      <c r="F317" s="45">
        <v>1658.6756458610241</v>
      </c>
      <c r="G317" s="45">
        <v>1549.9681235661785</v>
      </c>
      <c r="H317" s="45">
        <v>1441.0881383002757</v>
      </c>
      <c r="I317" s="45">
        <v>1332.1948473857276</v>
      </c>
      <c r="J317" s="45">
        <v>1223.3015564711802</v>
      </c>
      <c r="K317" s="45">
        <v>1114.4082655566317</v>
      </c>
      <c r="L317" s="45">
        <v>1005.514974642083</v>
      </c>
      <c r="M317" s="45">
        <v>896.43886206825766</v>
      </c>
      <c r="N317" s="45">
        <v>787.35820001704758</v>
      </c>
      <c r="O317" s="45">
        <v>678.27753796583829</v>
      </c>
      <c r="P317" s="45">
        <v>569.196875914629</v>
      </c>
      <c r="Q317" s="45">
        <v>460.00107026409319</v>
      </c>
      <c r="R317" s="45">
        <v>350.73199848777227</v>
      </c>
    </row>
    <row r="318" spans="2:18" ht="18" customHeight="1" x14ac:dyDescent="0.2">
      <c r="B318" s="45">
        <v>7.9999999999999905E-2</v>
      </c>
      <c r="C318" s="45">
        <v>2116.1381978464001</v>
      </c>
      <c r="D318" s="45">
        <v>2003.0526760481921</v>
      </c>
      <c r="E318" s="45">
        <v>1889.9671542499857</v>
      </c>
      <c r="F318" s="45">
        <v>1776.8816324517784</v>
      </c>
      <c r="G318" s="45">
        <v>1663.7961106535724</v>
      </c>
      <c r="H318" s="45">
        <v>1550.710588855364</v>
      </c>
      <c r="I318" s="45">
        <v>1437.4529901989504</v>
      </c>
      <c r="J318" s="45">
        <v>1324.173943333853</v>
      </c>
      <c r="K318" s="45">
        <v>1210.8948964687527</v>
      </c>
      <c r="L318" s="45">
        <v>1097.6158496036537</v>
      </c>
      <c r="M318" s="45">
        <v>984.30507407268033</v>
      </c>
      <c r="N318" s="45">
        <v>870.8311014212494</v>
      </c>
      <c r="O318" s="45">
        <v>757.35712876981847</v>
      </c>
      <c r="P318" s="45">
        <v>643.883156118388</v>
      </c>
      <c r="Q318" s="45">
        <v>530.40918346695719</v>
      </c>
      <c r="R318" s="45">
        <v>416.74202902507182</v>
      </c>
    </row>
    <row r="319" spans="2:18" ht="18" customHeight="1" x14ac:dyDescent="0.2">
      <c r="B319" s="45"/>
      <c r="C319" s="45"/>
      <c r="D319" s="45"/>
      <c r="E319" s="45"/>
      <c r="F319" s="45"/>
      <c r="G319" s="45"/>
      <c r="H319" s="45"/>
      <c r="I319" s="45"/>
      <c r="J319" s="45"/>
      <c r="K319" s="45"/>
      <c r="L319" s="45"/>
      <c r="M319" s="45"/>
      <c r="N319" s="45"/>
      <c r="O319" s="45"/>
      <c r="P319" s="45"/>
      <c r="Q319" s="45"/>
      <c r="R319" s="45"/>
    </row>
  </sheetData>
  <mergeCells count="26">
    <mergeCell ref="A58:L58"/>
    <mergeCell ref="A1:R1"/>
    <mergeCell ref="A34:L34"/>
    <mergeCell ref="A39:L39"/>
    <mergeCell ref="A48:G48"/>
    <mergeCell ref="A57:L57"/>
    <mergeCell ref="A136:L136"/>
    <mergeCell ref="A64:L64"/>
    <mergeCell ref="A72:L72"/>
    <mergeCell ref="A78:L78"/>
    <mergeCell ref="A83:L83"/>
    <mergeCell ref="A91:L91"/>
    <mergeCell ref="A99:L99"/>
    <mergeCell ref="A103:L103"/>
    <mergeCell ref="A107:L107"/>
    <mergeCell ref="A119:L119"/>
    <mergeCell ref="A129:L129"/>
    <mergeCell ref="A131:L131"/>
    <mergeCell ref="A187:L187"/>
    <mergeCell ref="A197:G197"/>
    <mergeCell ref="A137:L137"/>
    <mergeCell ref="A140:L140"/>
    <mergeCell ref="A155:L155"/>
    <mergeCell ref="A165:L165"/>
    <mergeCell ref="A174:L174"/>
    <mergeCell ref="A178:L178"/>
  </mergeCells>
  <pageMargins left="0.7" right="0.7" top="0.75" bottom="0.75" header="0.3" footer="0.3"/>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8"/>
  <sheetViews>
    <sheetView showGridLines="0" workbookViewId="0">
      <selection activeCell="A19" sqref="A19"/>
    </sheetView>
  </sheetViews>
  <sheetFormatPr defaultRowHeight="15" outlineLevelRow="1" outlineLevelCol="1" x14ac:dyDescent="0.2"/>
  <cols>
    <col min="3" max="3" width="27.44140625" customWidth="1"/>
    <col min="4" max="7" width="13" bestFit="1" customWidth="1" outlineLevel="1"/>
  </cols>
  <sheetData>
    <row r="1" spans="2:7" ht="15.75" thickBot="1" x14ac:dyDescent="0.25"/>
    <row r="2" spans="2:7" ht="18" x14ac:dyDescent="0.25">
      <c r="B2" s="11" t="s">
        <v>162</v>
      </c>
      <c r="C2" s="11"/>
      <c r="D2" s="16"/>
      <c r="E2" s="16"/>
      <c r="F2" s="16"/>
      <c r="G2" s="16"/>
    </row>
    <row r="3" spans="2:7" ht="18" collapsed="1" x14ac:dyDescent="0.25">
      <c r="B3" s="10"/>
      <c r="C3" s="10"/>
      <c r="D3" s="17" t="s">
        <v>164</v>
      </c>
      <c r="E3" s="17" t="s">
        <v>157</v>
      </c>
      <c r="F3" s="17" t="s">
        <v>159</v>
      </c>
      <c r="G3" s="17" t="s">
        <v>160</v>
      </c>
    </row>
    <row r="4" spans="2:7" ht="67.5" hidden="1" outlineLevel="1" x14ac:dyDescent="0.25">
      <c r="B4" s="13"/>
      <c r="C4" s="13"/>
      <c r="D4" s="6"/>
      <c r="E4" s="19" t="s">
        <v>158</v>
      </c>
      <c r="F4" s="19" t="s">
        <v>158</v>
      </c>
      <c r="G4" s="19" t="s">
        <v>158</v>
      </c>
    </row>
    <row r="5" spans="2:7" ht="15.75" x14ac:dyDescent="0.25">
      <c r="B5" s="14" t="s">
        <v>163</v>
      </c>
      <c r="C5" s="14"/>
      <c r="D5" s="12"/>
      <c r="E5" s="12"/>
      <c r="F5" s="12"/>
      <c r="G5" s="12"/>
    </row>
    <row r="6" spans="2:7" ht="15.75" outlineLevel="1" x14ac:dyDescent="0.25">
      <c r="B6" s="13"/>
      <c r="C6" s="13" t="s">
        <v>4</v>
      </c>
      <c r="D6" s="6">
        <v>0.06</v>
      </c>
      <c r="E6" s="18">
        <v>7.0000000000000007E-2</v>
      </c>
      <c r="F6" s="18">
        <v>6.5000000000000002E-2</v>
      </c>
      <c r="G6" s="18">
        <v>0.06</v>
      </c>
    </row>
    <row r="7" spans="2:7" ht="15.75" outlineLevel="1" x14ac:dyDescent="0.25">
      <c r="B7" s="13"/>
      <c r="C7" s="13" t="s">
        <v>230</v>
      </c>
      <c r="D7" s="6">
        <v>80</v>
      </c>
      <c r="E7" s="18">
        <v>90</v>
      </c>
      <c r="F7" s="18">
        <v>82</v>
      </c>
      <c r="G7" s="18">
        <v>75</v>
      </c>
    </row>
    <row r="8" spans="2:7" ht="15.75" outlineLevel="1" x14ac:dyDescent="0.25">
      <c r="B8" s="13"/>
      <c r="C8" s="13" t="s">
        <v>231</v>
      </c>
      <c r="D8" s="6">
        <v>0.03</v>
      </c>
      <c r="E8" s="18">
        <v>0.02</v>
      </c>
      <c r="F8" s="18">
        <v>3.2000000000000001E-2</v>
      </c>
      <c r="G8" s="18">
        <v>3.5000000000000003E-2</v>
      </c>
    </row>
    <row r="9" spans="2:7" ht="15.75" outlineLevel="1" x14ac:dyDescent="0.25">
      <c r="B9" s="13"/>
      <c r="C9" s="13" t="s">
        <v>232</v>
      </c>
      <c r="D9" s="6">
        <v>120</v>
      </c>
      <c r="E9" s="18">
        <v>110</v>
      </c>
      <c r="F9" s="18">
        <v>115</v>
      </c>
      <c r="G9" s="18">
        <v>125</v>
      </c>
    </row>
    <row r="10" spans="2:7" ht="15.75" outlineLevel="1" x14ac:dyDescent="0.25">
      <c r="B10" s="13"/>
      <c r="C10" s="13" t="s">
        <v>233</v>
      </c>
      <c r="D10" s="6">
        <v>10</v>
      </c>
      <c r="E10" s="18">
        <v>9</v>
      </c>
      <c r="F10" s="18">
        <v>11</v>
      </c>
      <c r="G10" s="18">
        <v>11</v>
      </c>
    </row>
    <row r="11" spans="2:7" ht="15.75" outlineLevel="1" x14ac:dyDescent="0.25">
      <c r="B11" s="13"/>
      <c r="C11" s="13" t="s">
        <v>234</v>
      </c>
      <c r="D11" s="6">
        <v>8</v>
      </c>
      <c r="E11" s="18">
        <v>7</v>
      </c>
      <c r="F11" s="18">
        <v>8.5</v>
      </c>
      <c r="G11" s="18">
        <v>9</v>
      </c>
    </row>
    <row r="12" spans="2:7" ht="15.75" x14ac:dyDescent="0.25">
      <c r="B12" s="14" t="s">
        <v>165</v>
      </c>
      <c r="C12" s="14"/>
      <c r="D12" s="12"/>
      <c r="E12" s="12"/>
      <c r="F12" s="12"/>
      <c r="G12" s="12"/>
    </row>
    <row r="13" spans="2:7" ht="15.75" outlineLevel="1" x14ac:dyDescent="0.25">
      <c r="B13" s="13"/>
      <c r="C13" s="13" t="s">
        <v>144</v>
      </c>
      <c r="D13" s="7">
        <v>544.97401405057099</v>
      </c>
      <c r="E13" s="7">
        <v>4779.2636031864504</v>
      </c>
      <c r="F13" s="7">
        <v>1326.66377977551</v>
      </c>
      <c r="G13" s="7">
        <v>-477.83886599880202</v>
      </c>
    </row>
    <row r="14" spans="2:7" ht="15.75" outlineLevel="1" x14ac:dyDescent="0.25">
      <c r="B14" s="13"/>
      <c r="C14" s="13" t="s">
        <v>145</v>
      </c>
      <c r="D14" s="8">
        <v>0.26007431345256599</v>
      </c>
      <c r="E14" s="8">
        <v>2.8409097105984999</v>
      </c>
      <c r="F14" s="8">
        <v>0.45729069387826299</v>
      </c>
      <c r="G14" s="8">
        <v>2.0068826784863901E-2</v>
      </c>
    </row>
    <row r="15" spans="2:7" ht="15.75" outlineLevel="1" x14ac:dyDescent="0.25">
      <c r="B15" s="20"/>
      <c r="C15" s="20" t="s">
        <v>146</v>
      </c>
      <c r="D15" s="21">
        <v>5.5039174714923202</v>
      </c>
      <c r="E15" s="21">
        <v>44.0564288575356</v>
      </c>
      <c r="F15" s="21">
        <v>12.4367567222027</v>
      </c>
      <c r="G15" s="21">
        <v>2.7923719523714499</v>
      </c>
    </row>
    <row r="16" spans="2:7" x14ac:dyDescent="0.2">
      <c r="B16" t="s">
        <v>166</v>
      </c>
    </row>
    <row r="17" spans="2:2" x14ac:dyDescent="0.2">
      <c r="B17" t="s">
        <v>167</v>
      </c>
    </row>
    <row r="18" spans="2:2" x14ac:dyDescent="0.2">
      <c r="B18"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8"/>
  <sheetViews>
    <sheetView showGridLines="0" workbookViewId="0">
      <selection activeCell="C33" sqref="C33"/>
    </sheetView>
  </sheetViews>
  <sheetFormatPr defaultRowHeight="15" outlineLevelRow="1" outlineLevelCol="1" x14ac:dyDescent="0.2"/>
  <cols>
    <col min="3" max="3" width="29.21875" customWidth="1"/>
    <col min="4" max="7" width="13" bestFit="1" customWidth="1" outlineLevel="1"/>
  </cols>
  <sheetData>
    <row r="1" spans="2:7" ht="15.75" thickBot="1" x14ac:dyDescent="0.25"/>
    <row r="2" spans="2:7" ht="18" x14ac:dyDescent="0.25">
      <c r="B2" s="11" t="s">
        <v>162</v>
      </c>
      <c r="C2" s="11"/>
      <c r="D2" s="16"/>
      <c r="E2" s="16"/>
      <c r="F2" s="16"/>
      <c r="G2" s="16"/>
    </row>
    <row r="3" spans="2:7" ht="18" collapsed="1" x14ac:dyDescent="0.25">
      <c r="B3" s="10"/>
      <c r="C3" s="10"/>
      <c r="D3" s="17" t="s">
        <v>164</v>
      </c>
      <c r="E3" s="17" t="s">
        <v>169</v>
      </c>
      <c r="F3" s="17" t="s">
        <v>170</v>
      </c>
      <c r="G3" s="17" t="s">
        <v>171</v>
      </c>
    </row>
    <row r="4" spans="2:7" ht="33.75" hidden="1" outlineLevel="1" x14ac:dyDescent="0.25">
      <c r="B4" s="13"/>
      <c r="C4" s="13"/>
      <c r="D4" s="6"/>
      <c r="E4" s="19" t="s">
        <v>161</v>
      </c>
      <c r="F4" s="19" t="s">
        <v>161</v>
      </c>
      <c r="G4" s="19" t="s">
        <v>161</v>
      </c>
    </row>
    <row r="5" spans="2:7" ht="15.75" x14ac:dyDescent="0.25">
      <c r="B5" s="14" t="s">
        <v>163</v>
      </c>
      <c r="C5" s="14"/>
      <c r="D5" s="12"/>
      <c r="E5" s="12"/>
      <c r="F5" s="12"/>
      <c r="G5" s="12"/>
    </row>
    <row r="6" spans="2:7" ht="15.75" outlineLevel="1" x14ac:dyDescent="0.25">
      <c r="B6" s="13"/>
      <c r="C6" s="13" t="s">
        <v>4</v>
      </c>
      <c r="D6" s="6">
        <v>7.0000000000000007E-2</v>
      </c>
      <c r="E6" s="18">
        <v>0.08</v>
      </c>
      <c r="F6" s="18">
        <v>7.4999999999999997E-2</v>
      </c>
      <c r="G6" s="18">
        <v>7.0000000000000007E-2</v>
      </c>
    </row>
    <row r="7" spans="2:7" ht="15.75" outlineLevel="1" x14ac:dyDescent="0.25">
      <c r="B7" s="13"/>
      <c r="C7" s="13" t="s">
        <v>230</v>
      </c>
      <c r="D7" s="6">
        <v>20</v>
      </c>
      <c r="E7" s="18">
        <v>30</v>
      </c>
      <c r="F7" s="18">
        <v>25</v>
      </c>
      <c r="G7" s="18">
        <v>15</v>
      </c>
    </row>
    <row r="8" spans="2:7" ht="15.75" outlineLevel="1" x14ac:dyDescent="0.25">
      <c r="B8" s="13"/>
      <c r="C8" s="13" t="s">
        <v>231</v>
      </c>
      <c r="D8" s="6">
        <v>3.5000000000000003E-2</v>
      </c>
      <c r="E8" s="18">
        <v>2.5000000000000001E-2</v>
      </c>
      <c r="F8" s="18">
        <v>3.5999999999999997E-2</v>
      </c>
      <c r="G8" s="18">
        <v>0.04</v>
      </c>
    </row>
    <row r="9" spans="2:7" ht="15.75" outlineLevel="1" x14ac:dyDescent="0.25">
      <c r="B9" s="13"/>
      <c r="C9" s="13" t="s">
        <v>232</v>
      </c>
      <c r="D9" s="6">
        <v>10</v>
      </c>
      <c r="E9" s="18">
        <v>9</v>
      </c>
      <c r="F9" s="18">
        <v>10</v>
      </c>
      <c r="G9" s="18">
        <v>11</v>
      </c>
    </row>
    <row r="10" spans="2:7" ht="15.75" outlineLevel="1" x14ac:dyDescent="0.25">
      <c r="B10" s="13"/>
      <c r="C10" s="13" t="s">
        <v>233</v>
      </c>
      <c r="D10" s="6">
        <v>120</v>
      </c>
      <c r="E10" s="18">
        <v>115</v>
      </c>
      <c r="F10" s="18">
        <v>125</v>
      </c>
      <c r="G10" s="18">
        <v>125</v>
      </c>
    </row>
    <row r="11" spans="2:7" ht="15.75" outlineLevel="1" x14ac:dyDescent="0.25">
      <c r="B11" s="13"/>
      <c r="C11" s="13" t="s">
        <v>234</v>
      </c>
      <c r="D11" s="6">
        <v>8</v>
      </c>
      <c r="E11" s="18">
        <v>7</v>
      </c>
      <c r="F11" s="18">
        <v>8</v>
      </c>
      <c r="G11" s="18">
        <v>8</v>
      </c>
    </row>
    <row r="12" spans="2:7" ht="15.75" x14ac:dyDescent="0.25">
      <c r="B12" s="14" t="s">
        <v>165</v>
      </c>
      <c r="C12" s="14"/>
      <c r="D12" s="12"/>
      <c r="E12" s="12"/>
      <c r="F12" s="12"/>
      <c r="G12" s="12"/>
    </row>
    <row r="13" spans="2:7" ht="15.75" outlineLevel="1" x14ac:dyDescent="0.25">
      <c r="B13" s="13"/>
      <c r="C13" s="13" t="s">
        <v>144</v>
      </c>
      <c r="D13" s="7">
        <v>544.97401405057099</v>
      </c>
      <c r="E13" s="7">
        <v>2623.1043303051001</v>
      </c>
      <c r="F13" s="7">
        <v>1230.8538037286901</v>
      </c>
      <c r="G13" s="7">
        <v>-48.942908668634701</v>
      </c>
    </row>
    <row r="14" spans="2:7" ht="15.75" outlineLevel="1" x14ac:dyDescent="0.25">
      <c r="B14" s="13"/>
      <c r="C14" s="13" t="s">
        <v>145</v>
      </c>
      <c r="D14" s="8">
        <v>0.26007431345256599</v>
      </c>
      <c r="E14" s="8">
        <v>0.95245616017671497</v>
      </c>
      <c r="F14" s="8">
        <v>0.426484744372571</v>
      </c>
      <c r="G14" s="8">
        <v>0.12027272074338199</v>
      </c>
    </row>
    <row r="15" spans="2:7" ht="16.5" outlineLevel="1" thickBot="1" x14ac:dyDescent="0.3">
      <c r="B15" s="15"/>
      <c r="C15" s="20" t="s">
        <v>146</v>
      </c>
      <c r="D15" s="9">
        <v>5.5039174714923202</v>
      </c>
      <c r="E15" s="9">
        <v>23.612968364699199</v>
      </c>
      <c r="F15" s="9">
        <v>10.7686809819737</v>
      </c>
      <c r="G15" s="9">
        <v>0.61156421691559804</v>
      </c>
    </row>
    <row r="16" spans="2:7" x14ac:dyDescent="0.2">
      <c r="B16" t="s">
        <v>166</v>
      </c>
    </row>
    <row r="17" spans="2:2" x14ac:dyDescent="0.2">
      <c r="B17" t="s">
        <v>167</v>
      </c>
    </row>
    <row r="18" spans="2:2" x14ac:dyDescent="0.2">
      <c r="B18"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
  <cols>
    <col min="1" max="2" width="36.6640625" customWidth="1"/>
  </cols>
  <sheetData>
    <row r="1" spans="1:16" ht="15.75" x14ac:dyDescent="0.25">
      <c r="A1" s="1" t="s">
        <v>175</v>
      </c>
    </row>
    <row r="2" spans="1:16" x14ac:dyDescent="0.2">
      <c r="P2" t="e">
        <f ca="1">_xll.CB.RecalcCounterFN()</f>
        <v>#NAME?</v>
      </c>
    </row>
    <row r="3" spans="1:16" x14ac:dyDescent="0.2">
      <c r="A3" t="s">
        <v>176</v>
      </c>
      <c r="B3" t="s">
        <v>177</v>
      </c>
      <c r="C3">
        <v>0</v>
      </c>
    </row>
    <row r="4" spans="1:16" x14ac:dyDescent="0.2">
      <c r="A4" t="s">
        <v>178</v>
      </c>
    </row>
    <row r="5" spans="1:16" x14ac:dyDescent="0.2">
      <c r="A5" t="s">
        <v>179</v>
      </c>
    </row>
    <row r="7" spans="1:16" ht="15.75" x14ac:dyDescent="0.25">
      <c r="A7" s="1" t="s">
        <v>180</v>
      </c>
      <c r="B7" t="s">
        <v>181</v>
      </c>
    </row>
    <row r="8" spans="1:16" x14ac:dyDescent="0.2">
      <c r="B8">
        <v>2</v>
      </c>
    </row>
    <row r="10" spans="1:16" x14ac:dyDescent="0.2">
      <c r="A10" t="s">
        <v>182</v>
      </c>
    </row>
    <row r="11" spans="1:16" x14ac:dyDescent="0.2">
      <c r="A11" t="e">
        <f>CB_DATA_!#REF!</f>
        <v>#REF!</v>
      </c>
      <c r="B11" t="e">
        <f>'Crystal Ball Risk Analysis'!#REF!</f>
        <v>#REF!</v>
      </c>
    </row>
    <row r="13" spans="1:16" x14ac:dyDescent="0.2">
      <c r="A13" t="s">
        <v>183</v>
      </c>
    </row>
    <row r="14" spans="1:16" x14ac:dyDescent="0.2">
      <c r="A14" t="s">
        <v>187</v>
      </c>
      <c r="B14" t="s">
        <v>191</v>
      </c>
    </row>
    <row r="16" spans="1:16" x14ac:dyDescent="0.2">
      <c r="A16" t="s">
        <v>184</v>
      </c>
    </row>
    <row r="19" spans="1:2" x14ac:dyDescent="0.2">
      <c r="A19" t="s">
        <v>185</v>
      </c>
    </row>
    <row r="20" spans="1:2" x14ac:dyDescent="0.2">
      <c r="A20">
        <v>28</v>
      </c>
      <c r="B20">
        <v>31</v>
      </c>
    </row>
    <row r="25" spans="1:2" ht="15.75" x14ac:dyDescent="0.25">
      <c r="A25" s="1" t="s">
        <v>186</v>
      </c>
    </row>
    <row r="26" spans="1:2" x14ac:dyDescent="0.2">
      <c r="A26" s="22" t="s">
        <v>188</v>
      </c>
      <c r="B26" s="22" t="s">
        <v>192</v>
      </c>
    </row>
    <row r="27" spans="1:2" x14ac:dyDescent="0.2">
      <c r="A27" t="s">
        <v>189</v>
      </c>
      <c r="B27" t="s">
        <v>196</v>
      </c>
    </row>
    <row r="28" spans="1:2" x14ac:dyDescent="0.2">
      <c r="A28" s="22" t="s">
        <v>190</v>
      </c>
      <c r="B28" s="22" t="s">
        <v>190</v>
      </c>
    </row>
    <row r="29" spans="1:2" x14ac:dyDescent="0.2">
      <c r="B29" s="22" t="s">
        <v>188</v>
      </c>
    </row>
    <row r="30" spans="1:2" x14ac:dyDescent="0.2">
      <c r="B30" t="s">
        <v>195</v>
      </c>
    </row>
    <row r="31" spans="1:2" x14ac:dyDescent="0.2">
      <c r="B31" s="22"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06"/>
  <sheetViews>
    <sheetView topLeftCell="A133" zoomScale="80" zoomScaleNormal="80" workbookViewId="0">
      <selection activeCell="E147" sqref="E147"/>
    </sheetView>
  </sheetViews>
  <sheetFormatPr defaultRowHeight="15" x14ac:dyDescent="0.2"/>
  <cols>
    <col min="1" max="1" width="22.5546875" style="5" customWidth="1"/>
    <col min="2" max="13" width="13.77734375" style="5" customWidth="1"/>
    <col min="14" max="14" width="22.33203125" style="5" customWidth="1"/>
    <col min="15" max="16384" width="8.88671875" style="5"/>
  </cols>
  <sheetData>
    <row r="1" spans="1:22" ht="15.75" x14ac:dyDescent="0.25">
      <c r="A1" s="29" t="s">
        <v>0</v>
      </c>
      <c r="B1" s="30"/>
      <c r="C1" s="30"/>
      <c r="D1" s="30"/>
      <c r="E1" s="30"/>
      <c r="F1" s="30"/>
      <c r="G1" s="30"/>
      <c r="H1" s="30"/>
      <c r="I1" s="30"/>
      <c r="J1" s="30"/>
      <c r="K1" s="30"/>
      <c r="L1" s="30"/>
      <c r="M1" s="30"/>
      <c r="N1" s="30"/>
      <c r="O1" s="30"/>
      <c r="P1" s="30"/>
      <c r="Q1" s="30"/>
      <c r="R1" s="31"/>
    </row>
    <row r="2" spans="1:22" ht="15.75" x14ac:dyDescent="0.25">
      <c r="A2" s="32"/>
      <c r="O2" s="1"/>
      <c r="R2" s="33"/>
      <c r="U2" s="1"/>
    </row>
    <row r="3" spans="1:22" ht="15.75" x14ac:dyDescent="0.25">
      <c r="A3" s="2" t="s">
        <v>1</v>
      </c>
      <c r="D3" s="5">
        <v>1</v>
      </c>
      <c r="E3" s="5" t="s">
        <v>2</v>
      </c>
      <c r="I3" s="1" t="s">
        <v>28</v>
      </c>
      <c r="N3" s="1" t="s">
        <v>43</v>
      </c>
      <c r="R3" s="33"/>
    </row>
    <row r="4" spans="1:22" ht="15.75" x14ac:dyDescent="0.25">
      <c r="A4" s="2"/>
      <c r="D4" s="5">
        <v>9</v>
      </c>
      <c r="E4" s="5" t="s">
        <v>3</v>
      </c>
      <c r="I4" s="1"/>
      <c r="R4" s="33"/>
    </row>
    <row r="5" spans="1:22" ht="15.75" x14ac:dyDescent="0.25">
      <c r="A5" s="2" t="s">
        <v>4</v>
      </c>
      <c r="C5" s="5">
        <v>1</v>
      </c>
      <c r="D5" s="34">
        <v>0.06</v>
      </c>
      <c r="E5" s="5" t="s">
        <v>6</v>
      </c>
      <c r="I5" s="1" t="s">
        <v>41</v>
      </c>
      <c r="J5" s="5" t="s">
        <v>29</v>
      </c>
      <c r="K5" s="5">
        <v>33</v>
      </c>
      <c r="L5" s="5" t="s">
        <v>35</v>
      </c>
      <c r="N5" s="1" t="s">
        <v>44</v>
      </c>
      <c r="O5" s="5">
        <v>1</v>
      </c>
      <c r="P5" s="34">
        <v>0.03</v>
      </c>
      <c r="Q5" s="5" t="s">
        <v>53</v>
      </c>
      <c r="R5" s="33"/>
    </row>
    <row r="6" spans="1:22" ht="15.75" x14ac:dyDescent="0.25">
      <c r="A6" s="2"/>
      <c r="C6" s="5">
        <v>2</v>
      </c>
      <c r="D6" s="34">
        <v>7.0000000000000007E-2</v>
      </c>
      <c r="E6" s="5" t="s">
        <v>6</v>
      </c>
      <c r="I6" s="1"/>
      <c r="J6" s="5" t="s">
        <v>30</v>
      </c>
      <c r="K6" s="5">
        <v>10</v>
      </c>
      <c r="L6" s="5" t="s">
        <v>36</v>
      </c>
      <c r="N6" s="1"/>
      <c r="O6" s="5">
        <v>2</v>
      </c>
      <c r="P6" s="34">
        <v>3.5000000000000003E-2</v>
      </c>
      <c r="Q6" s="35" t="s">
        <v>53</v>
      </c>
      <c r="R6" s="36"/>
      <c r="S6" s="35"/>
      <c r="T6" s="35"/>
      <c r="U6" s="35"/>
      <c r="V6" s="35"/>
    </row>
    <row r="7" spans="1:22" ht="15.75" x14ac:dyDescent="0.25">
      <c r="A7" s="2"/>
      <c r="C7" s="5" t="s">
        <v>5</v>
      </c>
      <c r="D7" s="35">
        <v>0.06</v>
      </c>
      <c r="I7" s="1"/>
      <c r="J7" s="5" t="s">
        <v>31</v>
      </c>
      <c r="K7" s="5">
        <v>3</v>
      </c>
      <c r="L7" s="5" t="s">
        <v>21</v>
      </c>
      <c r="O7" s="5" t="s">
        <v>38</v>
      </c>
      <c r="P7" s="35">
        <v>0.04</v>
      </c>
      <c r="R7" s="33"/>
      <c r="S7" s="35"/>
      <c r="T7" s="35"/>
      <c r="U7" s="35"/>
      <c r="V7" s="35"/>
    </row>
    <row r="8" spans="1:22" ht="15.75" x14ac:dyDescent="0.25">
      <c r="A8" s="2" t="s">
        <v>7</v>
      </c>
      <c r="C8" s="5">
        <v>1</v>
      </c>
      <c r="D8" s="5">
        <v>80</v>
      </c>
      <c r="E8" s="5" t="s">
        <v>57</v>
      </c>
      <c r="I8" s="1"/>
      <c r="J8" s="5" t="s">
        <v>38</v>
      </c>
      <c r="K8" s="35">
        <v>0.1</v>
      </c>
      <c r="R8" s="36"/>
    </row>
    <row r="9" spans="1:22" ht="15.75" x14ac:dyDescent="0.25">
      <c r="A9" s="32"/>
      <c r="C9" s="5">
        <v>2</v>
      </c>
      <c r="D9" s="5">
        <v>20</v>
      </c>
      <c r="E9" s="5" t="s">
        <v>57</v>
      </c>
      <c r="I9" s="1"/>
      <c r="J9" s="5" t="s">
        <v>32</v>
      </c>
      <c r="K9" s="35">
        <v>0.5</v>
      </c>
      <c r="L9" s="5" t="s">
        <v>39</v>
      </c>
      <c r="N9" s="1" t="s">
        <v>49</v>
      </c>
      <c r="O9" s="5" t="s">
        <v>45</v>
      </c>
      <c r="P9" s="5">
        <v>1</v>
      </c>
      <c r="R9" s="33"/>
    </row>
    <row r="10" spans="1:22" ht="15.75" x14ac:dyDescent="0.25">
      <c r="A10" s="2"/>
      <c r="B10" s="5" t="s">
        <v>59</v>
      </c>
      <c r="C10" s="5" t="s">
        <v>58</v>
      </c>
      <c r="D10" s="35">
        <v>0.7</v>
      </c>
      <c r="E10" s="5" t="s">
        <v>60</v>
      </c>
      <c r="I10" s="1"/>
      <c r="N10" s="1"/>
      <c r="O10" s="5" t="s">
        <v>3</v>
      </c>
      <c r="P10" s="5">
        <v>15</v>
      </c>
      <c r="Q10" s="5" t="s">
        <v>36</v>
      </c>
      <c r="R10" s="33"/>
    </row>
    <row r="11" spans="1:22" ht="15.75" x14ac:dyDescent="0.25">
      <c r="A11" s="2"/>
      <c r="B11" s="5" t="s">
        <v>61</v>
      </c>
      <c r="C11" s="5" t="s">
        <v>62</v>
      </c>
      <c r="D11" s="35">
        <v>0.85</v>
      </c>
      <c r="E11" s="5" t="s">
        <v>60</v>
      </c>
      <c r="I11" s="1" t="s">
        <v>56</v>
      </c>
      <c r="J11" s="5" t="s">
        <v>2</v>
      </c>
      <c r="K11" s="5">
        <v>120</v>
      </c>
      <c r="L11" s="5" t="s">
        <v>40</v>
      </c>
      <c r="N11" s="1"/>
      <c r="O11" s="5" t="s">
        <v>38</v>
      </c>
      <c r="P11" s="35">
        <v>0.06</v>
      </c>
      <c r="R11" s="33"/>
    </row>
    <row r="12" spans="1:22" ht="15.75" x14ac:dyDescent="0.25">
      <c r="A12" s="2"/>
      <c r="B12" s="5" t="s">
        <v>63</v>
      </c>
      <c r="C12" s="5" t="s">
        <v>58</v>
      </c>
      <c r="D12" s="35">
        <v>0.95</v>
      </c>
      <c r="E12" s="5" t="s">
        <v>60</v>
      </c>
      <c r="I12" s="1"/>
      <c r="J12" s="5" t="s">
        <v>33</v>
      </c>
      <c r="K12" s="5">
        <v>10</v>
      </c>
      <c r="L12" s="5" t="s">
        <v>37</v>
      </c>
      <c r="R12" s="33"/>
    </row>
    <row r="13" spans="1:22" ht="15.75" x14ac:dyDescent="0.25">
      <c r="A13" s="2"/>
      <c r="I13" s="1"/>
      <c r="N13" s="1" t="s">
        <v>51</v>
      </c>
      <c r="O13" s="5" t="s">
        <v>45</v>
      </c>
      <c r="P13" s="5">
        <v>2</v>
      </c>
      <c r="R13" s="33"/>
    </row>
    <row r="14" spans="1:22" ht="15.75" x14ac:dyDescent="0.25">
      <c r="A14" s="2" t="s">
        <v>8</v>
      </c>
      <c r="D14" s="35">
        <v>0</v>
      </c>
      <c r="E14" s="5" t="s">
        <v>9</v>
      </c>
      <c r="I14" s="1" t="s">
        <v>34</v>
      </c>
      <c r="J14" s="5" t="s">
        <v>3</v>
      </c>
      <c r="K14" s="5">
        <v>1</v>
      </c>
      <c r="L14" s="5" t="s">
        <v>42</v>
      </c>
      <c r="O14" s="5" t="s">
        <v>3</v>
      </c>
      <c r="P14" s="5">
        <v>3</v>
      </c>
      <c r="Q14" s="5" t="s">
        <v>36</v>
      </c>
      <c r="R14" s="33"/>
    </row>
    <row r="15" spans="1:22" ht="15.75" x14ac:dyDescent="0.25">
      <c r="A15" s="2"/>
      <c r="J15" s="5" t="s">
        <v>33</v>
      </c>
      <c r="N15" s="1"/>
      <c r="O15" s="5" t="s">
        <v>38</v>
      </c>
      <c r="P15" s="35">
        <v>0.06</v>
      </c>
      <c r="R15" s="33"/>
    </row>
    <row r="16" spans="1:22" ht="15.75" x14ac:dyDescent="0.25">
      <c r="A16" s="2" t="s">
        <v>10</v>
      </c>
      <c r="D16" s="35">
        <v>0.04</v>
      </c>
      <c r="E16" s="5" t="s">
        <v>11</v>
      </c>
      <c r="R16" s="33"/>
    </row>
    <row r="17" spans="1:22" ht="15.75" x14ac:dyDescent="0.25">
      <c r="A17" s="2"/>
      <c r="I17" s="1" t="s">
        <v>52</v>
      </c>
      <c r="J17" s="5" t="s">
        <v>2</v>
      </c>
      <c r="K17" s="5">
        <v>1</v>
      </c>
      <c r="L17" s="5" t="s">
        <v>50</v>
      </c>
      <c r="N17" s="1" t="s">
        <v>54</v>
      </c>
      <c r="O17" s="5" t="s">
        <v>45</v>
      </c>
      <c r="P17" s="5">
        <v>5</v>
      </c>
      <c r="R17" s="33"/>
    </row>
    <row r="18" spans="1:22" ht="15.75" x14ac:dyDescent="0.25">
      <c r="A18" s="2" t="s">
        <v>12</v>
      </c>
      <c r="B18" s="5" t="s">
        <v>13</v>
      </c>
      <c r="D18" s="35">
        <v>0</v>
      </c>
      <c r="E18" s="5" t="s">
        <v>16</v>
      </c>
      <c r="N18" s="1"/>
      <c r="O18" s="5" t="s">
        <v>3</v>
      </c>
      <c r="P18" s="5">
        <v>8</v>
      </c>
      <c r="Q18" s="35" t="s">
        <v>36</v>
      </c>
      <c r="R18" s="33"/>
      <c r="S18" s="35"/>
      <c r="T18" s="35"/>
      <c r="U18" s="35"/>
      <c r="V18" s="35"/>
    </row>
    <row r="19" spans="1:22" ht="15.75" x14ac:dyDescent="0.25">
      <c r="A19" s="2"/>
      <c r="B19" s="5" t="s">
        <v>14</v>
      </c>
      <c r="D19" s="35">
        <v>0.01</v>
      </c>
      <c r="E19" s="5" t="s">
        <v>16</v>
      </c>
      <c r="N19" s="1"/>
      <c r="O19" s="5" t="s">
        <v>38</v>
      </c>
      <c r="P19" s="35">
        <v>0.06</v>
      </c>
      <c r="Q19" s="35"/>
      <c r="R19" s="36"/>
      <c r="S19" s="35"/>
      <c r="T19" s="35"/>
      <c r="U19" s="35"/>
      <c r="V19" s="35"/>
    </row>
    <row r="20" spans="1:22" ht="15.75" x14ac:dyDescent="0.25">
      <c r="A20" s="2"/>
      <c r="B20" s="5" t="s">
        <v>15</v>
      </c>
      <c r="D20" s="35">
        <v>0.05</v>
      </c>
      <c r="E20" s="5" t="s">
        <v>17</v>
      </c>
      <c r="N20" s="1"/>
      <c r="R20" s="36"/>
    </row>
    <row r="21" spans="1:22" ht="15.75" x14ac:dyDescent="0.25">
      <c r="A21" s="2"/>
      <c r="R21" s="33"/>
    </row>
    <row r="22" spans="1:22" ht="15.75" x14ac:dyDescent="0.25">
      <c r="A22" s="2" t="s">
        <v>27</v>
      </c>
      <c r="B22" s="5" t="s">
        <v>18</v>
      </c>
      <c r="D22" s="5">
        <v>0.7</v>
      </c>
      <c r="E22" s="5" t="s">
        <v>76</v>
      </c>
      <c r="N22" s="1" t="s">
        <v>90</v>
      </c>
      <c r="O22" s="5" t="s">
        <v>3</v>
      </c>
      <c r="P22" s="5">
        <v>8</v>
      </c>
      <c r="Q22" s="5" t="s">
        <v>36</v>
      </c>
      <c r="R22" s="33"/>
      <c r="S22" s="35"/>
      <c r="T22" s="35"/>
      <c r="U22" s="35"/>
      <c r="V22" s="35"/>
    </row>
    <row r="23" spans="1:22" ht="15.75" x14ac:dyDescent="0.25">
      <c r="A23" s="2"/>
      <c r="B23" s="5" t="s">
        <v>19</v>
      </c>
      <c r="D23" s="37">
        <v>6.5000000000000002E-2</v>
      </c>
      <c r="E23" s="5" t="s">
        <v>11</v>
      </c>
      <c r="N23" s="1"/>
      <c r="O23" s="5" t="s">
        <v>46</v>
      </c>
      <c r="P23" s="35">
        <f>F18</f>
        <v>0</v>
      </c>
      <c r="Q23" s="35"/>
      <c r="R23" s="33"/>
    </row>
    <row r="24" spans="1:22" ht="15.75" x14ac:dyDescent="0.25">
      <c r="A24" s="2"/>
      <c r="B24" s="5" t="s">
        <v>20</v>
      </c>
      <c r="D24" s="5">
        <v>5</v>
      </c>
      <c r="E24" s="5" t="s">
        <v>21</v>
      </c>
      <c r="O24" s="5" t="s">
        <v>38</v>
      </c>
      <c r="P24" s="35">
        <v>0.04</v>
      </c>
      <c r="R24" s="33"/>
    </row>
    <row r="25" spans="1:22" ht="15.75" x14ac:dyDescent="0.25">
      <c r="A25" s="2"/>
      <c r="B25" s="5" t="s">
        <v>22</v>
      </c>
      <c r="D25" s="5" t="s">
        <v>23</v>
      </c>
      <c r="E25" s="5" t="s">
        <v>24</v>
      </c>
      <c r="R25" s="38"/>
      <c r="S25" s="39"/>
      <c r="T25" s="39"/>
      <c r="U25" s="39"/>
      <c r="V25" s="39"/>
    </row>
    <row r="26" spans="1:22" ht="15.75" x14ac:dyDescent="0.25">
      <c r="A26" s="2"/>
      <c r="N26" s="1" t="s">
        <v>47</v>
      </c>
      <c r="O26" s="5" t="s">
        <v>3</v>
      </c>
      <c r="P26" s="5">
        <v>20</v>
      </c>
      <c r="Q26" s="39" t="s">
        <v>36</v>
      </c>
      <c r="R26" s="33"/>
    </row>
    <row r="27" spans="1:22" ht="15.75" x14ac:dyDescent="0.25">
      <c r="A27" s="2" t="s">
        <v>25</v>
      </c>
      <c r="D27" s="5">
        <v>0.11</v>
      </c>
      <c r="N27" s="1" t="s">
        <v>48</v>
      </c>
      <c r="O27" s="5" t="s">
        <v>32</v>
      </c>
      <c r="P27" s="39">
        <v>0.5</v>
      </c>
      <c r="Q27" s="5" t="s">
        <v>39</v>
      </c>
      <c r="R27" s="33"/>
    </row>
    <row r="28" spans="1:22" ht="15.75" x14ac:dyDescent="0.25">
      <c r="A28" s="2"/>
      <c r="R28" s="36"/>
      <c r="S28" s="35"/>
      <c r="T28" s="35"/>
      <c r="U28" s="35"/>
      <c r="V28" s="35"/>
    </row>
    <row r="29" spans="1:22" ht="15.75" x14ac:dyDescent="0.25">
      <c r="A29" s="2" t="s">
        <v>26</v>
      </c>
      <c r="D29" s="37">
        <v>1.4999999999999999E-2</v>
      </c>
      <c r="E29" s="5" t="s">
        <v>16</v>
      </c>
      <c r="N29" s="1" t="s">
        <v>55</v>
      </c>
      <c r="O29" s="5" t="s">
        <v>3</v>
      </c>
      <c r="P29" s="5">
        <f>3000/1000000</f>
        <v>3.0000000000000001E-3</v>
      </c>
      <c r="Q29" s="5" t="s">
        <v>53</v>
      </c>
      <c r="R29" s="33"/>
    </row>
    <row r="30" spans="1:22" ht="15.75" x14ac:dyDescent="0.25">
      <c r="A30" s="2"/>
      <c r="D30" s="37"/>
      <c r="O30" s="5" t="s">
        <v>38</v>
      </c>
      <c r="P30" s="35">
        <v>0.04</v>
      </c>
      <c r="Q30" s="35"/>
      <c r="R30" s="33"/>
    </row>
    <row r="31" spans="1:22" ht="15.75" x14ac:dyDescent="0.25">
      <c r="A31" s="2" t="s">
        <v>83</v>
      </c>
      <c r="D31" s="40">
        <v>338</v>
      </c>
      <c r="E31" s="5" t="s">
        <v>84</v>
      </c>
      <c r="P31" s="35"/>
      <c r="Q31" s="35"/>
      <c r="R31" s="33"/>
    </row>
    <row r="32" spans="1:22" ht="16.5" thickBot="1" x14ac:dyDescent="0.3">
      <c r="A32" s="3" t="s">
        <v>93</v>
      </c>
      <c r="B32" s="41"/>
      <c r="C32" s="41"/>
      <c r="D32" s="41">
        <v>12</v>
      </c>
      <c r="E32" s="41" t="s">
        <v>94</v>
      </c>
      <c r="F32" s="41"/>
      <c r="G32" s="41"/>
      <c r="H32" s="41"/>
      <c r="I32" s="41"/>
      <c r="J32" s="41"/>
      <c r="K32" s="41"/>
      <c r="L32" s="41"/>
      <c r="M32" s="41"/>
      <c r="N32" s="41"/>
      <c r="O32" s="41"/>
      <c r="P32" s="42"/>
      <c r="Q32" s="42"/>
      <c r="R32" s="43"/>
    </row>
    <row r="34" spans="1:13" ht="15.75" x14ac:dyDescent="0.25">
      <c r="A34" s="49" t="s">
        <v>64</v>
      </c>
      <c r="B34" s="50"/>
      <c r="C34" s="50"/>
      <c r="D34" s="50"/>
      <c r="E34" s="50"/>
      <c r="F34" s="50"/>
      <c r="G34" s="50"/>
      <c r="H34" s="50"/>
      <c r="I34" s="50"/>
      <c r="J34" s="50"/>
      <c r="K34" s="50"/>
      <c r="L34" s="51"/>
    </row>
    <row r="35" spans="1:13" ht="15.75" x14ac:dyDescent="0.25">
      <c r="A35" s="52" t="s">
        <v>65</v>
      </c>
      <c r="B35" s="53">
        <v>0</v>
      </c>
      <c r="C35" s="53">
        <f>B35+1</f>
        <v>1</v>
      </c>
      <c r="D35" s="53">
        <f t="shared" ref="D35:L35" si="0">C35+1</f>
        <v>2</v>
      </c>
      <c r="E35" s="53">
        <f t="shared" si="0"/>
        <v>3</v>
      </c>
      <c r="F35" s="53">
        <f t="shared" si="0"/>
        <v>4</v>
      </c>
      <c r="G35" s="53">
        <f t="shared" si="0"/>
        <v>5</v>
      </c>
      <c r="H35" s="53">
        <f t="shared" si="0"/>
        <v>6</v>
      </c>
      <c r="I35" s="53">
        <f t="shared" si="0"/>
        <v>7</v>
      </c>
      <c r="J35" s="53">
        <f t="shared" si="0"/>
        <v>8</v>
      </c>
      <c r="K35" s="53">
        <f t="shared" si="0"/>
        <v>9</v>
      </c>
      <c r="L35" s="54">
        <f t="shared" si="0"/>
        <v>10</v>
      </c>
    </row>
    <row r="36" spans="1:13" x14ac:dyDescent="0.2">
      <c r="A36" s="55" t="s">
        <v>64</v>
      </c>
      <c r="B36" s="56">
        <v>1</v>
      </c>
      <c r="C36" s="57">
        <f t="shared" ref="C36:L36" si="1">B36*(1+$D$16)</f>
        <v>1.04</v>
      </c>
      <c r="D36" s="57">
        <f t="shared" si="1"/>
        <v>1.0816000000000001</v>
      </c>
      <c r="E36" s="57">
        <f t="shared" si="1"/>
        <v>1.1248640000000001</v>
      </c>
      <c r="F36" s="57">
        <f t="shared" si="1"/>
        <v>1.1698585600000002</v>
      </c>
      <c r="G36" s="57">
        <f t="shared" si="1"/>
        <v>1.2166529024000003</v>
      </c>
      <c r="H36" s="57">
        <f t="shared" si="1"/>
        <v>1.2653190184960004</v>
      </c>
      <c r="I36" s="57">
        <f t="shared" si="1"/>
        <v>1.3159317792358405</v>
      </c>
      <c r="J36" s="57">
        <f t="shared" si="1"/>
        <v>1.3685690504052741</v>
      </c>
      <c r="K36" s="57">
        <f t="shared" si="1"/>
        <v>1.4233118124214852</v>
      </c>
      <c r="L36" s="58">
        <f t="shared" si="1"/>
        <v>1.4802442849183446</v>
      </c>
    </row>
    <row r="39" spans="1:13" ht="15.75" x14ac:dyDescent="0.25">
      <c r="A39" s="59" t="s">
        <v>223</v>
      </c>
      <c r="B39" s="60"/>
      <c r="C39" s="60"/>
      <c r="D39" s="60"/>
      <c r="E39" s="60"/>
      <c r="F39" s="60"/>
      <c r="G39" s="60"/>
      <c r="H39" s="60"/>
      <c r="I39" s="60"/>
      <c r="J39" s="60"/>
      <c r="K39" s="60"/>
      <c r="L39" s="60"/>
      <c r="M39" s="61"/>
    </row>
    <row r="40" spans="1:13" ht="15.75" x14ac:dyDescent="0.25">
      <c r="A40" s="52" t="s">
        <v>56</v>
      </c>
      <c r="B40" s="62"/>
      <c r="C40" s="62"/>
      <c r="D40" s="62"/>
      <c r="E40" s="62"/>
      <c r="F40" s="62"/>
      <c r="G40" s="62"/>
      <c r="H40" s="62"/>
      <c r="I40" s="62"/>
      <c r="J40" s="62"/>
      <c r="K40" s="62"/>
      <c r="L40" s="62"/>
      <c r="M40" s="63"/>
    </row>
    <row r="41" spans="1:13" ht="15.75" x14ac:dyDescent="0.25">
      <c r="A41" s="52" t="s">
        <v>65</v>
      </c>
      <c r="B41" s="53">
        <v>0</v>
      </c>
      <c r="C41" s="53">
        <f>B41+1</f>
        <v>1</v>
      </c>
      <c r="D41" s="53">
        <f t="shared" ref="D41:L41" si="2">C41+1</f>
        <v>2</v>
      </c>
      <c r="E41" s="53">
        <f t="shared" si="2"/>
        <v>3</v>
      </c>
      <c r="F41" s="53">
        <f t="shared" si="2"/>
        <v>4</v>
      </c>
      <c r="G41" s="53">
        <f t="shared" si="2"/>
        <v>5</v>
      </c>
      <c r="H41" s="53">
        <f t="shared" si="2"/>
        <v>6</v>
      </c>
      <c r="I41" s="53">
        <f t="shared" si="2"/>
        <v>7</v>
      </c>
      <c r="J41" s="53">
        <f t="shared" si="2"/>
        <v>8</v>
      </c>
      <c r="K41" s="53">
        <f t="shared" si="2"/>
        <v>9</v>
      </c>
      <c r="L41" s="53">
        <f t="shared" si="2"/>
        <v>10</v>
      </c>
      <c r="M41" s="63"/>
    </row>
    <row r="42" spans="1:13" x14ac:dyDescent="0.2">
      <c r="A42" s="64" t="s">
        <v>66</v>
      </c>
      <c r="B42" s="62"/>
      <c r="C42" s="62">
        <f>B45</f>
        <v>120</v>
      </c>
      <c r="D42" s="62">
        <f t="shared" ref="D42:L42" si="3">C45</f>
        <v>108</v>
      </c>
      <c r="E42" s="62">
        <f t="shared" si="3"/>
        <v>96</v>
      </c>
      <c r="F42" s="62">
        <f t="shared" si="3"/>
        <v>84</v>
      </c>
      <c r="G42" s="62">
        <f t="shared" si="3"/>
        <v>72</v>
      </c>
      <c r="H42" s="62">
        <f t="shared" si="3"/>
        <v>60</v>
      </c>
      <c r="I42" s="62">
        <f t="shared" si="3"/>
        <v>48</v>
      </c>
      <c r="J42" s="62">
        <f t="shared" si="3"/>
        <v>36</v>
      </c>
      <c r="K42" s="62">
        <f t="shared" si="3"/>
        <v>24</v>
      </c>
      <c r="L42" s="65">
        <f t="shared" si="3"/>
        <v>12</v>
      </c>
      <c r="M42" s="63" t="s">
        <v>70</v>
      </c>
    </row>
    <row r="43" spans="1:13" x14ac:dyDescent="0.2">
      <c r="A43" s="64" t="s">
        <v>67</v>
      </c>
      <c r="B43" s="62"/>
      <c r="C43" s="62">
        <f>$B$45/$K$12</f>
        <v>12</v>
      </c>
      <c r="D43" s="62">
        <f t="shared" ref="D43:K43" si="4">$B$45/$K$12</f>
        <v>12</v>
      </c>
      <c r="E43" s="62">
        <f t="shared" si="4"/>
        <v>12</v>
      </c>
      <c r="F43" s="62">
        <f t="shared" si="4"/>
        <v>12</v>
      </c>
      <c r="G43" s="62">
        <f t="shared" si="4"/>
        <v>12</v>
      </c>
      <c r="H43" s="62">
        <f t="shared" si="4"/>
        <v>12</v>
      </c>
      <c r="I43" s="62">
        <f t="shared" si="4"/>
        <v>12</v>
      </c>
      <c r="J43" s="62">
        <f t="shared" si="4"/>
        <v>12</v>
      </c>
      <c r="K43" s="62">
        <f t="shared" si="4"/>
        <v>12</v>
      </c>
      <c r="L43" s="62"/>
      <c r="M43" s="63"/>
    </row>
    <row r="44" spans="1:13" x14ac:dyDescent="0.2">
      <c r="A44" s="64" t="s">
        <v>68</v>
      </c>
      <c r="B44" s="62"/>
      <c r="C44" s="62">
        <f>B44+C43</f>
        <v>12</v>
      </c>
      <c r="D44" s="62">
        <f t="shared" ref="D44:K44" si="5">C44+D43</f>
        <v>24</v>
      </c>
      <c r="E44" s="62">
        <f t="shared" si="5"/>
        <v>36</v>
      </c>
      <c r="F44" s="62">
        <f t="shared" si="5"/>
        <v>48</v>
      </c>
      <c r="G44" s="62">
        <f t="shared" si="5"/>
        <v>60</v>
      </c>
      <c r="H44" s="62">
        <f t="shared" si="5"/>
        <v>72</v>
      </c>
      <c r="I44" s="62">
        <f t="shared" si="5"/>
        <v>84</v>
      </c>
      <c r="J44" s="62">
        <f t="shared" si="5"/>
        <v>96</v>
      </c>
      <c r="K44" s="62">
        <f t="shared" si="5"/>
        <v>108</v>
      </c>
      <c r="L44" s="62"/>
      <c r="M44" s="63"/>
    </row>
    <row r="45" spans="1:13" x14ac:dyDescent="0.2">
      <c r="A45" s="55" t="s">
        <v>69</v>
      </c>
      <c r="B45" s="56">
        <v>120</v>
      </c>
      <c r="C45" s="56">
        <f>C42-C43</f>
        <v>108</v>
      </c>
      <c r="D45" s="56">
        <f t="shared" ref="D45:K45" si="6">D42-D43</f>
        <v>96</v>
      </c>
      <c r="E45" s="56">
        <f t="shared" si="6"/>
        <v>84</v>
      </c>
      <c r="F45" s="56">
        <f t="shared" si="6"/>
        <v>72</v>
      </c>
      <c r="G45" s="56">
        <f t="shared" si="6"/>
        <v>60</v>
      </c>
      <c r="H45" s="56">
        <f t="shared" si="6"/>
        <v>48</v>
      </c>
      <c r="I45" s="56">
        <f t="shared" si="6"/>
        <v>36</v>
      </c>
      <c r="J45" s="56">
        <f t="shared" si="6"/>
        <v>24</v>
      </c>
      <c r="K45" s="56">
        <f t="shared" si="6"/>
        <v>12</v>
      </c>
      <c r="L45" s="56"/>
      <c r="M45" s="66"/>
    </row>
    <row r="48" spans="1:13" ht="15.75" x14ac:dyDescent="0.25">
      <c r="A48" s="67" t="s">
        <v>224</v>
      </c>
      <c r="B48" s="68"/>
      <c r="C48" s="68"/>
      <c r="D48" s="68"/>
      <c r="E48" s="68"/>
      <c r="F48" s="68"/>
      <c r="G48" s="69"/>
    </row>
    <row r="49" spans="1:12" ht="15.75" x14ac:dyDescent="0.25">
      <c r="A49" s="52" t="s">
        <v>65</v>
      </c>
      <c r="B49" s="53">
        <v>0</v>
      </c>
      <c r="C49" s="53">
        <f>B49+1</f>
        <v>1</v>
      </c>
      <c r="D49" s="53">
        <f>C49+1</f>
        <v>2</v>
      </c>
      <c r="E49" s="53">
        <f>D49+1</f>
        <v>3</v>
      </c>
      <c r="F49" s="53">
        <f>E49+1</f>
        <v>4</v>
      </c>
      <c r="G49" s="54">
        <f>F49+1</f>
        <v>5</v>
      </c>
    </row>
    <row r="50" spans="1:12" ht="15.75" x14ac:dyDescent="0.25">
      <c r="A50" s="64" t="s">
        <v>71</v>
      </c>
      <c r="B50" s="62"/>
      <c r="C50" s="70">
        <f>B55</f>
        <v>84</v>
      </c>
      <c r="D50" s="70">
        <f t="shared" ref="D50:G50" si="7">C55</f>
        <v>69.24669884181111</v>
      </c>
      <c r="E50" s="70">
        <f t="shared" si="7"/>
        <v>53.534433108339954</v>
      </c>
      <c r="F50" s="70">
        <f t="shared" si="7"/>
        <v>36.800870102193166</v>
      </c>
      <c r="G50" s="71">
        <f t="shared" si="7"/>
        <v>18.97962550064684</v>
      </c>
      <c r="H50" s="1"/>
      <c r="I50" s="1"/>
      <c r="J50" s="1"/>
      <c r="K50" s="1"/>
      <c r="L50" s="1"/>
    </row>
    <row r="51" spans="1:12" x14ac:dyDescent="0.2">
      <c r="A51" s="64" t="s">
        <v>72</v>
      </c>
      <c r="B51" s="62"/>
      <c r="C51" s="70">
        <f>C50*$D$23</f>
        <v>5.46</v>
      </c>
      <c r="D51" s="70">
        <f>D50*$D$23</f>
        <v>4.5010354247177222</v>
      </c>
      <c r="E51" s="70">
        <f>E50*$D$23</f>
        <v>3.4797381520420969</v>
      </c>
      <c r="F51" s="70">
        <f>F50*$D$23</f>
        <v>2.3920565566425558</v>
      </c>
      <c r="G51" s="71">
        <f>G50*$D$23</f>
        <v>1.2336756575420447</v>
      </c>
    </row>
    <row r="52" spans="1:12" x14ac:dyDescent="0.2">
      <c r="A52" s="64" t="s">
        <v>73</v>
      </c>
      <c r="B52" s="62"/>
      <c r="C52" s="70">
        <f>-PMT($D$23,$D$24,$C$50)</f>
        <v>20.213301158188884</v>
      </c>
      <c r="D52" s="70">
        <f>-PMT($D$23,$D$24,$C$50)</f>
        <v>20.213301158188884</v>
      </c>
      <c r="E52" s="70">
        <f>-PMT($D$23,$D$24,$C$50)</f>
        <v>20.213301158188884</v>
      </c>
      <c r="F52" s="70">
        <f>-PMT($D$23,$D$24,$C$50)</f>
        <v>20.213301158188884</v>
      </c>
      <c r="G52" s="71">
        <f>-PMT($D$23,$D$24,$C$50)</f>
        <v>20.213301158188884</v>
      </c>
    </row>
    <row r="53" spans="1:12" x14ac:dyDescent="0.2">
      <c r="A53" s="64" t="s">
        <v>27</v>
      </c>
      <c r="B53" s="62"/>
      <c r="C53" s="70">
        <f>C52-C54</f>
        <v>14.753301158188883</v>
      </c>
      <c r="D53" s="70">
        <f t="shared" ref="D53:G53" si="8">D52-D54</f>
        <v>15.712265733471162</v>
      </c>
      <c r="E53" s="70">
        <f t="shared" si="8"/>
        <v>16.733563006146788</v>
      </c>
      <c r="F53" s="70">
        <f t="shared" si="8"/>
        <v>17.821244601546329</v>
      </c>
      <c r="G53" s="71">
        <f t="shared" si="8"/>
        <v>18.97962550064684</v>
      </c>
    </row>
    <row r="54" spans="1:12" x14ac:dyDescent="0.2">
      <c r="A54" s="64" t="s">
        <v>74</v>
      </c>
      <c r="B54" s="62"/>
      <c r="C54" s="70">
        <f>C51</f>
        <v>5.46</v>
      </c>
      <c r="D54" s="70">
        <f t="shared" ref="D54:G54" si="9">D51</f>
        <v>4.5010354247177222</v>
      </c>
      <c r="E54" s="70">
        <f t="shared" si="9"/>
        <v>3.4797381520420969</v>
      </c>
      <c r="F54" s="70">
        <f t="shared" si="9"/>
        <v>2.3920565566425558</v>
      </c>
      <c r="G54" s="71">
        <f t="shared" si="9"/>
        <v>1.2336756575420447</v>
      </c>
    </row>
    <row r="55" spans="1:12" x14ac:dyDescent="0.2">
      <c r="A55" s="55" t="s">
        <v>75</v>
      </c>
      <c r="B55" s="56">
        <f>$D$22*K11</f>
        <v>84</v>
      </c>
      <c r="C55" s="57">
        <f>C50+C51-C52</f>
        <v>69.24669884181111</v>
      </c>
      <c r="D55" s="57">
        <f t="shared" ref="D55:G55" si="10">D50+D51-D52</f>
        <v>53.534433108339954</v>
      </c>
      <c r="E55" s="57">
        <f t="shared" si="10"/>
        <v>36.800870102193166</v>
      </c>
      <c r="F55" s="57">
        <f t="shared" si="10"/>
        <v>18.97962550064684</v>
      </c>
      <c r="G55" s="72">
        <f t="shared" si="10"/>
        <v>0</v>
      </c>
    </row>
    <row r="57" spans="1:12" ht="15.75" x14ac:dyDescent="0.25">
      <c r="A57" s="73" t="s">
        <v>225</v>
      </c>
      <c r="B57" s="74"/>
      <c r="C57" s="74"/>
      <c r="D57" s="74"/>
      <c r="E57" s="74"/>
      <c r="F57" s="74"/>
      <c r="G57" s="74"/>
      <c r="H57" s="74"/>
      <c r="I57" s="74"/>
      <c r="J57" s="74"/>
      <c r="K57" s="74"/>
      <c r="L57" s="75"/>
    </row>
    <row r="58" spans="1:12" ht="15.75" x14ac:dyDescent="0.25">
      <c r="A58" s="76" t="s">
        <v>226</v>
      </c>
      <c r="B58" s="77"/>
      <c r="C58" s="77"/>
      <c r="D58" s="77"/>
      <c r="E58" s="77"/>
      <c r="F58" s="77"/>
      <c r="G58" s="77"/>
      <c r="H58" s="77"/>
      <c r="I58" s="77"/>
      <c r="J58" s="77"/>
      <c r="K58" s="77"/>
      <c r="L58" s="78"/>
    </row>
    <row r="59" spans="1:12" ht="15.75" x14ac:dyDescent="0.25">
      <c r="A59" s="52" t="s">
        <v>65</v>
      </c>
      <c r="B59" s="53">
        <v>0</v>
      </c>
      <c r="C59" s="53">
        <f>B59+1</f>
        <v>1</v>
      </c>
      <c r="D59" s="53">
        <f t="shared" ref="D59:L59" si="11">C59+1</f>
        <v>2</v>
      </c>
      <c r="E59" s="53">
        <f t="shared" si="11"/>
        <v>3</v>
      </c>
      <c r="F59" s="53">
        <f t="shared" si="11"/>
        <v>4</v>
      </c>
      <c r="G59" s="53">
        <f t="shared" si="11"/>
        <v>5</v>
      </c>
      <c r="H59" s="53">
        <f t="shared" si="11"/>
        <v>6</v>
      </c>
      <c r="I59" s="53">
        <f t="shared" si="11"/>
        <v>7</v>
      </c>
      <c r="J59" s="53">
        <f t="shared" si="11"/>
        <v>8</v>
      </c>
      <c r="K59" s="53">
        <f t="shared" si="11"/>
        <v>9</v>
      </c>
      <c r="L59" s="54">
        <f t="shared" si="11"/>
        <v>10</v>
      </c>
    </row>
    <row r="60" spans="1:12" x14ac:dyDescent="0.2">
      <c r="A60" s="64" t="s">
        <v>77</v>
      </c>
      <c r="B60" s="70">
        <v>1</v>
      </c>
      <c r="C60" s="70">
        <f>B60*(1+$D$7)</f>
        <v>1.06</v>
      </c>
      <c r="D60" s="70">
        <f t="shared" ref="D60:K60" si="12">C60*(1+$D$7)</f>
        <v>1.1236000000000002</v>
      </c>
      <c r="E60" s="70">
        <f t="shared" si="12"/>
        <v>1.1910160000000003</v>
      </c>
      <c r="F60" s="70">
        <f t="shared" si="12"/>
        <v>1.2624769600000003</v>
      </c>
      <c r="G60" s="70">
        <f t="shared" si="12"/>
        <v>1.3382255776000005</v>
      </c>
      <c r="H60" s="70">
        <f t="shared" si="12"/>
        <v>1.4185191122560006</v>
      </c>
      <c r="I60" s="70">
        <f t="shared" si="12"/>
        <v>1.5036302589913606</v>
      </c>
      <c r="J60" s="70">
        <f t="shared" si="12"/>
        <v>1.5938480745308423</v>
      </c>
      <c r="K60" s="70">
        <f t="shared" si="12"/>
        <v>1.6894789590026928</v>
      </c>
      <c r="L60" s="63"/>
    </row>
    <row r="61" spans="1:12" x14ac:dyDescent="0.2">
      <c r="A61" s="64" t="s">
        <v>79</v>
      </c>
      <c r="B61" s="70">
        <f t="shared" ref="B61:K61" si="13">$D$5*B60*B36</f>
        <v>0.06</v>
      </c>
      <c r="C61" s="70">
        <f t="shared" si="13"/>
        <v>6.6144000000000008E-2</v>
      </c>
      <c r="D61" s="70">
        <f t="shared" si="13"/>
        <v>7.2917145600000011E-2</v>
      </c>
      <c r="E61" s="70">
        <f t="shared" si="13"/>
        <v>8.038386130944003E-2</v>
      </c>
      <c r="F61" s="70">
        <f t="shared" si="13"/>
        <v>8.8615168707526684E-2</v>
      </c>
      <c r="G61" s="70">
        <f t="shared" si="13"/>
        <v>9.7689361983177458E-2</v>
      </c>
      <c r="H61" s="70">
        <f t="shared" si="13"/>
        <v>0.10769275265025482</v>
      </c>
      <c r="I61" s="70">
        <f t="shared" si="13"/>
        <v>0.11872049052164092</v>
      </c>
      <c r="J61" s="70">
        <f t="shared" si="13"/>
        <v>0.13087746875105696</v>
      </c>
      <c r="K61" s="70">
        <f t="shared" si="13"/>
        <v>0.14427932155116521</v>
      </c>
      <c r="L61" s="63"/>
    </row>
    <row r="62" spans="1:12" x14ac:dyDescent="0.2">
      <c r="A62" s="64" t="s">
        <v>78</v>
      </c>
      <c r="B62" s="70">
        <f t="shared" ref="B62:K62" si="14">$D$6*B60*B36</f>
        <v>7.0000000000000007E-2</v>
      </c>
      <c r="C62" s="70">
        <f t="shared" si="14"/>
        <v>7.7168000000000014E-2</v>
      </c>
      <c r="D62" s="70">
        <f t="shared" si="14"/>
        <v>8.5070003200000022E-2</v>
      </c>
      <c r="E62" s="70">
        <f t="shared" si="14"/>
        <v>9.3781171527680049E-2</v>
      </c>
      <c r="F62" s="70">
        <f t="shared" si="14"/>
        <v>0.10338436349211448</v>
      </c>
      <c r="G62" s="70">
        <f t="shared" si="14"/>
        <v>0.11397092231370703</v>
      </c>
      <c r="H62" s="70">
        <f t="shared" si="14"/>
        <v>0.12564154475863065</v>
      </c>
      <c r="I62" s="70">
        <f t="shared" si="14"/>
        <v>0.13850723894191444</v>
      </c>
      <c r="J62" s="70">
        <f t="shared" si="14"/>
        <v>0.15269038020956649</v>
      </c>
      <c r="K62" s="70">
        <f t="shared" si="14"/>
        <v>0.16832587514302608</v>
      </c>
      <c r="L62" s="63"/>
    </row>
    <row r="63" spans="1:12" x14ac:dyDescent="0.2">
      <c r="A63" s="64"/>
      <c r="B63" s="62"/>
      <c r="C63" s="62"/>
      <c r="D63" s="62"/>
      <c r="E63" s="62"/>
      <c r="F63" s="62"/>
      <c r="G63" s="62"/>
      <c r="H63" s="62"/>
      <c r="I63" s="62"/>
      <c r="J63" s="62"/>
      <c r="K63" s="62"/>
      <c r="L63" s="63"/>
    </row>
    <row r="64" spans="1:12" ht="15.75" x14ac:dyDescent="0.25">
      <c r="A64" s="76" t="s">
        <v>227</v>
      </c>
      <c r="B64" s="77"/>
      <c r="C64" s="77"/>
      <c r="D64" s="77"/>
      <c r="E64" s="77"/>
      <c r="F64" s="77"/>
      <c r="G64" s="77"/>
      <c r="H64" s="77"/>
      <c r="I64" s="77"/>
      <c r="J64" s="77"/>
      <c r="K64" s="77"/>
      <c r="L64" s="78"/>
    </row>
    <row r="65" spans="1:12" ht="15.75" x14ac:dyDescent="0.25">
      <c r="A65" s="52" t="s">
        <v>65</v>
      </c>
      <c r="B65" s="53">
        <v>0</v>
      </c>
      <c r="C65" s="53">
        <f>B65+1</f>
        <v>1</v>
      </c>
      <c r="D65" s="53">
        <f t="shared" ref="D65:L65" si="15">C65+1</f>
        <v>2</v>
      </c>
      <c r="E65" s="53">
        <f t="shared" si="15"/>
        <v>3</v>
      </c>
      <c r="F65" s="53">
        <f t="shared" si="15"/>
        <v>4</v>
      </c>
      <c r="G65" s="53">
        <f t="shared" si="15"/>
        <v>5</v>
      </c>
      <c r="H65" s="53">
        <f t="shared" si="15"/>
        <v>6</v>
      </c>
      <c r="I65" s="53">
        <f t="shared" si="15"/>
        <v>7</v>
      </c>
      <c r="J65" s="53">
        <f t="shared" si="15"/>
        <v>8</v>
      </c>
      <c r="K65" s="53">
        <f t="shared" si="15"/>
        <v>9</v>
      </c>
      <c r="L65" s="54">
        <f t="shared" si="15"/>
        <v>10</v>
      </c>
    </row>
    <row r="66" spans="1:12" x14ac:dyDescent="0.2">
      <c r="A66" s="64" t="s">
        <v>82</v>
      </c>
      <c r="B66" s="62"/>
      <c r="C66" s="62">
        <f>$D$8*$D$10*$D$31</f>
        <v>18928</v>
      </c>
      <c r="D66" s="62">
        <f t="shared" ref="D66:E66" si="16">$D$8*$D$10*$D$31</f>
        <v>18928</v>
      </c>
      <c r="E66" s="62">
        <f t="shared" si="16"/>
        <v>18928</v>
      </c>
      <c r="F66" s="62">
        <f>$D$8*$D$11*$D$31</f>
        <v>22984</v>
      </c>
      <c r="G66" s="62">
        <f t="shared" ref="G66:H66" si="17">$D$8*$D$11*$D$31</f>
        <v>22984</v>
      </c>
      <c r="H66" s="62">
        <f t="shared" si="17"/>
        <v>22984</v>
      </c>
      <c r="I66" s="62">
        <f>$D$8*$D$12*$D$31</f>
        <v>25688</v>
      </c>
      <c r="J66" s="62">
        <f t="shared" ref="J66:K66" si="18">$D$8*$D$12*$D$31</f>
        <v>25688</v>
      </c>
      <c r="K66" s="62">
        <f t="shared" si="18"/>
        <v>25688</v>
      </c>
      <c r="L66" s="63"/>
    </row>
    <row r="67" spans="1:12" x14ac:dyDescent="0.2">
      <c r="A67" s="64" t="s">
        <v>81</v>
      </c>
      <c r="B67" s="62"/>
      <c r="C67" s="62">
        <f>$D$9*$D$10*$D$31</f>
        <v>4732</v>
      </c>
      <c r="D67" s="62">
        <f t="shared" ref="D67:E67" si="19">$D$9*$D$10*$D$31</f>
        <v>4732</v>
      </c>
      <c r="E67" s="62">
        <f t="shared" si="19"/>
        <v>4732</v>
      </c>
      <c r="F67" s="62">
        <f>$D$9*$D$11*$D$31</f>
        <v>5746</v>
      </c>
      <c r="G67" s="62">
        <f t="shared" ref="G67:H67" si="20">$D$9*$D$11*$D$31</f>
        <v>5746</v>
      </c>
      <c r="H67" s="62">
        <f t="shared" si="20"/>
        <v>5746</v>
      </c>
      <c r="I67" s="62">
        <f>$D$9*$D$12*$D$31</f>
        <v>6422</v>
      </c>
      <c r="J67" s="62">
        <f t="shared" ref="J67:K67" si="21">$D$9*$D$12*$D$31</f>
        <v>6422</v>
      </c>
      <c r="K67" s="62">
        <f t="shared" si="21"/>
        <v>6422</v>
      </c>
      <c r="L67" s="63"/>
    </row>
    <row r="68" spans="1:12" x14ac:dyDescent="0.2">
      <c r="A68" s="64"/>
      <c r="B68" s="62"/>
      <c r="C68" s="62"/>
      <c r="D68" s="62"/>
      <c r="E68" s="62"/>
      <c r="F68" s="62"/>
      <c r="G68" s="62"/>
      <c r="H68" s="62"/>
      <c r="I68" s="62"/>
      <c r="J68" s="62"/>
      <c r="K68" s="62"/>
      <c r="L68" s="63"/>
    </row>
    <row r="69" spans="1:12" ht="15.75" x14ac:dyDescent="0.25">
      <c r="A69" s="79" t="s">
        <v>80</v>
      </c>
      <c r="B69" s="80"/>
      <c r="C69" s="81">
        <f>C61*C66+C62*C67</f>
        <v>1617.1326080000003</v>
      </c>
      <c r="D69" s="81">
        <f t="shared" ref="D69:K69" si="22">D61*D66+D62*D67</f>
        <v>1782.7269870592004</v>
      </c>
      <c r="E69" s="81">
        <f t="shared" si="22"/>
        <v>1965.2782305340629</v>
      </c>
      <c r="F69" s="81">
        <f t="shared" si="22"/>
        <v>2630.7775901994833</v>
      </c>
      <c r="G69" s="81">
        <f t="shared" si="22"/>
        <v>2900.1692154359116</v>
      </c>
      <c r="H69" s="81">
        <f t="shared" si="22"/>
        <v>3197.1465430965491</v>
      </c>
      <c r="I69" s="81">
        <f t="shared" si="22"/>
        <v>3939.1854490048863</v>
      </c>
      <c r="J69" s="81">
        <f t="shared" si="22"/>
        <v>4342.5580389829875</v>
      </c>
      <c r="K69" s="81">
        <f t="shared" si="22"/>
        <v>4787.235982174845</v>
      </c>
      <c r="L69" s="82"/>
    </row>
    <row r="72" spans="1:12" ht="15.75" x14ac:dyDescent="0.25">
      <c r="A72" s="83" t="s">
        <v>203</v>
      </c>
      <c r="B72" s="84"/>
      <c r="C72" s="84"/>
      <c r="D72" s="84"/>
      <c r="E72" s="84"/>
      <c r="F72" s="84"/>
      <c r="G72" s="84"/>
      <c r="H72" s="84"/>
      <c r="I72" s="84"/>
      <c r="J72" s="84"/>
      <c r="K72" s="84"/>
      <c r="L72" s="85"/>
    </row>
    <row r="73" spans="1:12" ht="15.75" x14ac:dyDescent="0.25">
      <c r="A73" s="52" t="s">
        <v>65</v>
      </c>
      <c r="B73" s="53">
        <v>0</v>
      </c>
      <c r="C73" s="53">
        <f>B73+1</f>
        <v>1</v>
      </c>
      <c r="D73" s="53">
        <f t="shared" ref="D73:L73" si="23">C73+1</f>
        <v>2</v>
      </c>
      <c r="E73" s="53">
        <f t="shared" si="23"/>
        <v>3</v>
      </c>
      <c r="F73" s="53">
        <f t="shared" si="23"/>
        <v>4</v>
      </c>
      <c r="G73" s="53">
        <f t="shared" si="23"/>
        <v>5</v>
      </c>
      <c r="H73" s="53">
        <f t="shared" si="23"/>
        <v>6</v>
      </c>
      <c r="I73" s="53">
        <f t="shared" si="23"/>
        <v>7</v>
      </c>
      <c r="J73" s="53">
        <f t="shared" si="23"/>
        <v>8</v>
      </c>
      <c r="K73" s="53">
        <f t="shared" si="23"/>
        <v>9</v>
      </c>
      <c r="L73" s="54">
        <f t="shared" si="23"/>
        <v>10</v>
      </c>
    </row>
    <row r="74" spans="1:12" x14ac:dyDescent="0.2">
      <c r="A74" s="64" t="s">
        <v>85</v>
      </c>
      <c r="B74" s="62">
        <f>$P$5*B36*B66</f>
        <v>0</v>
      </c>
      <c r="C74" s="70">
        <f>$P$5*C36</f>
        <v>3.1199999999999999E-2</v>
      </c>
      <c r="D74" s="70">
        <f t="shared" ref="D74:J74" si="24">$P$5*D36</f>
        <v>3.2448000000000005E-2</v>
      </c>
      <c r="E74" s="70">
        <f t="shared" si="24"/>
        <v>3.3745919999999999E-2</v>
      </c>
      <c r="F74" s="70">
        <f t="shared" si="24"/>
        <v>3.5095756800000003E-2</v>
      </c>
      <c r="G74" s="70">
        <f t="shared" si="24"/>
        <v>3.649958707200001E-2</v>
      </c>
      <c r="H74" s="70">
        <f t="shared" si="24"/>
        <v>3.7959570554880008E-2</v>
      </c>
      <c r="I74" s="70">
        <f t="shared" si="24"/>
        <v>3.9477953377075214E-2</v>
      </c>
      <c r="J74" s="70">
        <f t="shared" si="24"/>
        <v>4.1057071512158219E-2</v>
      </c>
      <c r="K74" s="70">
        <f>$P$5*K36</f>
        <v>4.2699354372644556E-2</v>
      </c>
      <c r="L74" s="63"/>
    </row>
    <row r="75" spans="1:12" x14ac:dyDescent="0.2">
      <c r="A75" s="64" t="s">
        <v>86</v>
      </c>
      <c r="B75" s="62">
        <f>$P$6*B67*B36</f>
        <v>0</v>
      </c>
      <c r="C75" s="70">
        <f>$P$6*C36</f>
        <v>3.6400000000000002E-2</v>
      </c>
      <c r="D75" s="70">
        <f t="shared" ref="D75:K75" si="25">$P$6*D36</f>
        <v>3.7856000000000008E-2</v>
      </c>
      <c r="E75" s="70">
        <f t="shared" si="25"/>
        <v>3.9370240000000008E-2</v>
      </c>
      <c r="F75" s="70">
        <f t="shared" si="25"/>
        <v>4.0945049600000012E-2</v>
      </c>
      <c r="G75" s="70">
        <f t="shared" si="25"/>
        <v>4.2582851584000013E-2</v>
      </c>
      <c r="H75" s="70">
        <f t="shared" si="25"/>
        <v>4.4286165647360015E-2</v>
      </c>
      <c r="I75" s="70">
        <f t="shared" si="25"/>
        <v>4.6057612273254424E-2</v>
      </c>
      <c r="J75" s="70">
        <f t="shared" si="25"/>
        <v>4.7899916764184598E-2</v>
      </c>
      <c r="K75" s="70">
        <f t="shared" si="25"/>
        <v>4.9815913434751988E-2</v>
      </c>
      <c r="L75" s="63"/>
    </row>
    <row r="76" spans="1:12" ht="15.75" x14ac:dyDescent="0.25">
      <c r="A76" s="86" t="s">
        <v>87</v>
      </c>
      <c r="B76" s="87"/>
      <c r="C76" s="88">
        <f>C74*C66+C67*C75</f>
        <v>762.7983999999999</v>
      </c>
      <c r="D76" s="88">
        <f t="shared" ref="D76:J76" si="26">D74*D66+D67*D75</f>
        <v>793.31033600000012</v>
      </c>
      <c r="E76" s="88">
        <f t="shared" si="26"/>
        <v>825.04274944000008</v>
      </c>
      <c r="F76" s="88">
        <f t="shared" si="26"/>
        <v>1041.9111292928001</v>
      </c>
      <c r="G76" s="88">
        <f t="shared" si="26"/>
        <v>1083.5875744645123</v>
      </c>
      <c r="H76" s="88">
        <f t="shared" si="26"/>
        <v>1126.9310774430928</v>
      </c>
      <c r="I76" s="88">
        <f t="shared" si="26"/>
        <v>1309.891652369148</v>
      </c>
      <c r="J76" s="88">
        <f t="shared" si="26"/>
        <v>1362.2873184639138</v>
      </c>
      <c r="K76" s="88">
        <f>K74*K66+K67*K75</f>
        <v>1416.7788112024707</v>
      </c>
      <c r="L76" s="89"/>
    </row>
    <row r="77" spans="1:12" x14ac:dyDescent="0.2">
      <c r="A77" s="64"/>
      <c r="B77" s="62"/>
      <c r="C77" s="62"/>
      <c r="D77" s="62"/>
      <c r="E77" s="62"/>
      <c r="F77" s="62"/>
      <c r="G77" s="62"/>
      <c r="H77" s="62"/>
      <c r="I77" s="62"/>
      <c r="J77" s="62"/>
      <c r="K77" s="62"/>
      <c r="L77" s="63"/>
    </row>
    <row r="78" spans="1:12" ht="15.75" x14ac:dyDescent="0.25">
      <c r="A78" s="90" t="s">
        <v>204</v>
      </c>
      <c r="B78" s="91"/>
      <c r="C78" s="91"/>
      <c r="D78" s="91"/>
      <c r="E78" s="91"/>
      <c r="F78" s="91"/>
      <c r="G78" s="91"/>
      <c r="H78" s="91"/>
      <c r="I78" s="91"/>
      <c r="J78" s="91"/>
      <c r="K78" s="91"/>
      <c r="L78" s="92"/>
    </row>
    <row r="79" spans="1:12" ht="15.75" x14ac:dyDescent="0.25">
      <c r="A79" s="52" t="s">
        <v>65</v>
      </c>
      <c r="B79" s="53">
        <v>0</v>
      </c>
      <c r="C79" s="53">
        <f>B79+1</f>
        <v>1</v>
      </c>
      <c r="D79" s="53">
        <f t="shared" ref="D79:L79" si="27">C79+1</f>
        <v>2</v>
      </c>
      <c r="E79" s="53">
        <f t="shared" si="27"/>
        <v>3</v>
      </c>
      <c r="F79" s="53">
        <f t="shared" si="27"/>
        <v>4</v>
      </c>
      <c r="G79" s="53">
        <f t="shared" si="27"/>
        <v>5</v>
      </c>
      <c r="H79" s="53">
        <f t="shared" si="27"/>
        <v>6</v>
      </c>
      <c r="I79" s="53">
        <f t="shared" si="27"/>
        <v>7</v>
      </c>
      <c r="J79" s="53">
        <f t="shared" si="27"/>
        <v>8</v>
      </c>
      <c r="K79" s="53">
        <f t="shared" si="27"/>
        <v>9</v>
      </c>
      <c r="L79" s="54">
        <f t="shared" si="27"/>
        <v>10</v>
      </c>
    </row>
    <row r="80" spans="1:12" x14ac:dyDescent="0.2">
      <c r="A80" s="64" t="s">
        <v>55</v>
      </c>
      <c r="B80" s="62"/>
      <c r="C80" s="93">
        <f>$P$29*C36</f>
        <v>3.1200000000000004E-3</v>
      </c>
      <c r="D80" s="93">
        <f t="shared" ref="D80:K80" si="28">$P$29*D36</f>
        <v>3.2448000000000004E-3</v>
      </c>
      <c r="E80" s="93">
        <f t="shared" si="28"/>
        <v>3.3745920000000005E-3</v>
      </c>
      <c r="F80" s="93">
        <f t="shared" si="28"/>
        <v>3.5095756800000008E-3</v>
      </c>
      <c r="G80" s="93">
        <f t="shared" si="28"/>
        <v>3.6499587072000013E-3</v>
      </c>
      <c r="H80" s="93">
        <f t="shared" si="28"/>
        <v>3.7959570554880013E-3</v>
      </c>
      <c r="I80" s="93">
        <f t="shared" si="28"/>
        <v>3.9477953377075213E-3</v>
      </c>
      <c r="J80" s="93">
        <f t="shared" si="28"/>
        <v>4.1057071512158221E-3</v>
      </c>
      <c r="K80" s="93">
        <f t="shared" si="28"/>
        <v>4.2699354372644554E-3</v>
      </c>
      <c r="L80" s="63"/>
    </row>
    <row r="81" spans="1:12" ht="15.75" x14ac:dyDescent="0.25">
      <c r="A81" s="86" t="s">
        <v>95</v>
      </c>
      <c r="B81" s="87"/>
      <c r="C81" s="88">
        <f>C80*(C66+C67)</f>
        <v>73.819200000000009</v>
      </c>
      <c r="D81" s="88">
        <f t="shared" ref="D81:K81" si="29">D80*(D66+D67)</f>
        <v>76.771968000000015</v>
      </c>
      <c r="E81" s="88">
        <f t="shared" si="29"/>
        <v>79.842846720000011</v>
      </c>
      <c r="F81" s="88">
        <f t="shared" si="29"/>
        <v>100.83010928640002</v>
      </c>
      <c r="G81" s="88">
        <f t="shared" si="29"/>
        <v>104.86331365785604</v>
      </c>
      <c r="H81" s="88">
        <f t="shared" si="29"/>
        <v>109.05784620417027</v>
      </c>
      <c r="I81" s="88">
        <f t="shared" si="29"/>
        <v>126.76370829378851</v>
      </c>
      <c r="J81" s="88">
        <f t="shared" si="29"/>
        <v>131.83425662554004</v>
      </c>
      <c r="K81" s="88">
        <f t="shared" si="29"/>
        <v>137.10762689056168</v>
      </c>
      <c r="L81" s="89"/>
    </row>
    <row r="82" spans="1:12" x14ac:dyDescent="0.2">
      <c r="A82" s="64"/>
      <c r="B82" s="62"/>
      <c r="C82" s="62"/>
      <c r="D82" s="62"/>
      <c r="E82" s="62"/>
      <c r="F82" s="62"/>
      <c r="G82" s="62"/>
      <c r="H82" s="62"/>
      <c r="I82" s="62"/>
      <c r="J82" s="62"/>
      <c r="K82" s="62"/>
      <c r="L82" s="63"/>
    </row>
    <row r="83" spans="1:12" ht="15.75" x14ac:dyDescent="0.25">
      <c r="A83" s="90" t="s">
        <v>205</v>
      </c>
      <c r="B83" s="91"/>
      <c r="C83" s="91"/>
      <c r="D83" s="91"/>
      <c r="E83" s="91"/>
      <c r="F83" s="91"/>
      <c r="G83" s="91"/>
      <c r="H83" s="91"/>
      <c r="I83" s="91"/>
      <c r="J83" s="91"/>
      <c r="K83" s="91"/>
      <c r="L83" s="92"/>
    </row>
    <row r="84" spans="1:12" ht="15.75" x14ac:dyDescent="0.25">
      <c r="A84" s="52" t="s">
        <v>65</v>
      </c>
      <c r="B84" s="53">
        <v>0</v>
      </c>
      <c r="C84" s="53">
        <f>B84+1</f>
        <v>1</v>
      </c>
      <c r="D84" s="53">
        <f t="shared" ref="D84:L84" si="30">C84+1</f>
        <v>2</v>
      </c>
      <c r="E84" s="53">
        <f t="shared" si="30"/>
        <v>3</v>
      </c>
      <c r="F84" s="53">
        <f t="shared" si="30"/>
        <v>4</v>
      </c>
      <c r="G84" s="53">
        <f t="shared" si="30"/>
        <v>5</v>
      </c>
      <c r="H84" s="53">
        <f t="shared" si="30"/>
        <v>6</v>
      </c>
      <c r="I84" s="53">
        <f t="shared" si="30"/>
        <v>7</v>
      </c>
      <c r="J84" s="53">
        <f t="shared" si="30"/>
        <v>8</v>
      </c>
      <c r="K84" s="53">
        <f t="shared" si="30"/>
        <v>9</v>
      </c>
      <c r="L84" s="54">
        <f t="shared" si="30"/>
        <v>10</v>
      </c>
    </row>
    <row r="85" spans="1:12" ht="15.75" x14ac:dyDescent="0.25">
      <c r="A85" s="52" t="s">
        <v>88</v>
      </c>
      <c r="B85" s="62">
        <v>1</v>
      </c>
      <c r="C85" s="70">
        <f>(1+$P$11)^C84</f>
        <v>1.06</v>
      </c>
      <c r="D85" s="70">
        <f t="shared" ref="D85:K85" si="31">(1+$P$11)^D84</f>
        <v>1.1236000000000002</v>
      </c>
      <c r="E85" s="70">
        <f t="shared" si="31"/>
        <v>1.1910160000000003</v>
      </c>
      <c r="F85" s="70">
        <f t="shared" si="31"/>
        <v>1.2624769600000003</v>
      </c>
      <c r="G85" s="70">
        <f t="shared" si="31"/>
        <v>1.3382255776000005</v>
      </c>
      <c r="H85" s="70">
        <f t="shared" si="31"/>
        <v>1.4185191122560006</v>
      </c>
      <c r="I85" s="70">
        <f t="shared" si="31"/>
        <v>1.5036302589913608</v>
      </c>
      <c r="J85" s="70">
        <f t="shared" si="31"/>
        <v>1.5938480745308423</v>
      </c>
      <c r="K85" s="70">
        <f t="shared" si="31"/>
        <v>1.6894789590026928</v>
      </c>
      <c r="L85" s="71"/>
    </row>
    <row r="86" spans="1:12" ht="15.75" x14ac:dyDescent="0.25">
      <c r="A86" s="52" t="s">
        <v>49</v>
      </c>
      <c r="B86" s="62"/>
      <c r="C86" s="70">
        <f t="shared" ref="C86:K86" si="32">$P$9*$P$10*C85*C36</f>
        <v>16.536000000000001</v>
      </c>
      <c r="D86" s="70">
        <f t="shared" si="32"/>
        <v>18.229286400000007</v>
      </c>
      <c r="E86" s="70">
        <f t="shared" si="32"/>
        <v>20.095965327360005</v>
      </c>
      <c r="F86" s="70">
        <f t="shared" si="32"/>
        <v>22.153792176881673</v>
      </c>
      <c r="G86" s="70">
        <f t="shared" si="32"/>
        <v>24.422340495794362</v>
      </c>
      <c r="H86" s="70">
        <f t="shared" si="32"/>
        <v>26.923188162563708</v>
      </c>
      <c r="I86" s="70">
        <f t="shared" si="32"/>
        <v>29.680122630410235</v>
      </c>
      <c r="J86" s="70">
        <f t="shared" si="32"/>
        <v>32.719367187764242</v>
      </c>
      <c r="K86" s="70">
        <f t="shared" si="32"/>
        <v>36.069830387791306</v>
      </c>
      <c r="L86" s="63"/>
    </row>
    <row r="87" spans="1:12" ht="15.75" x14ac:dyDescent="0.25">
      <c r="A87" s="52" t="s">
        <v>51</v>
      </c>
      <c r="B87" s="62"/>
      <c r="C87" s="70">
        <f t="shared" ref="C87:K87" si="33">$P$13*$P$14*C36*C85</f>
        <v>6.6144000000000007</v>
      </c>
      <c r="D87" s="70">
        <f t="shared" si="33"/>
        <v>7.2917145600000026</v>
      </c>
      <c r="E87" s="70">
        <f t="shared" si="33"/>
        <v>8.0383861309440032</v>
      </c>
      <c r="F87" s="70">
        <f t="shared" si="33"/>
        <v>8.8615168707526699</v>
      </c>
      <c r="G87" s="70">
        <f t="shared" si="33"/>
        <v>9.7689361983177445</v>
      </c>
      <c r="H87" s="70">
        <f t="shared" si="33"/>
        <v>10.769275265025483</v>
      </c>
      <c r="I87" s="70">
        <f t="shared" si="33"/>
        <v>11.872049052164096</v>
      </c>
      <c r="J87" s="70">
        <f t="shared" si="33"/>
        <v>13.087746875105697</v>
      </c>
      <c r="K87" s="70">
        <f t="shared" si="33"/>
        <v>14.427932155116522</v>
      </c>
      <c r="L87" s="63"/>
    </row>
    <row r="88" spans="1:12" ht="15.75" x14ac:dyDescent="0.25">
      <c r="A88" s="52" t="s">
        <v>54</v>
      </c>
      <c r="B88" s="62"/>
      <c r="C88" s="70">
        <f t="shared" ref="C88:K88" si="34">$P$17*$P$18*C36*C85</f>
        <v>44.096000000000004</v>
      </c>
      <c r="D88" s="70">
        <f t="shared" si="34"/>
        <v>48.61143040000001</v>
      </c>
      <c r="E88" s="70">
        <f t="shared" si="34"/>
        <v>53.589240872960019</v>
      </c>
      <c r="F88" s="70">
        <f t="shared" si="34"/>
        <v>59.076779138351128</v>
      </c>
      <c r="G88" s="70">
        <f t="shared" si="34"/>
        <v>65.12624132211829</v>
      </c>
      <c r="H88" s="70">
        <f t="shared" si="34"/>
        <v>71.795168433503221</v>
      </c>
      <c r="I88" s="70">
        <f t="shared" si="34"/>
        <v>79.14699368109396</v>
      </c>
      <c r="J88" s="70">
        <f t="shared" si="34"/>
        <v>87.251645834037973</v>
      </c>
      <c r="K88" s="70">
        <f t="shared" si="34"/>
        <v>96.186214367443469</v>
      </c>
      <c r="L88" s="63"/>
    </row>
    <row r="89" spans="1:12" ht="15.75" x14ac:dyDescent="0.25">
      <c r="A89" s="86" t="s">
        <v>89</v>
      </c>
      <c r="B89" s="87"/>
      <c r="C89" s="88">
        <f>SUM(C86:C88)*12</f>
        <v>806.95680000000016</v>
      </c>
      <c r="D89" s="88">
        <f t="shared" ref="D89:K89" si="35">SUM(D86:D88)*12</f>
        <v>889.58917632000032</v>
      </c>
      <c r="E89" s="88">
        <f t="shared" si="35"/>
        <v>980.68310797516835</v>
      </c>
      <c r="F89" s="88">
        <f t="shared" si="35"/>
        <v>1081.1050582318258</v>
      </c>
      <c r="G89" s="88">
        <f t="shared" si="35"/>
        <v>1191.8102161947647</v>
      </c>
      <c r="H89" s="88">
        <f t="shared" si="35"/>
        <v>1313.851582333109</v>
      </c>
      <c r="I89" s="88">
        <f t="shared" si="35"/>
        <v>1448.3899843640197</v>
      </c>
      <c r="J89" s="88">
        <f t="shared" si="35"/>
        <v>1596.7051187628952</v>
      </c>
      <c r="K89" s="88">
        <f t="shared" si="35"/>
        <v>1760.2077229242157</v>
      </c>
      <c r="L89" s="89"/>
    </row>
    <row r="90" spans="1:12" ht="15.75" x14ac:dyDescent="0.25">
      <c r="A90" s="52"/>
      <c r="B90" s="62"/>
      <c r="C90" s="62"/>
      <c r="D90" s="62"/>
      <c r="E90" s="62"/>
      <c r="F90" s="62"/>
      <c r="G90" s="62"/>
      <c r="H90" s="62"/>
      <c r="I90" s="62"/>
      <c r="J90" s="62"/>
      <c r="K90" s="62"/>
      <c r="L90" s="63"/>
    </row>
    <row r="91" spans="1:12" ht="15.75" x14ac:dyDescent="0.25">
      <c r="A91" s="90" t="s">
        <v>206</v>
      </c>
      <c r="B91" s="91"/>
      <c r="C91" s="91"/>
      <c r="D91" s="91"/>
      <c r="E91" s="91"/>
      <c r="F91" s="91"/>
      <c r="G91" s="91"/>
      <c r="H91" s="91"/>
      <c r="I91" s="91"/>
      <c r="J91" s="91"/>
      <c r="K91" s="91"/>
      <c r="L91" s="92"/>
    </row>
    <row r="92" spans="1:12" ht="15.75" x14ac:dyDescent="0.25">
      <c r="A92" s="52" t="s">
        <v>65</v>
      </c>
      <c r="B92" s="53">
        <v>0</v>
      </c>
      <c r="C92" s="53">
        <f>B92+1</f>
        <v>1</v>
      </c>
      <c r="D92" s="53">
        <f t="shared" ref="D92:L92" si="36">C92+1</f>
        <v>2</v>
      </c>
      <c r="E92" s="53">
        <f t="shared" si="36"/>
        <v>3</v>
      </c>
      <c r="F92" s="53">
        <f t="shared" si="36"/>
        <v>4</v>
      </c>
      <c r="G92" s="53">
        <f t="shared" si="36"/>
        <v>5</v>
      </c>
      <c r="H92" s="53">
        <f t="shared" si="36"/>
        <v>6</v>
      </c>
      <c r="I92" s="53">
        <f t="shared" si="36"/>
        <v>7</v>
      </c>
      <c r="J92" s="53">
        <f t="shared" si="36"/>
        <v>8</v>
      </c>
      <c r="K92" s="53">
        <f t="shared" si="36"/>
        <v>9</v>
      </c>
      <c r="L92" s="54">
        <f t="shared" si="36"/>
        <v>10</v>
      </c>
    </row>
    <row r="93" spans="1:12" x14ac:dyDescent="0.2">
      <c r="A93" s="64" t="s">
        <v>90</v>
      </c>
      <c r="B93" s="62"/>
      <c r="C93" s="70">
        <f t="shared" ref="C93:K93" si="37">$P$22*C36</f>
        <v>8.32</v>
      </c>
      <c r="D93" s="70">
        <f t="shared" si="37"/>
        <v>8.6528000000000009</v>
      </c>
      <c r="E93" s="70">
        <f t="shared" si="37"/>
        <v>8.9989120000000007</v>
      </c>
      <c r="F93" s="70">
        <f t="shared" si="37"/>
        <v>9.3588684800000017</v>
      </c>
      <c r="G93" s="70">
        <f t="shared" si="37"/>
        <v>9.7332232192000028</v>
      </c>
      <c r="H93" s="70">
        <f t="shared" si="37"/>
        <v>10.122552147968003</v>
      </c>
      <c r="I93" s="70">
        <f t="shared" si="37"/>
        <v>10.527454233886724</v>
      </c>
      <c r="J93" s="70">
        <f t="shared" si="37"/>
        <v>10.948552403242193</v>
      </c>
      <c r="K93" s="70">
        <f t="shared" si="37"/>
        <v>11.386494499371882</v>
      </c>
      <c r="L93" s="63"/>
    </row>
    <row r="94" spans="1:12" x14ac:dyDescent="0.2">
      <c r="A94" s="64" t="s">
        <v>41</v>
      </c>
      <c r="B94" s="62"/>
      <c r="C94" s="70">
        <f>$K$6*C36</f>
        <v>10.4</v>
      </c>
      <c r="D94" s="70">
        <f>$K$6*D36</f>
        <v>10.816000000000001</v>
      </c>
      <c r="E94" s="70">
        <f>$K$6*E36</f>
        <v>11.248640000000002</v>
      </c>
      <c r="F94" s="70">
        <f>$E$94*F36*(1+$K$8)</f>
        <v>14.475249571594246</v>
      </c>
      <c r="G94" s="70">
        <f>$E$94*G36*(1+$K$8)</f>
        <v>15.054259554458017</v>
      </c>
      <c r="H94" s="70">
        <f>$E$94*H36*(1+$K$8)</f>
        <v>15.656429936636338</v>
      </c>
      <c r="I94" s="70">
        <f>$H$94*I36*(1+$K$8)</f>
        <v>22.663073073299049</v>
      </c>
      <c r="J94" s="70">
        <f>$H$94*J36*(1+$K$8)</f>
        <v>23.569595996231008</v>
      </c>
      <c r="K94" s="70">
        <f>$H$94*K36*(1+$K$8)</f>
        <v>24.512379836080253</v>
      </c>
      <c r="L94" s="71">
        <f>K94*L36*$K$9</f>
        <v>18.142155081052731</v>
      </c>
    </row>
    <row r="95" spans="1:12" x14ac:dyDescent="0.2">
      <c r="A95" s="64" t="s">
        <v>34</v>
      </c>
      <c r="B95" s="62"/>
      <c r="C95" s="70">
        <f t="shared" ref="C95:K95" si="38">$K$17*C36</f>
        <v>1.04</v>
      </c>
      <c r="D95" s="70">
        <f t="shared" si="38"/>
        <v>1.0816000000000001</v>
      </c>
      <c r="E95" s="70">
        <f t="shared" si="38"/>
        <v>1.1248640000000001</v>
      </c>
      <c r="F95" s="70">
        <f t="shared" si="38"/>
        <v>1.1698585600000002</v>
      </c>
      <c r="G95" s="70">
        <f t="shared" si="38"/>
        <v>1.2166529024000003</v>
      </c>
      <c r="H95" s="70">
        <f t="shared" si="38"/>
        <v>1.2653190184960004</v>
      </c>
      <c r="I95" s="70">
        <f t="shared" si="38"/>
        <v>1.3159317792358405</v>
      </c>
      <c r="J95" s="70">
        <f t="shared" si="38"/>
        <v>1.3685690504052741</v>
      </c>
      <c r="K95" s="70">
        <f t="shared" si="38"/>
        <v>1.4233118124214852</v>
      </c>
      <c r="L95" s="63"/>
    </row>
    <row r="96" spans="1:12" ht="15.75" x14ac:dyDescent="0.25">
      <c r="A96" s="86" t="s">
        <v>92</v>
      </c>
      <c r="B96" s="87"/>
      <c r="C96" s="88">
        <f t="shared" ref="C96:L96" si="39">SUM(C93:C95)*$D$32</f>
        <v>237.11999999999998</v>
      </c>
      <c r="D96" s="88">
        <f t="shared" si="39"/>
        <v>246.60480000000004</v>
      </c>
      <c r="E96" s="88">
        <f t="shared" si="39"/>
        <v>256.46899200000001</v>
      </c>
      <c r="F96" s="88">
        <f t="shared" si="39"/>
        <v>300.04771933913094</v>
      </c>
      <c r="G96" s="88">
        <f t="shared" si="39"/>
        <v>312.04962811269627</v>
      </c>
      <c r="H96" s="88">
        <f t="shared" si="39"/>
        <v>324.53161323720411</v>
      </c>
      <c r="I96" s="88">
        <f t="shared" si="39"/>
        <v>414.07750903705937</v>
      </c>
      <c r="J96" s="88">
        <f t="shared" si="39"/>
        <v>430.64060939854176</v>
      </c>
      <c r="K96" s="88">
        <f t="shared" si="39"/>
        <v>447.86623377448348</v>
      </c>
      <c r="L96" s="94">
        <f t="shared" si="39"/>
        <v>217.70586097263276</v>
      </c>
    </row>
    <row r="97" spans="1:12" ht="15.75" x14ac:dyDescent="0.25">
      <c r="A97" s="95" t="s">
        <v>102</v>
      </c>
      <c r="B97" s="96"/>
      <c r="C97" s="97">
        <f>C81+C96+C89+C76+C43</f>
        <v>1892.6944000000001</v>
      </c>
      <c r="D97" s="97">
        <f t="shared" ref="D97:K97" si="40">D81+D96+D89+D76+D43</f>
        <v>2018.2762803200003</v>
      </c>
      <c r="E97" s="97">
        <f t="shared" si="40"/>
        <v>2154.0376961351685</v>
      </c>
      <c r="F97" s="97">
        <f t="shared" si="40"/>
        <v>2535.8940161501569</v>
      </c>
      <c r="G97" s="97">
        <f t="shared" si="40"/>
        <v>2704.3107324298294</v>
      </c>
      <c r="H97" s="97">
        <f t="shared" si="40"/>
        <v>2886.3721192175763</v>
      </c>
      <c r="I97" s="97">
        <f t="shared" si="40"/>
        <v>3311.1228540640159</v>
      </c>
      <c r="J97" s="97">
        <f t="shared" si="40"/>
        <v>3533.4673032508908</v>
      </c>
      <c r="K97" s="97">
        <f t="shared" si="40"/>
        <v>3773.9603947917312</v>
      </c>
      <c r="L97" s="98">
        <f>L81+L96+L89+L76+L42</f>
        <v>229.70586097263276</v>
      </c>
    </row>
    <row r="98" spans="1:12" x14ac:dyDescent="0.2">
      <c r="A98" s="64"/>
      <c r="B98" s="62"/>
      <c r="C98" s="62"/>
      <c r="D98" s="62"/>
      <c r="E98" s="62"/>
      <c r="F98" s="62"/>
      <c r="G98" s="62"/>
      <c r="H98" s="62"/>
      <c r="I98" s="62"/>
      <c r="J98" s="62"/>
      <c r="K98" s="62"/>
      <c r="L98" s="63"/>
    </row>
    <row r="99" spans="1:12" ht="15.75" x14ac:dyDescent="0.25">
      <c r="A99" s="90" t="s">
        <v>207</v>
      </c>
      <c r="B99" s="91"/>
      <c r="C99" s="91"/>
      <c r="D99" s="91"/>
      <c r="E99" s="91"/>
      <c r="F99" s="91"/>
      <c r="G99" s="91"/>
      <c r="H99" s="91"/>
      <c r="I99" s="91"/>
      <c r="J99" s="91"/>
      <c r="K99" s="91"/>
      <c r="L99" s="92"/>
    </row>
    <row r="100" spans="1:12" ht="15.75" x14ac:dyDescent="0.25">
      <c r="A100" s="52" t="s">
        <v>65</v>
      </c>
      <c r="B100" s="53">
        <v>0</v>
      </c>
      <c r="C100" s="53">
        <f>B100+1</f>
        <v>1</v>
      </c>
      <c r="D100" s="53">
        <f t="shared" ref="D100:L100" si="41">C100+1</f>
        <v>2</v>
      </c>
      <c r="E100" s="53">
        <f t="shared" si="41"/>
        <v>3</v>
      </c>
      <c r="F100" s="53">
        <f t="shared" si="41"/>
        <v>4</v>
      </c>
      <c r="G100" s="53">
        <f t="shared" si="41"/>
        <v>5</v>
      </c>
      <c r="H100" s="53">
        <f t="shared" si="41"/>
        <v>6</v>
      </c>
      <c r="I100" s="53">
        <f t="shared" si="41"/>
        <v>7</v>
      </c>
      <c r="J100" s="53">
        <f t="shared" si="41"/>
        <v>8</v>
      </c>
      <c r="K100" s="53">
        <f t="shared" si="41"/>
        <v>9</v>
      </c>
      <c r="L100" s="54">
        <f t="shared" si="41"/>
        <v>10</v>
      </c>
    </row>
    <row r="101" spans="1:12" ht="15.75" x14ac:dyDescent="0.25">
      <c r="A101" s="86" t="s">
        <v>91</v>
      </c>
      <c r="B101" s="87"/>
      <c r="C101" s="88">
        <f>$P$26*C36*$D$32</f>
        <v>249.60000000000002</v>
      </c>
      <c r="D101" s="88">
        <f t="shared" ref="D101:J101" si="42">$P$26*D36*$D$32</f>
        <v>259.584</v>
      </c>
      <c r="E101" s="88">
        <f t="shared" si="42"/>
        <v>269.96736000000004</v>
      </c>
      <c r="F101" s="88">
        <f t="shared" si="42"/>
        <v>280.76605440000003</v>
      </c>
      <c r="G101" s="88">
        <f t="shared" si="42"/>
        <v>291.99669657600009</v>
      </c>
      <c r="H101" s="88">
        <f t="shared" si="42"/>
        <v>303.67656443904008</v>
      </c>
      <c r="I101" s="88">
        <f t="shared" si="42"/>
        <v>315.82362701660168</v>
      </c>
      <c r="J101" s="88">
        <f t="shared" si="42"/>
        <v>328.45657209726573</v>
      </c>
      <c r="K101" s="88">
        <f>$P$26*K36*$D$32</f>
        <v>341.5948349811564</v>
      </c>
      <c r="L101" s="94">
        <f>K101*P27*L36</f>
        <v>252.82190111924089</v>
      </c>
    </row>
    <row r="102" spans="1:12" x14ac:dyDescent="0.2">
      <c r="A102" s="64"/>
      <c r="B102" s="62"/>
      <c r="C102" s="62"/>
      <c r="D102" s="62"/>
      <c r="E102" s="62"/>
      <c r="F102" s="62"/>
      <c r="G102" s="62"/>
      <c r="H102" s="62"/>
      <c r="I102" s="62"/>
      <c r="J102" s="62"/>
      <c r="K102" s="62"/>
      <c r="L102" s="63"/>
    </row>
    <row r="103" spans="1:12" ht="15.75" x14ac:dyDescent="0.25">
      <c r="A103" s="90" t="s">
        <v>208</v>
      </c>
      <c r="B103" s="91"/>
      <c r="C103" s="91"/>
      <c r="D103" s="91"/>
      <c r="E103" s="91"/>
      <c r="F103" s="91"/>
      <c r="G103" s="91"/>
      <c r="H103" s="91"/>
      <c r="I103" s="91"/>
      <c r="J103" s="91"/>
      <c r="K103" s="91"/>
      <c r="L103" s="92"/>
    </row>
    <row r="104" spans="1:12" ht="15.75" x14ac:dyDescent="0.25">
      <c r="A104" s="52" t="s">
        <v>65</v>
      </c>
      <c r="B104" s="53">
        <v>0</v>
      </c>
      <c r="C104" s="53">
        <f>B104+1</f>
        <v>1</v>
      </c>
      <c r="D104" s="53">
        <f t="shared" ref="D104:L104" si="43">C104+1</f>
        <v>2</v>
      </c>
      <c r="E104" s="53">
        <f t="shared" si="43"/>
        <v>3</v>
      </c>
      <c r="F104" s="53">
        <f t="shared" si="43"/>
        <v>4</v>
      </c>
      <c r="G104" s="53">
        <f t="shared" si="43"/>
        <v>5</v>
      </c>
      <c r="H104" s="53">
        <f t="shared" si="43"/>
        <v>6</v>
      </c>
      <c r="I104" s="53">
        <f t="shared" si="43"/>
        <v>7</v>
      </c>
      <c r="J104" s="53">
        <f t="shared" si="43"/>
        <v>8</v>
      </c>
      <c r="K104" s="53">
        <f t="shared" si="43"/>
        <v>9</v>
      </c>
      <c r="L104" s="54">
        <f t="shared" si="43"/>
        <v>10</v>
      </c>
    </row>
    <row r="105" spans="1:12" ht="15.75" x14ac:dyDescent="0.25">
      <c r="A105" s="99" t="s">
        <v>52</v>
      </c>
      <c r="B105" s="56"/>
      <c r="C105" s="57">
        <f>$K$17/$D$4</f>
        <v>0.1111111111111111</v>
      </c>
      <c r="D105" s="57">
        <f t="shared" ref="D105:K105" si="44">$K$17/$D$4</f>
        <v>0.1111111111111111</v>
      </c>
      <c r="E105" s="57">
        <f t="shared" si="44"/>
        <v>0.1111111111111111</v>
      </c>
      <c r="F105" s="57">
        <f t="shared" si="44"/>
        <v>0.1111111111111111</v>
      </c>
      <c r="G105" s="57">
        <f t="shared" si="44"/>
        <v>0.1111111111111111</v>
      </c>
      <c r="H105" s="57">
        <f t="shared" si="44"/>
        <v>0.1111111111111111</v>
      </c>
      <c r="I105" s="57">
        <f t="shared" si="44"/>
        <v>0.1111111111111111</v>
      </c>
      <c r="J105" s="57">
        <f t="shared" si="44"/>
        <v>0.1111111111111111</v>
      </c>
      <c r="K105" s="57">
        <f t="shared" si="44"/>
        <v>0.1111111111111111</v>
      </c>
      <c r="L105" s="66"/>
    </row>
    <row r="107" spans="1:12" ht="15.75" x14ac:dyDescent="0.25">
      <c r="A107" s="100" t="s">
        <v>209</v>
      </c>
      <c r="B107" s="101"/>
      <c r="C107" s="101"/>
      <c r="D107" s="101"/>
      <c r="E107" s="101"/>
      <c r="F107" s="101"/>
      <c r="G107" s="101"/>
      <c r="H107" s="101"/>
      <c r="I107" s="101"/>
      <c r="J107" s="101"/>
      <c r="K107" s="101"/>
      <c r="L107" s="102"/>
    </row>
    <row r="108" spans="1:12" ht="15.75" x14ac:dyDescent="0.25">
      <c r="A108" s="52" t="s">
        <v>65</v>
      </c>
      <c r="B108" s="53">
        <v>0</v>
      </c>
      <c r="C108" s="53">
        <f>B108+1</f>
        <v>1</v>
      </c>
      <c r="D108" s="53">
        <f t="shared" ref="D108:L108" si="45">C108+1</f>
        <v>2</v>
      </c>
      <c r="E108" s="53">
        <f t="shared" si="45"/>
        <v>3</v>
      </c>
      <c r="F108" s="53">
        <f t="shared" si="45"/>
        <v>4</v>
      </c>
      <c r="G108" s="53">
        <f t="shared" si="45"/>
        <v>5</v>
      </c>
      <c r="H108" s="53">
        <f t="shared" si="45"/>
        <v>6</v>
      </c>
      <c r="I108" s="53">
        <f t="shared" si="45"/>
        <v>7</v>
      </c>
      <c r="J108" s="53">
        <f t="shared" si="45"/>
        <v>8</v>
      </c>
      <c r="K108" s="53">
        <f t="shared" si="45"/>
        <v>9</v>
      </c>
      <c r="L108" s="54">
        <f t="shared" si="45"/>
        <v>10</v>
      </c>
    </row>
    <row r="109" spans="1:12" x14ac:dyDescent="0.2">
      <c r="A109" s="64" t="s">
        <v>96</v>
      </c>
      <c r="B109" s="62"/>
      <c r="C109" s="70">
        <f t="shared" ref="C109:K109" si="46">C69</f>
        <v>1617.1326080000003</v>
      </c>
      <c r="D109" s="70">
        <f t="shared" si="46"/>
        <v>1782.7269870592004</v>
      </c>
      <c r="E109" s="70">
        <f t="shared" si="46"/>
        <v>1965.2782305340629</v>
      </c>
      <c r="F109" s="70">
        <f t="shared" si="46"/>
        <v>2630.7775901994833</v>
      </c>
      <c r="G109" s="70">
        <f t="shared" si="46"/>
        <v>2900.1692154359116</v>
      </c>
      <c r="H109" s="70">
        <f t="shared" si="46"/>
        <v>3197.1465430965491</v>
      </c>
      <c r="I109" s="70">
        <f t="shared" si="46"/>
        <v>3939.1854490048863</v>
      </c>
      <c r="J109" s="70">
        <f t="shared" si="46"/>
        <v>4342.5580389829875</v>
      </c>
      <c r="K109" s="70">
        <f t="shared" si="46"/>
        <v>4787.235982174845</v>
      </c>
      <c r="L109" s="63"/>
    </row>
    <row r="110" spans="1:12" x14ac:dyDescent="0.2">
      <c r="A110" s="64" t="s">
        <v>101</v>
      </c>
      <c r="B110" s="62"/>
      <c r="C110" s="70">
        <f t="shared" ref="C110:K110" si="47">C97</f>
        <v>1892.6944000000001</v>
      </c>
      <c r="D110" s="70">
        <f t="shared" si="47"/>
        <v>2018.2762803200003</v>
      </c>
      <c r="E110" s="70">
        <f t="shared" si="47"/>
        <v>2154.0376961351685</v>
      </c>
      <c r="F110" s="70">
        <f t="shared" si="47"/>
        <v>2535.8940161501569</v>
      </c>
      <c r="G110" s="70">
        <f t="shared" si="47"/>
        <v>2704.3107324298294</v>
      </c>
      <c r="H110" s="70">
        <f t="shared" si="47"/>
        <v>2886.3721192175763</v>
      </c>
      <c r="I110" s="70">
        <f t="shared" si="47"/>
        <v>3311.1228540640159</v>
      </c>
      <c r="J110" s="70">
        <f t="shared" si="47"/>
        <v>3533.4673032508908</v>
      </c>
      <c r="K110" s="70">
        <f t="shared" si="47"/>
        <v>3773.9603947917312</v>
      </c>
      <c r="L110" s="63"/>
    </row>
    <row r="111" spans="1:12" ht="15.75" x14ac:dyDescent="0.25">
      <c r="A111" s="52" t="s">
        <v>52</v>
      </c>
      <c r="B111" s="62"/>
      <c r="C111" s="70">
        <f>C105</f>
        <v>0.1111111111111111</v>
      </c>
      <c r="D111" s="70">
        <f t="shared" ref="D111:K111" si="48">D105</f>
        <v>0.1111111111111111</v>
      </c>
      <c r="E111" s="70">
        <f t="shared" si="48"/>
        <v>0.1111111111111111</v>
      </c>
      <c r="F111" s="70">
        <f t="shared" si="48"/>
        <v>0.1111111111111111</v>
      </c>
      <c r="G111" s="70">
        <f t="shared" si="48"/>
        <v>0.1111111111111111</v>
      </c>
      <c r="H111" s="70">
        <f t="shared" si="48"/>
        <v>0.1111111111111111</v>
      </c>
      <c r="I111" s="70">
        <f t="shared" si="48"/>
        <v>0.1111111111111111</v>
      </c>
      <c r="J111" s="70">
        <f t="shared" si="48"/>
        <v>0.1111111111111111</v>
      </c>
      <c r="K111" s="70">
        <f t="shared" si="48"/>
        <v>0.1111111111111111</v>
      </c>
      <c r="L111" s="63"/>
    </row>
    <row r="112" spans="1:12" x14ac:dyDescent="0.2">
      <c r="A112" s="64" t="s">
        <v>103</v>
      </c>
      <c r="B112" s="62"/>
      <c r="C112" s="70">
        <f t="shared" ref="C112:K112" si="49">C101</f>
        <v>249.60000000000002</v>
      </c>
      <c r="D112" s="70">
        <f t="shared" si="49"/>
        <v>259.584</v>
      </c>
      <c r="E112" s="70">
        <f t="shared" si="49"/>
        <v>269.96736000000004</v>
      </c>
      <c r="F112" s="70">
        <f t="shared" si="49"/>
        <v>280.76605440000003</v>
      </c>
      <c r="G112" s="70">
        <f t="shared" si="49"/>
        <v>291.99669657600009</v>
      </c>
      <c r="H112" s="70">
        <f t="shared" si="49"/>
        <v>303.67656443904008</v>
      </c>
      <c r="I112" s="70">
        <f t="shared" si="49"/>
        <v>315.82362701660168</v>
      </c>
      <c r="J112" s="70">
        <f t="shared" si="49"/>
        <v>328.45657209726573</v>
      </c>
      <c r="K112" s="70">
        <f t="shared" si="49"/>
        <v>341.5948349811564</v>
      </c>
      <c r="L112" s="63"/>
    </row>
    <row r="113" spans="1:12" x14ac:dyDescent="0.2">
      <c r="A113" s="64" t="s">
        <v>97</v>
      </c>
      <c r="B113" s="62"/>
      <c r="C113" s="70">
        <f>C51</f>
        <v>5.46</v>
      </c>
      <c r="D113" s="70">
        <f>D51</f>
        <v>4.5010354247177222</v>
      </c>
      <c r="E113" s="70">
        <f>E51</f>
        <v>3.4797381520420969</v>
      </c>
      <c r="F113" s="70">
        <f>F51</f>
        <v>2.3920565566425558</v>
      </c>
      <c r="G113" s="70">
        <f>G51</f>
        <v>1.2336756575420447</v>
      </c>
      <c r="H113" s="62"/>
      <c r="I113" s="62"/>
      <c r="J113" s="62"/>
      <c r="K113" s="62"/>
      <c r="L113" s="63"/>
    </row>
    <row r="114" spans="1:12" x14ac:dyDescent="0.2">
      <c r="A114" s="64" t="s">
        <v>98</v>
      </c>
      <c r="B114" s="62"/>
      <c r="C114" s="70">
        <f>C109-C111-C110-C112-C113</f>
        <v>-530.73290311111089</v>
      </c>
      <c r="D114" s="70">
        <f t="shared" ref="D114:K114" si="50">D109-D111-D110-D112-D113</f>
        <v>-499.74543979662872</v>
      </c>
      <c r="E114" s="70">
        <f t="shared" si="50"/>
        <v>-462.31767486425883</v>
      </c>
      <c r="F114" s="70">
        <f t="shared" si="50"/>
        <v>-188.3856480184275</v>
      </c>
      <c r="G114" s="70">
        <f t="shared" si="50"/>
        <v>-97.48300033857123</v>
      </c>
      <c r="H114" s="70">
        <f t="shared" si="50"/>
        <v>6.9867483288214203</v>
      </c>
      <c r="I114" s="70">
        <f t="shared" si="50"/>
        <v>312.12785681315745</v>
      </c>
      <c r="J114" s="70">
        <f t="shared" si="50"/>
        <v>480.52305252371957</v>
      </c>
      <c r="K114" s="70">
        <f t="shared" si="50"/>
        <v>671.56964129084611</v>
      </c>
      <c r="L114" s="63"/>
    </row>
    <row r="115" spans="1:12" ht="15.75" x14ac:dyDescent="0.25">
      <c r="A115" s="103" t="s">
        <v>99</v>
      </c>
      <c r="B115" s="104"/>
      <c r="C115" s="105">
        <f>IF(C114&lt;0,0,C114*$D$29)</f>
        <v>0</v>
      </c>
      <c r="D115" s="105">
        <f t="shared" ref="D115:K115" si="51">IF(D114&lt;0,0,D114*$D$29)</f>
        <v>0</v>
      </c>
      <c r="E115" s="105">
        <f t="shared" si="51"/>
        <v>0</v>
      </c>
      <c r="F115" s="105">
        <f t="shared" si="51"/>
        <v>0</v>
      </c>
      <c r="G115" s="105">
        <f t="shared" si="51"/>
        <v>0</v>
      </c>
      <c r="H115" s="105">
        <f t="shared" si="51"/>
        <v>0.1048012249323213</v>
      </c>
      <c r="I115" s="105">
        <f t="shared" si="51"/>
        <v>4.6819178521973619</v>
      </c>
      <c r="J115" s="105">
        <f t="shared" si="51"/>
        <v>7.2078457878557929</v>
      </c>
      <c r="K115" s="105">
        <f t="shared" si="51"/>
        <v>10.073544619362691</v>
      </c>
      <c r="L115" s="106"/>
    </row>
    <row r="116" spans="1:12" x14ac:dyDescent="0.2">
      <c r="A116" s="55" t="s">
        <v>100</v>
      </c>
      <c r="B116" s="56"/>
      <c r="C116" s="57">
        <f>C114-C115</f>
        <v>-530.73290311111089</v>
      </c>
      <c r="D116" s="57">
        <f t="shared" ref="D116:K116" si="52">D114-D115</f>
        <v>-499.74543979662872</v>
      </c>
      <c r="E116" s="57">
        <f t="shared" si="52"/>
        <v>-462.31767486425883</v>
      </c>
      <c r="F116" s="57">
        <f t="shared" si="52"/>
        <v>-188.3856480184275</v>
      </c>
      <c r="G116" s="57">
        <f t="shared" si="52"/>
        <v>-97.48300033857123</v>
      </c>
      <c r="H116" s="57">
        <f t="shared" si="52"/>
        <v>6.8819471038890994</v>
      </c>
      <c r="I116" s="57">
        <f t="shared" si="52"/>
        <v>307.44593896096006</v>
      </c>
      <c r="J116" s="57">
        <f t="shared" si="52"/>
        <v>473.3152067358638</v>
      </c>
      <c r="K116" s="57">
        <f t="shared" si="52"/>
        <v>661.49609667148343</v>
      </c>
      <c r="L116" s="66"/>
    </row>
    <row r="119" spans="1:12" ht="15.75" x14ac:dyDescent="0.25">
      <c r="A119" s="107" t="s">
        <v>210</v>
      </c>
      <c r="B119" s="108"/>
      <c r="C119" s="108"/>
      <c r="D119" s="108"/>
      <c r="E119" s="108"/>
      <c r="F119" s="108"/>
      <c r="G119" s="108"/>
      <c r="H119" s="108"/>
      <c r="I119" s="108"/>
      <c r="J119" s="108"/>
      <c r="K119" s="108"/>
      <c r="L119" s="109"/>
    </row>
    <row r="120" spans="1:12" ht="15.75" x14ac:dyDescent="0.25">
      <c r="A120" s="52" t="s">
        <v>65</v>
      </c>
      <c r="B120" s="53">
        <v>0</v>
      </c>
      <c r="C120" s="53">
        <f>B120+1</f>
        <v>1</v>
      </c>
      <c r="D120" s="53">
        <f t="shared" ref="D120:L120" si="53">C120+1</f>
        <v>2</v>
      </c>
      <c r="E120" s="53">
        <f t="shared" si="53"/>
        <v>3</v>
      </c>
      <c r="F120" s="53">
        <f t="shared" si="53"/>
        <v>4</v>
      </c>
      <c r="G120" s="53">
        <f t="shared" si="53"/>
        <v>5</v>
      </c>
      <c r="H120" s="53">
        <f t="shared" si="53"/>
        <v>6</v>
      </c>
      <c r="I120" s="53">
        <f t="shared" si="53"/>
        <v>7</v>
      </c>
      <c r="J120" s="53">
        <f t="shared" si="53"/>
        <v>8</v>
      </c>
      <c r="K120" s="53">
        <f t="shared" si="53"/>
        <v>9</v>
      </c>
      <c r="L120" s="54">
        <f t="shared" si="53"/>
        <v>10</v>
      </c>
    </row>
    <row r="121" spans="1:12" x14ac:dyDescent="0.2">
      <c r="A121" s="64" t="s">
        <v>13</v>
      </c>
      <c r="B121" s="62"/>
      <c r="C121" s="62">
        <f>$D$18*C69</f>
        <v>0</v>
      </c>
      <c r="D121" s="62">
        <f t="shared" ref="D121:K121" si="54">$D$18*D69</f>
        <v>0</v>
      </c>
      <c r="E121" s="62">
        <f t="shared" si="54"/>
        <v>0</v>
      </c>
      <c r="F121" s="62">
        <f t="shared" si="54"/>
        <v>0</v>
      </c>
      <c r="G121" s="62">
        <f t="shared" si="54"/>
        <v>0</v>
      </c>
      <c r="H121" s="62">
        <f t="shared" si="54"/>
        <v>0</v>
      </c>
      <c r="I121" s="62">
        <f t="shared" si="54"/>
        <v>0</v>
      </c>
      <c r="J121" s="62">
        <f t="shared" si="54"/>
        <v>0</v>
      </c>
      <c r="K121" s="62">
        <f t="shared" si="54"/>
        <v>0</v>
      </c>
      <c r="L121" s="63"/>
    </row>
    <row r="122" spans="1:12" x14ac:dyDescent="0.2">
      <c r="A122" s="64" t="s">
        <v>15</v>
      </c>
      <c r="B122" s="62"/>
      <c r="C122" s="70">
        <f>$D$20*C76</f>
        <v>38.139919999999996</v>
      </c>
      <c r="D122" s="70">
        <f t="shared" ref="D122:K122" si="55">$D$20*D76</f>
        <v>39.665516800000006</v>
      </c>
      <c r="E122" s="70">
        <f t="shared" si="55"/>
        <v>41.252137472000008</v>
      </c>
      <c r="F122" s="70">
        <f t="shared" si="55"/>
        <v>52.095556464640005</v>
      </c>
      <c r="G122" s="70">
        <f t="shared" si="55"/>
        <v>54.179378723225618</v>
      </c>
      <c r="H122" s="70">
        <f t="shared" si="55"/>
        <v>56.346553872154644</v>
      </c>
      <c r="I122" s="70">
        <f t="shared" si="55"/>
        <v>65.4945826184574</v>
      </c>
      <c r="J122" s="70">
        <f t="shared" si="55"/>
        <v>68.114365923195692</v>
      </c>
      <c r="K122" s="70">
        <f t="shared" si="55"/>
        <v>70.838940560123532</v>
      </c>
      <c r="L122" s="63"/>
    </row>
    <row r="123" spans="1:12" x14ac:dyDescent="0.2">
      <c r="A123" s="64" t="s">
        <v>14</v>
      </c>
      <c r="B123" s="62"/>
      <c r="C123" s="70">
        <f>$D$19*C69</f>
        <v>16.171326080000004</v>
      </c>
      <c r="D123" s="70">
        <f t="shared" ref="D123:K123" si="56">$D$19*D69</f>
        <v>17.827269870592005</v>
      </c>
      <c r="E123" s="70">
        <f t="shared" si="56"/>
        <v>19.652782305340629</v>
      </c>
      <c r="F123" s="70">
        <f t="shared" si="56"/>
        <v>26.307775901994834</v>
      </c>
      <c r="G123" s="70">
        <f t="shared" si="56"/>
        <v>29.001692154359116</v>
      </c>
      <c r="H123" s="70">
        <f t="shared" si="56"/>
        <v>31.971465430965491</v>
      </c>
      <c r="I123" s="70">
        <f t="shared" si="56"/>
        <v>39.391854490048864</v>
      </c>
      <c r="J123" s="70">
        <f t="shared" si="56"/>
        <v>43.425580389829875</v>
      </c>
      <c r="K123" s="70">
        <f t="shared" si="56"/>
        <v>47.872359821748454</v>
      </c>
      <c r="L123" s="63"/>
    </row>
    <row r="124" spans="1:12" x14ac:dyDescent="0.2">
      <c r="A124" s="110" t="s">
        <v>104</v>
      </c>
      <c r="B124" s="111"/>
      <c r="C124" s="111">
        <f>B121-C121</f>
        <v>0</v>
      </c>
      <c r="D124" s="111">
        <f t="shared" ref="D124:L126" si="57">C121-D121</f>
        <v>0</v>
      </c>
      <c r="E124" s="111">
        <f t="shared" si="57"/>
        <v>0</v>
      </c>
      <c r="F124" s="111">
        <f t="shared" si="57"/>
        <v>0</v>
      </c>
      <c r="G124" s="111">
        <f t="shared" si="57"/>
        <v>0</v>
      </c>
      <c r="H124" s="111">
        <f t="shared" si="57"/>
        <v>0</v>
      </c>
      <c r="I124" s="111">
        <f t="shared" si="57"/>
        <v>0</v>
      </c>
      <c r="J124" s="111">
        <f t="shared" si="57"/>
        <v>0</v>
      </c>
      <c r="K124" s="111">
        <f t="shared" si="57"/>
        <v>0</v>
      </c>
      <c r="L124" s="112">
        <f t="shared" si="57"/>
        <v>0</v>
      </c>
    </row>
    <row r="125" spans="1:12" x14ac:dyDescent="0.2">
      <c r="A125" s="110" t="s">
        <v>105</v>
      </c>
      <c r="B125" s="111"/>
      <c r="C125" s="113">
        <f>B122-C122</f>
        <v>-38.139919999999996</v>
      </c>
      <c r="D125" s="113">
        <f t="shared" si="57"/>
        <v>-1.5255968000000095</v>
      </c>
      <c r="E125" s="113">
        <f t="shared" si="57"/>
        <v>-1.5866206720000022</v>
      </c>
      <c r="F125" s="113">
        <f t="shared" si="57"/>
        <v>-10.843418992639997</v>
      </c>
      <c r="G125" s="113">
        <f t="shared" si="57"/>
        <v>-2.083822258585613</v>
      </c>
      <c r="H125" s="113">
        <f t="shared" si="57"/>
        <v>-2.1671751489290259</v>
      </c>
      <c r="I125" s="113">
        <f t="shared" si="57"/>
        <v>-9.1480287463027565</v>
      </c>
      <c r="J125" s="113">
        <f t="shared" si="57"/>
        <v>-2.6197833047382915</v>
      </c>
      <c r="K125" s="113">
        <f t="shared" si="57"/>
        <v>-2.7245746369278407</v>
      </c>
      <c r="L125" s="114">
        <f t="shared" si="57"/>
        <v>70.838940560123532</v>
      </c>
    </row>
    <row r="126" spans="1:12" x14ac:dyDescent="0.2">
      <c r="A126" s="115" t="s">
        <v>106</v>
      </c>
      <c r="B126" s="116"/>
      <c r="C126" s="117">
        <f>B123-C123</f>
        <v>-16.171326080000004</v>
      </c>
      <c r="D126" s="117">
        <f t="shared" si="57"/>
        <v>-1.6559437905920014</v>
      </c>
      <c r="E126" s="117">
        <f t="shared" si="57"/>
        <v>-1.8255124347486245</v>
      </c>
      <c r="F126" s="117">
        <f t="shared" si="57"/>
        <v>-6.6549935966542044</v>
      </c>
      <c r="G126" s="117">
        <f t="shared" si="57"/>
        <v>-2.6939162523642821</v>
      </c>
      <c r="H126" s="117">
        <f t="shared" si="57"/>
        <v>-2.9697732766063751</v>
      </c>
      <c r="I126" s="117">
        <f t="shared" si="57"/>
        <v>-7.420389059083373</v>
      </c>
      <c r="J126" s="117">
        <f t="shared" si="57"/>
        <v>-4.033725899781011</v>
      </c>
      <c r="K126" s="117">
        <f t="shared" si="57"/>
        <v>-4.4467794319185785</v>
      </c>
      <c r="L126" s="118">
        <f t="shared" si="57"/>
        <v>47.872359821748454</v>
      </c>
    </row>
    <row r="129" spans="1:12" ht="15.75" x14ac:dyDescent="0.25">
      <c r="A129" s="100" t="s">
        <v>211</v>
      </c>
      <c r="B129" s="101"/>
      <c r="C129" s="101"/>
      <c r="D129" s="101"/>
      <c r="E129" s="101"/>
      <c r="F129" s="101"/>
      <c r="G129" s="101"/>
      <c r="H129" s="101"/>
      <c r="I129" s="101"/>
      <c r="J129" s="101"/>
      <c r="K129" s="101"/>
      <c r="L129" s="102"/>
    </row>
    <row r="130" spans="1:12" ht="15.75" x14ac:dyDescent="0.25">
      <c r="A130" s="52" t="s">
        <v>65</v>
      </c>
      <c r="B130" s="53">
        <v>0</v>
      </c>
      <c r="C130" s="53">
        <f>B130+1</f>
        <v>1</v>
      </c>
      <c r="D130" s="53">
        <f t="shared" ref="D130:L130" si="58">C130+1</f>
        <v>2</v>
      </c>
      <c r="E130" s="53">
        <f t="shared" si="58"/>
        <v>3</v>
      </c>
      <c r="F130" s="53">
        <f t="shared" si="58"/>
        <v>4</v>
      </c>
      <c r="G130" s="53">
        <f t="shared" si="58"/>
        <v>5</v>
      </c>
      <c r="H130" s="53">
        <f t="shared" si="58"/>
        <v>6</v>
      </c>
      <c r="I130" s="53">
        <f t="shared" si="58"/>
        <v>7</v>
      </c>
      <c r="J130" s="53">
        <f t="shared" si="58"/>
        <v>8</v>
      </c>
      <c r="K130" s="53">
        <f t="shared" si="58"/>
        <v>9</v>
      </c>
      <c r="L130" s="54">
        <f t="shared" si="58"/>
        <v>10</v>
      </c>
    </row>
    <row r="131" spans="1:12" ht="15.75" x14ac:dyDescent="0.25">
      <c r="A131" s="119" t="s">
        <v>107</v>
      </c>
      <c r="B131" s="120"/>
      <c r="C131" s="120"/>
      <c r="D131" s="120"/>
      <c r="E131" s="120"/>
      <c r="F131" s="120"/>
      <c r="G131" s="120"/>
      <c r="H131" s="120"/>
      <c r="I131" s="120"/>
      <c r="J131" s="120"/>
      <c r="K131" s="120"/>
      <c r="L131" s="121"/>
    </row>
    <row r="132" spans="1:12" x14ac:dyDescent="0.2">
      <c r="A132" s="64" t="s">
        <v>96</v>
      </c>
      <c r="B132" s="62"/>
      <c r="C132" s="70">
        <f>C69</f>
        <v>1617.1326080000003</v>
      </c>
      <c r="D132" s="70">
        <f t="shared" ref="D132:L132" si="59">D69</f>
        <v>1782.7269870592004</v>
      </c>
      <c r="E132" s="70">
        <f t="shared" si="59"/>
        <v>1965.2782305340629</v>
      </c>
      <c r="F132" s="70">
        <f t="shared" si="59"/>
        <v>2630.7775901994833</v>
      </c>
      <c r="G132" s="70">
        <f t="shared" si="59"/>
        <v>2900.1692154359116</v>
      </c>
      <c r="H132" s="70">
        <f t="shared" si="59"/>
        <v>3197.1465430965491</v>
      </c>
      <c r="I132" s="70">
        <f t="shared" si="59"/>
        <v>3939.1854490048863</v>
      </c>
      <c r="J132" s="70">
        <f t="shared" si="59"/>
        <v>4342.5580389829875</v>
      </c>
      <c r="K132" s="70">
        <f t="shared" si="59"/>
        <v>4787.235982174845</v>
      </c>
      <c r="L132" s="71">
        <f t="shared" si="59"/>
        <v>0</v>
      </c>
    </row>
    <row r="133" spans="1:12" x14ac:dyDescent="0.2">
      <c r="A133" s="64" t="s">
        <v>104</v>
      </c>
      <c r="B133" s="62"/>
      <c r="C133" s="62">
        <f>C124</f>
        <v>0</v>
      </c>
      <c r="D133" s="62">
        <f t="shared" ref="D133:L133" si="60">D124</f>
        <v>0</v>
      </c>
      <c r="E133" s="62">
        <f t="shared" si="60"/>
        <v>0</v>
      </c>
      <c r="F133" s="62">
        <f t="shared" si="60"/>
        <v>0</v>
      </c>
      <c r="G133" s="62">
        <f t="shared" si="60"/>
        <v>0</v>
      </c>
      <c r="H133" s="62">
        <f t="shared" si="60"/>
        <v>0</v>
      </c>
      <c r="I133" s="62">
        <f t="shared" si="60"/>
        <v>0</v>
      </c>
      <c r="J133" s="62">
        <f t="shared" si="60"/>
        <v>0</v>
      </c>
      <c r="K133" s="62">
        <f t="shared" si="60"/>
        <v>0</v>
      </c>
      <c r="L133" s="63">
        <f t="shared" si="60"/>
        <v>0</v>
      </c>
    </row>
    <row r="134" spans="1:12" x14ac:dyDescent="0.2">
      <c r="A134" s="64" t="s">
        <v>70</v>
      </c>
      <c r="B134" s="62"/>
      <c r="C134" s="62"/>
      <c r="D134" s="62"/>
      <c r="E134" s="62"/>
      <c r="F134" s="62"/>
      <c r="G134" s="62"/>
      <c r="H134" s="62"/>
      <c r="I134" s="62"/>
      <c r="J134" s="62"/>
      <c r="K134" s="62"/>
      <c r="L134" s="63">
        <f>L42</f>
        <v>12</v>
      </c>
    </row>
    <row r="135" spans="1:12" ht="15.75" x14ac:dyDescent="0.25">
      <c r="A135" s="122" t="s">
        <v>108</v>
      </c>
      <c r="B135" s="123"/>
      <c r="C135" s="124">
        <f>SUM(C132:C134)</f>
        <v>1617.1326080000003</v>
      </c>
      <c r="D135" s="124">
        <f t="shared" ref="D135:L135" si="61">SUM(D132:D134)</f>
        <v>1782.7269870592004</v>
      </c>
      <c r="E135" s="124">
        <f t="shared" si="61"/>
        <v>1965.2782305340629</v>
      </c>
      <c r="F135" s="124">
        <f t="shared" si="61"/>
        <v>2630.7775901994833</v>
      </c>
      <c r="G135" s="124">
        <f t="shared" si="61"/>
        <v>2900.1692154359116</v>
      </c>
      <c r="H135" s="124">
        <f t="shared" si="61"/>
        <v>3197.1465430965491</v>
      </c>
      <c r="I135" s="124">
        <f t="shared" si="61"/>
        <v>3939.1854490048863</v>
      </c>
      <c r="J135" s="124">
        <f t="shared" si="61"/>
        <v>4342.5580389829875</v>
      </c>
      <c r="K135" s="124">
        <f t="shared" si="61"/>
        <v>4787.235982174845</v>
      </c>
      <c r="L135" s="125">
        <f t="shared" si="61"/>
        <v>12</v>
      </c>
    </row>
    <row r="136" spans="1:12" ht="15.75" x14ac:dyDescent="0.25">
      <c r="A136" s="126" t="s">
        <v>109</v>
      </c>
      <c r="B136" s="127"/>
      <c r="C136" s="127"/>
      <c r="D136" s="127"/>
      <c r="E136" s="127"/>
      <c r="F136" s="127"/>
      <c r="G136" s="127"/>
      <c r="H136" s="127"/>
      <c r="I136" s="127"/>
      <c r="J136" s="127"/>
      <c r="K136" s="127"/>
      <c r="L136" s="128"/>
    </row>
    <row r="137" spans="1:12" ht="15.75" x14ac:dyDescent="0.25">
      <c r="A137" s="129" t="s">
        <v>120</v>
      </c>
      <c r="B137" s="130"/>
      <c r="C137" s="130"/>
      <c r="D137" s="130"/>
      <c r="E137" s="130"/>
      <c r="F137" s="130"/>
      <c r="G137" s="130"/>
      <c r="H137" s="130"/>
      <c r="I137" s="130"/>
      <c r="J137" s="130"/>
      <c r="K137" s="130"/>
      <c r="L137" s="131"/>
    </row>
    <row r="138" spans="1:12" x14ac:dyDescent="0.2">
      <c r="A138" s="64" t="s">
        <v>119</v>
      </c>
      <c r="B138" s="62">
        <f>K17</f>
        <v>1</v>
      </c>
      <c r="C138" s="62"/>
      <c r="D138" s="62"/>
      <c r="E138" s="62"/>
      <c r="F138" s="62"/>
      <c r="G138" s="62"/>
      <c r="H138" s="62"/>
      <c r="I138" s="62"/>
      <c r="J138" s="62"/>
      <c r="K138" s="62"/>
      <c r="L138" s="63"/>
    </row>
    <row r="139" spans="1:12" x14ac:dyDescent="0.2">
      <c r="A139" s="64" t="s">
        <v>110</v>
      </c>
      <c r="B139" s="62">
        <f>K11</f>
        <v>120</v>
      </c>
      <c r="C139" s="62"/>
      <c r="D139" s="62"/>
      <c r="E139" s="62"/>
      <c r="F139" s="62"/>
      <c r="G139" s="62"/>
      <c r="H139" s="62"/>
      <c r="I139" s="62"/>
      <c r="J139" s="62"/>
      <c r="K139" s="62"/>
      <c r="L139" s="63"/>
    </row>
    <row r="140" spans="1:12" ht="15.75" x14ac:dyDescent="0.25">
      <c r="A140" s="129" t="s">
        <v>111</v>
      </c>
      <c r="B140" s="130"/>
      <c r="C140" s="130"/>
      <c r="D140" s="130"/>
      <c r="E140" s="130"/>
      <c r="F140" s="130"/>
      <c r="G140" s="130"/>
      <c r="H140" s="130"/>
      <c r="I140" s="130"/>
      <c r="J140" s="130"/>
      <c r="K140" s="130"/>
      <c r="L140" s="131"/>
    </row>
    <row r="141" spans="1:12" x14ac:dyDescent="0.2">
      <c r="A141" s="64" t="s">
        <v>44</v>
      </c>
      <c r="B141" s="62"/>
      <c r="C141" s="70">
        <f>C76</f>
        <v>762.7983999999999</v>
      </c>
      <c r="D141" s="70">
        <f t="shared" ref="D141:K141" si="62">D76</f>
        <v>793.31033600000012</v>
      </c>
      <c r="E141" s="70">
        <f t="shared" si="62"/>
        <v>825.04274944000008</v>
      </c>
      <c r="F141" s="70">
        <f t="shared" si="62"/>
        <v>1041.9111292928001</v>
      </c>
      <c r="G141" s="70">
        <f t="shared" si="62"/>
        <v>1083.5875744645123</v>
      </c>
      <c r="H141" s="70">
        <f t="shared" si="62"/>
        <v>1126.9310774430928</v>
      </c>
      <c r="I141" s="70">
        <f t="shared" si="62"/>
        <v>1309.891652369148</v>
      </c>
      <c r="J141" s="70">
        <f t="shared" si="62"/>
        <v>1362.2873184639138</v>
      </c>
      <c r="K141" s="70">
        <f t="shared" si="62"/>
        <v>1416.7788112024707</v>
      </c>
      <c r="L141" s="63"/>
    </row>
    <row r="142" spans="1:12" x14ac:dyDescent="0.2">
      <c r="A142" s="64" t="s">
        <v>41</v>
      </c>
      <c r="B142" s="62"/>
      <c r="C142" s="70">
        <f>C94</f>
        <v>10.4</v>
      </c>
      <c r="D142" s="70">
        <f t="shared" ref="D142:L142" si="63">D94</f>
        <v>10.816000000000001</v>
      </c>
      <c r="E142" s="70">
        <f t="shared" si="63"/>
        <v>11.248640000000002</v>
      </c>
      <c r="F142" s="70">
        <f t="shared" si="63"/>
        <v>14.475249571594246</v>
      </c>
      <c r="G142" s="70">
        <f t="shared" si="63"/>
        <v>15.054259554458017</v>
      </c>
      <c r="H142" s="70">
        <f t="shared" si="63"/>
        <v>15.656429936636338</v>
      </c>
      <c r="I142" s="70">
        <f t="shared" si="63"/>
        <v>22.663073073299049</v>
      </c>
      <c r="J142" s="70">
        <f t="shared" si="63"/>
        <v>23.569595996231008</v>
      </c>
      <c r="K142" s="70">
        <f t="shared" si="63"/>
        <v>24.512379836080253</v>
      </c>
      <c r="L142" s="71">
        <f t="shared" si="63"/>
        <v>18.142155081052731</v>
      </c>
    </row>
    <row r="143" spans="1:12" x14ac:dyDescent="0.2">
      <c r="A143" s="64" t="s">
        <v>112</v>
      </c>
      <c r="B143" s="62"/>
      <c r="C143" s="70">
        <f>C89</f>
        <v>806.95680000000016</v>
      </c>
      <c r="D143" s="70">
        <f t="shared" ref="D143:K143" si="64">D89</f>
        <v>889.58917632000032</v>
      </c>
      <c r="E143" s="70">
        <f t="shared" si="64"/>
        <v>980.68310797516835</v>
      </c>
      <c r="F143" s="70">
        <f t="shared" si="64"/>
        <v>1081.1050582318258</v>
      </c>
      <c r="G143" s="70">
        <f t="shared" si="64"/>
        <v>1191.8102161947647</v>
      </c>
      <c r="H143" s="70">
        <f t="shared" si="64"/>
        <v>1313.851582333109</v>
      </c>
      <c r="I143" s="70">
        <f t="shared" si="64"/>
        <v>1448.3899843640197</v>
      </c>
      <c r="J143" s="70">
        <f t="shared" si="64"/>
        <v>1596.7051187628952</v>
      </c>
      <c r="K143" s="70">
        <f t="shared" si="64"/>
        <v>1760.2077229242157</v>
      </c>
      <c r="L143" s="63"/>
    </row>
    <row r="144" spans="1:12" x14ac:dyDescent="0.2">
      <c r="A144" s="64" t="s">
        <v>113</v>
      </c>
      <c r="B144" s="62"/>
      <c r="C144" s="70">
        <f>C93</f>
        <v>8.32</v>
      </c>
      <c r="D144" s="70">
        <f t="shared" ref="D144:K144" si="65">D93</f>
        <v>8.6528000000000009</v>
      </c>
      <c r="E144" s="70">
        <f t="shared" si="65"/>
        <v>8.9989120000000007</v>
      </c>
      <c r="F144" s="70">
        <f t="shared" si="65"/>
        <v>9.3588684800000017</v>
      </c>
      <c r="G144" s="70">
        <f t="shared" si="65"/>
        <v>9.7332232192000028</v>
      </c>
      <c r="H144" s="70">
        <f t="shared" si="65"/>
        <v>10.122552147968003</v>
      </c>
      <c r="I144" s="70">
        <f t="shared" si="65"/>
        <v>10.527454233886724</v>
      </c>
      <c r="J144" s="70">
        <f t="shared" si="65"/>
        <v>10.948552403242193</v>
      </c>
      <c r="K144" s="70">
        <f t="shared" si="65"/>
        <v>11.386494499371882</v>
      </c>
      <c r="L144" s="63"/>
    </row>
    <row r="145" spans="1:12" x14ac:dyDescent="0.2">
      <c r="A145" s="64" t="s">
        <v>55</v>
      </c>
      <c r="B145" s="62"/>
      <c r="C145" s="70">
        <f>C81</f>
        <v>73.819200000000009</v>
      </c>
      <c r="D145" s="70">
        <f t="shared" ref="D145:K145" si="66">D81</f>
        <v>76.771968000000015</v>
      </c>
      <c r="E145" s="70">
        <f t="shared" si="66"/>
        <v>79.842846720000011</v>
      </c>
      <c r="F145" s="70">
        <f t="shared" si="66"/>
        <v>100.83010928640002</v>
      </c>
      <c r="G145" s="70">
        <f t="shared" si="66"/>
        <v>104.86331365785604</v>
      </c>
      <c r="H145" s="70">
        <f t="shared" si="66"/>
        <v>109.05784620417027</v>
      </c>
      <c r="I145" s="70">
        <f t="shared" si="66"/>
        <v>126.76370829378851</v>
      </c>
      <c r="J145" s="70">
        <f t="shared" si="66"/>
        <v>131.83425662554004</v>
      </c>
      <c r="K145" s="70">
        <f t="shared" si="66"/>
        <v>137.10762689056168</v>
      </c>
      <c r="L145" s="63"/>
    </row>
    <row r="146" spans="1:12" x14ac:dyDescent="0.2">
      <c r="A146" s="64" t="s">
        <v>114</v>
      </c>
      <c r="B146" s="62"/>
      <c r="C146" s="70">
        <f>C101</f>
        <v>249.60000000000002</v>
      </c>
      <c r="D146" s="70">
        <f t="shared" ref="D146:L146" si="67">D101</f>
        <v>259.584</v>
      </c>
      <c r="E146" s="70">
        <f t="shared" si="67"/>
        <v>269.96736000000004</v>
      </c>
      <c r="F146" s="70">
        <f t="shared" si="67"/>
        <v>280.76605440000003</v>
      </c>
      <c r="G146" s="70">
        <f t="shared" si="67"/>
        <v>291.99669657600009</v>
      </c>
      <c r="H146" s="70">
        <f t="shared" si="67"/>
        <v>303.67656443904008</v>
      </c>
      <c r="I146" s="70">
        <f t="shared" si="67"/>
        <v>315.82362701660168</v>
      </c>
      <c r="J146" s="70">
        <f t="shared" si="67"/>
        <v>328.45657209726573</v>
      </c>
      <c r="K146" s="70">
        <f t="shared" si="67"/>
        <v>341.5948349811564</v>
      </c>
      <c r="L146" s="71">
        <f t="shared" si="67"/>
        <v>252.82190111924089</v>
      </c>
    </row>
    <row r="147" spans="1:12" x14ac:dyDescent="0.2">
      <c r="A147" s="64" t="s">
        <v>105</v>
      </c>
      <c r="B147" s="62"/>
      <c r="C147" s="70">
        <f>C125</f>
        <v>-38.139919999999996</v>
      </c>
      <c r="D147" s="70">
        <f t="shared" ref="D147:L148" si="68">D125</f>
        <v>-1.5255968000000095</v>
      </c>
      <c r="E147" s="70">
        <f t="shared" si="68"/>
        <v>-1.5866206720000022</v>
      </c>
      <c r="F147" s="70">
        <f t="shared" si="68"/>
        <v>-10.843418992639997</v>
      </c>
      <c r="G147" s="70">
        <f t="shared" si="68"/>
        <v>-2.083822258585613</v>
      </c>
      <c r="H147" s="70">
        <f t="shared" si="68"/>
        <v>-2.1671751489290259</v>
      </c>
      <c r="I147" s="70">
        <f t="shared" si="68"/>
        <v>-9.1480287463027565</v>
      </c>
      <c r="J147" s="70">
        <f t="shared" si="68"/>
        <v>-2.6197833047382915</v>
      </c>
      <c r="K147" s="70">
        <f t="shared" si="68"/>
        <v>-2.7245746369278407</v>
      </c>
      <c r="L147" s="71">
        <f t="shared" si="68"/>
        <v>70.838940560123532</v>
      </c>
    </row>
    <row r="148" spans="1:12" x14ac:dyDescent="0.2">
      <c r="A148" s="64" t="s">
        <v>106</v>
      </c>
      <c r="B148" s="62"/>
      <c r="C148" s="70">
        <f>C126</f>
        <v>-16.171326080000004</v>
      </c>
      <c r="D148" s="70">
        <f t="shared" si="68"/>
        <v>-1.6559437905920014</v>
      </c>
      <c r="E148" s="70">
        <f t="shared" si="68"/>
        <v>-1.8255124347486245</v>
      </c>
      <c r="F148" s="70">
        <f t="shared" si="68"/>
        <v>-6.6549935966542044</v>
      </c>
      <c r="G148" s="70">
        <f t="shared" si="68"/>
        <v>-2.6939162523642821</v>
      </c>
      <c r="H148" s="70">
        <f t="shared" si="68"/>
        <v>-2.9697732766063751</v>
      </c>
      <c r="I148" s="70">
        <f t="shared" si="68"/>
        <v>-7.420389059083373</v>
      </c>
      <c r="J148" s="70">
        <f t="shared" si="68"/>
        <v>-4.033725899781011</v>
      </c>
      <c r="K148" s="70">
        <f t="shared" si="68"/>
        <v>-4.4467794319185785</v>
      </c>
      <c r="L148" s="71">
        <f t="shared" si="68"/>
        <v>47.872359821748454</v>
      </c>
    </row>
    <row r="149" spans="1:12" ht="15.75" x14ac:dyDescent="0.25">
      <c r="A149" s="86" t="s">
        <v>115</v>
      </c>
      <c r="B149" s="88">
        <f>SUM(B138:B148)</f>
        <v>121</v>
      </c>
      <c r="C149" s="88">
        <f>SUM(C138:C148)</f>
        <v>1857.5831539200001</v>
      </c>
      <c r="D149" s="88">
        <f t="shared" ref="D149:L149" si="69">SUM(D138:D148)</f>
        <v>2035.5427397294088</v>
      </c>
      <c r="E149" s="88">
        <f t="shared" si="69"/>
        <v>2172.3714830284198</v>
      </c>
      <c r="F149" s="88">
        <f t="shared" si="69"/>
        <v>2510.9480566733259</v>
      </c>
      <c r="G149" s="88">
        <f t="shared" si="69"/>
        <v>2692.2675451558407</v>
      </c>
      <c r="H149" s="88">
        <f t="shared" si="69"/>
        <v>2874.1591040784815</v>
      </c>
      <c r="I149" s="88">
        <f t="shared" si="69"/>
        <v>3217.4910815453572</v>
      </c>
      <c r="J149" s="88">
        <f t="shared" si="69"/>
        <v>3447.147905144569</v>
      </c>
      <c r="K149" s="88">
        <f t="shared" si="69"/>
        <v>3684.4165162650111</v>
      </c>
      <c r="L149" s="94">
        <f t="shared" si="69"/>
        <v>389.67535658216559</v>
      </c>
    </row>
    <row r="150" spans="1:12" x14ac:dyDescent="0.2">
      <c r="A150" s="64" t="s">
        <v>116</v>
      </c>
      <c r="B150" s="70">
        <f>B149+B152</f>
        <v>121</v>
      </c>
      <c r="C150" s="70">
        <f t="shared" ref="C150:L150" si="70">C149+C152</f>
        <v>1857.5831539200001</v>
      </c>
      <c r="D150" s="70">
        <f t="shared" si="70"/>
        <v>2035.5427397294088</v>
      </c>
      <c r="E150" s="70">
        <f t="shared" si="70"/>
        <v>2172.3714830284198</v>
      </c>
      <c r="F150" s="70">
        <f t="shared" si="70"/>
        <v>2510.9480566733259</v>
      </c>
      <c r="G150" s="70">
        <f t="shared" si="70"/>
        <v>2692.2675451558407</v>
      </c>
      <c r="H150" s="70">
        <f t="shared" si="70"/>
        <v>2874.263905303414</v>
      </c>
      <c r="I150" s="70">
        <f t="shared" si="70"/>
        <v>3222.1729993975546</v>
      </c>
      <c r="J150" s="70">
        <f t="shared" si="70"/>
        <v>3454.3557509324246</v>
      </c>
      <c r="K150" s="70">
        <f t="shared" si="70"/>
        <v>3694.4900608843736</v>
      </c>
      <c r="L150" s="71">
        <f t="shared" si="70"/>
        <v>389.67535658216559</v>
      </c>
    </row>
    <row r="151" spans="1:12" x14ac:dyDescent="0.2">
      <c r="A151" s="64" t="s">
        <v>117</v>
      </c>
      <c r="B151" s="70">
        <f>B135-B149</f>
        <v>-121</v>
      </c>
      <c r="C151" s="70">
        <f t="shared" ref="C151:L151" si="71">C135-C149</f>
        <v>-240.45054591999974</v>
      </c>
      <c r="D151" s="70">
        <f t="shared" si="71"/>
        <v>-252.81575267020844</v>
      </c>
      <c r="E151" s="70">
        <f t="shared" si="71"/>
        <v>-207.09325249435688</v>
      </c>
      <c r="F151" s="70">
        <f t="shared" si="71"/>
        <v>119.82953352615732</v>
      </c>
      <c r="G151" s="70">
        <f t="shared" si="71"/>
        <v>207.9016702800709</v>
      </c>
      <c r="H151" s="70">
        <f t="shared" si="71"/>
        <v>322.98743901806756</v>
      </c>
      <c r="I151" s="70">
        <f t="shared" si="71"/>
        <v>721.69436745952908</v>
      </c>
      <c r="J151" s="70">
        <f t="shared" si="71"/>
        <v>895.41013383841846</v>
      </c>
      <c r="K151" s="70">
        <f t="shared" si="71"/>
        <v>1102.819465909834</v>
      </c>
      <c r="L151" s="71">
        <f t="shared" si="71"/>
        <v>-377.67535658216559</v>
      </c>
    </row>
    <row r="152" spans="1:12" x14ac:dyDescent="0.2">
      <c r="A152" s="64" t="s">
        <v>26</v>
      </c>
      <c r="B152" s="70">
        <f>B115</f>
        <v>0</v>
      </c>
      <c r="C152" s="70">
        <f t="shared" ref="C152:L152" si="72">C115</f>
        <v>0</v>
      </c>
      <c r="D152" s="70">
        <f t="shared" si="72"/>
        <v>0</v>
      </c>
      <c r="E152" s="70">
        <f t="shared" si="72"/>
        <v>0</v>
      </c>
      <c r="F152" s="70">
        <f t="shared" si="72"/>
        <v>0</v>
      </c>
      <c r="G152" s="70">
        <f t="shared" si="72"/>
        <v>0</v>
      </c>
      <c r="H152" s="70">
        <f t="shared" si="72"/>
        <v>0.1048012249323213</v>
      </c>
      <c r="I152" s="70">
        <f t="shared" si="72"/>
        <v>4.6819178521973619</v>
      </c>
      <c r="J152" s="70">
        <f t="shared" si="72"/>
        <v>7.2078457878557929</v>
      </c>
      <c r="K152" s="70">
        <f t="shared" si="72"/>
        <v>10.073544619362691</v>
      </c>
      <c r="L152" s="71">
        <f t="shared" si="72"/>
        <v>0</v>
      </c>
    </row>
    <row r="153" spans="1:12" ht="15.75" x14ac:dyDescent="0.25">
      <c r="A153" s="132" t="s">
        <v>118</v>
      </c>
      <c r="B153" s="133">
        <f>B151-B152</f>
        <v>-121</v>
      </c>
      <c r="C153" s="133">
        <f t="shared" ref="C153:L153" si="73">C151-C152</f>
        <v>-240.45054591999974</v>
      </c>
      <c r="D153" s="133">
        <f t="shared" si="73"/>
        <v>-252.81575267020844</v>
      </c>
      <c r="E153" s="133">
        <f t="shared" si="73"/>
        <v>-207.09325249435688</v>
      </c>
      <c r="F153" s="133">
        <f t="shared" si="73"/>
        <v>119.82953352615732</v>
      </c>
      <c r="G153" s="133">
        <f t="shared" si="73"/>
        <v>207.9016702800709</v>
      </c>
      <c r="H153" s="133">
        <f t="shared" si="73"/>
        <v>322.88263779313525</v>
      </c>
      <c r="I153" s="133">
        <f t="shared" si="73"/>
        <v>717.01244960733175</v>
      </c>
      <c r="J153" s="133">
        <f t="shared" si="73"/>
        <v>888.20228805056263</v>
      </c>
      <c r="K153" s="133">
        <f t="shared" si="73"/>
        <v>1092.7459212904712</v>
      </c>
      <c r="L153" s="134">
        <f t="shared" si="73"/>
        <v>-377.67535658216559</v>
      </c>
    </row>
    <row r="155" spans="1:12" ht="15.75" x14ac:dyDescent="0.25">
      <c r="A155" s="100" t="s">
        <v>212</v>
      </c>
      <c r="B155" s="101"/>
      <c r="C155" s="101"/>
      <c r="D155" s="101"/>
      <c r="E155" s="101"/>
      <c r="F155" s="101"/>
      <c r="G155" s="101"/>
      <c r="H155" s="101"/>
      <c r="I155" s="101"/>
      <c r="J155" s="101"/>
      <c r="K155" s="101"/>
      <c r="L155" s="102"/>
    </row>
    <row r="156" spans="1:12" ht="15.75" x14ac:dyDescent="0.25">
      <c r="A156" s="52" t="s">
        <v>65</v>
      </c>
      <c r="B156" s="53">
        <v>0</v>
      </c>
      <c r="C156" s="53">
        <f>B156+1</f>
        <v>1</v>
      </c>
      <c r="D156" s="53">
        <f t="shared" ref="D156:L156" si="74">C156+1</f>
        <v>2</v>
      </c>
      <c r="E156" s="53">
        <f t="shared" si="74"/>
        <v>3</v>
      </c>
      <c r="F156" s="53">
        <f t="shared" si="74"/>
        <v>4</v>
      </c>
      <c r="G156" s="53">
        <f t="shared" si="74"/>
        <v>5</v>
      </c>
      <c r="H156" s="53">
        <f t="shared" si="74"/>
        <v>6</v>
      </c>
      <c r="I156" s="53">
        <f t="shared" si="74"/>
        <v>7</v>
      </c>
      <c r="J156" s="53">
        <f t="shared" si="74"/>
        <v>8</v>
      </c>
      <c r="K156" s="53">
        <f t="shared" si="74"/>
        <v>9</v>
      </c>
      <c r="L156" s="54">
        <f t="shared" si="74"/>
        <v>10</v>
      </c>
    </row>
    <row r="157" spans="1:12" ht="15.75" x14ac:dyDescent="0.25">
      <c r="A157" s="103" t="s">
        <v>118</v>
      </c>
      <c r="B157" s="135">
        <f>B153</f>
        <v>-121</v>
      </c>
      <c r="C157" s="135">
        <f t="shared" ref="C157:L157" si="75">C153</f>
        <v>-240.45054591999974</v>
      </c>
      <c r="D157" s="135">
        <f t="shared" si="75"/>
        <v>-252.81575267020844</v>
      </c>
      <c r="E157" s="135">
        <f t="shared" si="75"/>
        <v>-207.09325249435688</v>
      </c>
      <c r="F157" s="135">
        <f t="shared" si="75"/>
        <v>119.82953352615732</v>
      </c>
      <c r="G157" s="135">
        <f t="shared" si="75"/>
        <v>207.9016702800709</v>
      </c>
      <c r="H157" s="135">
        <f t="shared" si="75"/>
        <v>322.88263779313525</v>
      </c>
      <c r="I157" s="135">
        <f t="shared" si="75"/>
        <v>717.01244960733175</v>
      </c>
      <c r="J157" s="135">
        <f t="shared" si="75"/>
        <v>888.20228805056263</v>
      </c>
      <c r="K157" s="135">
        <f t="shared" si="75"/>
        <v>1092.7459212904712</v>
      </c>
      <c r="L157" s="136">
        <f t="shared" si="75"/>
        <v>-377.67535658216559</v>
      </c>
    </row>
    <row r="158" spans="1:12" x14ac:dyDescent="0.2">
      <c r="A158" s="64" t="s">
        <v>121</v>
      </c>
      <c r="B158" s="62"/>
      <c r="C158" s="62"/>
      <c r="D158" s="62"/>
      <c r="E158" s="62"/>
      <c r="F158" s="62"/>
      <c r="G158" s="62"/>
      <c r="H158" s="62"/>
      <c r="I158" s="62"/>
      <c r="J158" s="62"/>
      <c r="K158" s="62"/>
      <c r="L158" s="63"/>
    </row>
    <row r="159" spans="1:12" x14ac:dyDescent="0.2">
      <c r="A159" s="64" t="s">
        <v>122</v>
      </c>
      <c r="B159" s="62">
        <f>B55</f>
        <v>84</v>
      </c>
      <c r="C159" s="62"/>
      <c r="D159" s="62"/>
      <c r="E159" s="62"/>
      <c r="F159" s="62"/>
      <c r="G159" s="62"/>
      <c r="H159" s="62"/>
      <c r="I159" s="62"/>
      <c r="J159" s="62"/>
      <c r="K159" s="62"/>
      <c r="L159" s="63"/>
    </row>
    <row r="160" spans="1:12" x14ac:dyDescent="0.2">
      <c r="A160" s="64" t="s">
        <v>123</v>
      </c>
      <c r="B160" s="62"/>
      <c r="C160" s="70">
        <f>C52</f>
        <v>20.213301158188884</v>
      </c>
      <c r="D160" s="70">
        <f t="shared" ref="D160:G160" si="76">D52</f>
        <v>20.213301158188884</v>
      </c>
      <c r="E160" s="70">
        <f t="shared" si="76"/>
        <v>20.213301158188884</v>
      </c>
      <c r="F160" s="70">
        <f t="shared" si="76"/>
        <v>20.213301158188884</v>
      </c>
      <c r="G160" s="70">
        <f t="shared" si="76"/>
        <v>20.213301158188884</v>
      </c>
      <c r="H160" s="62"/>
      <c r="I160" s="62"/>
      <c r="J160" s="62"/>
      <c r="K160" s="62"/>
      <c r="L160" s="63"/>
    </row>
    <row r="161" spans="1:12" ht="15.75" x14ac:dyDescent="0.25">
      <c r="A161" s="137" t="s">
        <v>124</v>
      </c>
      <c r="B161" s="138">
        <f>B157+B159-B160</f>
        <v>-37</v>
      </c>
      <c r="C161" s="138">
        <f>C157+C159-C160</f>
        <v>-260.66384707818861</v>
      </c>
      <c r="D161" s="138">
        <f t="shared" ref="D161:L161" si="77">D157+D159-D160</f>
        <v>-273.02905382839731</v>
      </c>
      <c r="E161" s="138">
        <f t="shared" si="77"/>
        <v>-227.30655365254574</v>
      </c>
      <c r="F161" s="138">
        <f t="shared" si="77"/>
        <v>99.616232367968436</v>
      </c>
      <c r="G161" s="138">
        <f t="shared" si="77"/>
        <v>187.68836912188203</v>
      </c>
      <c r="H161" s="138">
        <f t="shared" si="77"/>
        <v>322.88263779313525</v>
      </c>
      <c r="I161" s="138">
        <f t="shared" si="77"/>
        <v>717.01244960733175</v>
      </c>
      <c r="J161" s="138">
        <f t="shared" si="77"/>
        <v>888.20228805056263</v>
      </c>
      <c r="K161" s="138">
        <f t="shared" si="77"/>
        <v>1092.7459212904712</v>
      </c>
      <c r="L161" s="139">
        <f t="shared" si="77"/>
        <v>-377.67535658216559</v>
      </c>
    </row>
    <row r="164" spans="1:12" x14ac:dyDescent="0.2">
      <c r="A164" s="140" t="s">
        <v>128</v>
      </c>
      <c r="B164" s="141">
        <f>D27+D16+D27*D16</f>
        <v>0.15439999999999998</v>
      </c>
      <c r="C164" s="142"/>
      <c r="D164" s="142"/>
      <c r="E164" s="142"/>
      <c r="F164" s="142"/>
      <c r="G164" s="142"/>
      <c r="H164" s="142"/>
      <c r="I164" s="142"/>
      <c r="J164" s="142"/>
      <c r="K164" s="142"/>
      <c r="L164" s="61"/>
    </row>
    <row r="165" spans="1:12" ht="15.75" x14ac:dyDescent="0.25">
      <c r="A165" s="143" t="s">
        <v>215</v>
      </c>
      <c r="B165" s="144"/>
      <c r="C165" s="144"/>
      <c r="D165" s="144"/>
      <c r="E165" s="144"/>
      <c r="F165" s="144"/>
      <c r="G165" s="144"/>
      <c r="H165" s="144"/>
      <c r="I165" s="144"/>
      <c r="J165" s="144"/>
      <c r="K165" s="144"/>
      <c r="L165" s="145"/>
    </row>
    <row r="166" spans="1:12" ht="15.75" x14ac:dyDescent="0.25">
      <c r="A166" s="52" t="s">
        <v>65</v>
      </c>
      <c r="B166" s="53">
        <v>0</v>
      </c>
      <c r="C166" s="53">
        <f>B166+1</f>
        <v>1</v>
      </c>
      <c r="D166" s="53">
        <f t="shared" ref="D166:L166" si="78">C166+1</f>
        <v>2</v>
      </c>
      <c r="E166" s="53">
        <f t="shared" si="78"/>
        <v>3</v>
      </c>
      <c r="F166" s="53">
        <f t="shared" si="78"/>
        <v>4</v>
      </c>
      <c r="G166" s="53">
        <f t="shared" si="78"/>
        <v>5</v>
      </c>
      <c r="H166" s="53">
        <f t="shared" si="78"/>
        <v>6</v>
      </c>
      <c r="I166" s="53">
        <f t="shared" si="78"/>
        <v>7</v>
      </c>
      <c r="J166" s="53">
        <f t="shared" si="78"/>
        <v>8</v>
      </c>
      <c r="K166" s="53">
        <f t="shared" si="78"/>
        <v>9</v>
      </c>
      <c r="L166" s="54">
        <f t="shared" si="78"/>
        <v>10</v>
      </c>
    </row>
    <row r="167" spans="1:12" x14ac:dyDescent="0.2">
      <c r="A167" s="64" t="s">
        <v>214</v>
      </c>
      <c r="B167" s="70">
        <f>B55</f>
        <v>84</v>
      </c>
      <c r="C167" s="70">
        <f t="shared" ref="C167:L167" si="79">C55</f>
        <v>69.24669884181111</v>
      </c>
      <c r="D167" s="70">
        <f t="shared" si="79"/>
        <v>53.534433108339954</v>
      </c>
      <c r="E167" s="70">
        <f t="shared" si="79"/>
        <v>36.800870102193166</v>
      </c>
      <c r="F167" s="70">
        <f t="shared" si="79"/>
        <v>18.97962550064684</v>
      </c>
      <c r="G167" s="70">
        <f t="shared" si="79"/>
        <v>0</v>
      </c>
      <c r="H167" s="70">
        <f t="shared" si="79"/>
        <v>0</v>
      </c>
      <c r="I167" s="70">
        <f t="shared" si="79"/>
        <v>0</v>
      </c>
      <c r="J167" s="70">
        <f t="shared" si="79"/>
        <v>0</v>
      </c>
      <c r="K167" s="70">
        <f t="shared" si="79"/>
        <v>0</v>
      </c>
      <c r="L167" s="71">
        <f t="shared" si="79"/>
        <v>0</v>
      </c>
    </row>
    <row r="168" spans="1:12" x14ac:dyDescent="0.2">
      <c r="A168" s="64" t="s">
        <v>213</v>
      </c>
      <c r="B168" s="70">
        <f>ABS($B$161)</f>
        <v>37</v>
      </c>
      <c r="C168" s="70">
        <f t="shared" ref="C168:L168" si="80">ABS($B$161)</f>
        <v>37</v>
      </c>
      <c r="D168" s="70">
        <f t="shared" si="80"/>
        <v>37</v>
      </c>
      <c r="E168" s="70">
        <f t="shared" si="80"/>
        <v>37</v>
      </c>
      <c r="F168" s="70">
        <f t="shared" si="80"/>
        <v>37</v>
      </c>
      <c r="G168" s="70">
        <f t="shared" si="80"/>
        <v>37</v>
      </c>
      <c r="H168" s="70">
        <f t="shared" si="80"/>
        <v>37</v>
      </c>
      <c r="I168" s="70">
        <f t="shared" si="80"/>
        <v>37</v>
      </c>
      <c r="J168" s="70">
        <f t="shared" si="80"/>
        <v>37</v>
      </c>
      <c r="K168" s="70">
        <f t="shared" si="80"/>
        <v>37</v>
      </c>
      <c r="L168" s="71">
        <f t="shared" si="80"/>
        <v>37</v>
      </c>
    </row>
    <row r="169" spans="1:12" x14ac:dyDescent="0.2">
      <c r="A169" s="64" t="s">
        <v>126</v>
      </c>
      <c r="B169" s="70">
        <f>B167/(B167+B168)</f>
        <v>0.69421487603305787</v>
      </c>
      <c r="C169" s="70">
        <f t="shared" ref="C169:L169" si="81">C167/(C167+C168)</f>
        <v>0.65175388597166051</v>
      </c>
      <c r="D169" s="70">
        <f t="shared" si="81"/>
        <v>0.59131571569324171</v>
      </c>
      <c r="E169" s="70">
        <f t="shared" si="81"/>
        <v>0.49865089735709694</v>
      </c>
      <c r="F169" s="70">
        <f t="shared" si="81"/>
        <v>0.33904523888655763</v>
      </c>
      <c r="G169" s="70">
        <f t="shared" si="81"/>
        <v>0</v>
      </c>
      <c r="H169" s="70">
        <f t="shared" si="81"/>
        <v>0</v>
      </c>
      <c r="I169" s="70">
        <f t="shared" si="81"/>
        <v>0</v>
      </c>
      <c r="J169" s="70">
        <f t="shared" si="81"/>
        <v>0</v>
      </c>
      <c r="K169" s="70">
        <f t="shared" si="81"/>
        <v>0</v>
      </c>
      <c r="L169" s="71">
        <f t="shared" si="81"/>
        <v>0</v>
      </c>
    </row>
    <row r="170" spans="1:12" x14ac:dyDescent="0.2">
      <c r="A170" s="64" t="s">
        <v>127</v>
      </c>
      <c r="B170" s="70">
        <f>B168/(B167+B168)</f>
        <v>0.30578512396694213</v>
      </c>
      <c r="C170" s="70">
        <f t="shared" ref="C170:L170" si="82">C168/(C167+C168)</f>
        <v>0.34824611402833949</v>
      </c>
      <c r="D170" s="70">
        <f t="shared" si="82"/>
        <v>0.40868428430675835</v>
      </c>
      <c r="E170" s="70">
        <f t="shared" si="82"/>
        <v>0.50134910264290311</v>
      </c>
      <c r="F170" s="70">
        <f t="shared" si="82"/>
        <v>0.66095476111344242</v>
      </c>
      <c r="G170" s="70">
        <f t="shared" si="82"/>
        <v>1</v>
      </c>
      <c r="H170" s="70">
        <f t="shared" si="82"/>
        <v>1</v>
      </c>
      <c r="I170" s="70">
        <f t="shared" si="82"/>
        <v>1</v>
      </c>
      <c r="J170" s="70">
        <f t="shared" si="82"/>
        <v>1</v>
      </c>
      <c r="K170" s="70">
        <f t="shared" si="82"/>
        <v>1</v>
      </c>
      <c r="L170" s="71">
        <f t="shared" si="82"/>
        <v>1</v>
      </c>
    </row>
    <row r="171" spans="1:12" x14ac:dyDescent="0.2">
      <c r="A171" s="64" t="s">
        <v>125</v>
      </c>
      <c r="B171" s="70">
        <f>B169*$D$23+B170*$B$164</f>
        <v>9.2337190082644627E-2</v>
      </c>
      <c r="C171" s="70">
        <f t="shared" ref="C171:L171" si="83">C169*$D$23+C170*$B$164</f>
        <v>9.6133202594133549E-2</v>
      </c>
      <c r="D171" s="70">
        <f t="shared" si="83"/>
        <v>0.1015363750170242</v>
      </c>
      <c r="E171" s="70">
        <f t="shared" si="83"/>
        <v>0.10982060977627553</v>
      </c>
      <c r="F171" s="70">
        <f t="shared" si="83"/>
        <v>0.12408935564354173</v>
      </c>
      <c r="G171" s="70">
        <f t="shared" si="83"/>
        <v>0.15439999999999998</v>
      </c>
      <c r="H171" s="70">
        <f t="shared" si="83"/>
        <v>0.15439999999999998</v>
      </c>
      <c r="I171" s="70">
        <f t="shared" si="83"/>
        <v>0.15439999999999998</v>
      </c>
      <c r="J171" s="70">
        <f t="shared" si="83"/>
        <v>0.15439999999999998</v>
      </c>
      <c r="K171" s="70">
        <f t="shared" si="83"/>
        <v>0.15439999999999998</v>
      </c>
      <c r="L171" s="71">
        <f t="shared" si="83"/>
        <v>0.15439999999999998</v>
      </c>
    </row>
    <row r="172" spans="1:12" ht="15.75" x14ac:dyDescent="0.25">
      <c r="A172" s="146" t="s">
        <v>216</v>
      </c>
      <c r="B172" s="147">
        <f>AVERAGE(B171:L171)</f>
        <v>0.13184697573760176</v>
      </c>
      <c r="C172" s="148"/>
      <c r="D172" s="148"/>
      <c r="E172" s="148"/>
      <c r="F172" s="148"/>
      <c r="G172" s="148"/>
      <c r="H172" s="148"/>
      <c r="I172" s="148"/>
      <c r="J172" s="148"/>
      <c r="K172" s="148"/>
      <c r="L172" s="149"/>
    </row>
    <row r="174" spans="1:12" ht="15.75" x14ac:dyDescent="0.25">
      <c r="A174" s="100" t="s">
        <v>129</v>
      </c>
      <c r="B174" s="101"/>
      <c r="C174" s="101"/>
      <c r="D174" s="101"/>
      <c r="E174" s="101"/>
      <c r="F174" s="101"/>
      <c r="G174" s="101"/>
      <c r="H174" s="101"/>
      <c r="I174" s="101"/>
      <c r="J174" s="101"/>
      <c r="K174" s="101"/>
      <c r="L174" s="102"/>
    </row>
    <row r="175" spans="1:12" x14ac:dyDescent="0.2">
      <c r="A175" s="64" t="s">
        <v>228</v>
      </c>
      <c r="B175" s="150">
        <f>NPV(B172,C157:L157)+B157</f>
        <v>544.9740140505711</v>
      </c>
      <c r="C175" s="62"/>
      <c r="D175" s="62"/>
      <c r="E175" s="62"/>
      <c r="F175" s="62"/>
      <c r="G175" s="62"/>
      <c r="H175" s="62"/>
      <c r="I175" s="62"/>
      <c r="J175" s="62"/>
      <c r="K175" s="62"/>
      <c r="L175" s="63"/>
    </row>
    <row r="176" spans="1:12" x14ac:dyDescent="0.2">
      <c r="A176" s="64" t="s">
        <v>131</v>
      </c>
      <c r="B176" s="151">
        <f>IRR(B157:L157)</f>
        <v>0.2600743134525656</v>
      </c>
      <c r="C176" s="62"/>
      <c r="D176" s="62"/>
      <c r="E176" s="62"/>
      <c r="F176" s="62"/>
      <c r="G176" s="62"/>
      <c r="H176" s="62"/>
      <c r="I176" s="62"/>
      <c r="J176" s="62"/>
      <c r="K176" s="62"/>
      <c r="L176" s="63"/>
    </row>
    <row r="177" spans="1:12" x14ac:dyDescent="0.2">
      <c r="A177" s="64" t="s">
        <v>132</v>
      </c>
      <c r="B177" s="70">
        <f>ABS(NPV(B172,C153:L153)/B153)</f>
        <v>5.5039174714923229</v>
      </c>
      <c r="C177" s="62" t="s">
        <v>133</v>
      </c>
      <c r="D177" s="62"/>
      <c r="E177" s="62"/>
      <c r="F177" s="62"/>
      <c r="G177" s="62"/>
      <c r="H177" s="62"/>
      <c r="I177" s="62"/>
      <c r="J177" s="62"/>
      <c r="K177" s="62"/>
      <c r="L177" s="63"/>
    </row>
    <row r="178" spans="1:12" ht="15.75" x14ac:dyDescent="0.25">
      <c r="A178" s="152" t="s">
        <v>134</v>
      </c>
      <c r="B178" s="153"/>
      <c r="C178" s="153"/>
      <c r="D178" s="153"/>
      <c r="E178" s="153"/>
      <c r="F178" s="153"/>
      <c r="G178" s="153"/>
      <c r="H178" s="153"/>
      <c r="I178" s="153"/>
      <c r="J178" s="153"/>
      <c r="K178" s="153"/>
      <c r="L178" s="154"/>
    </row>
    <row r="179" spans="1:12" ht="15.75" x14ac:dyDescent="0.25">
      <c r="A179" s="52" t="s">
        <v>65</v>
      </c>
      <c r="B179" s="53">
        <v>0</v>
      </c>
      <c r="C179" s="53">
        <f>B179+1</f>
        <v>1</v>
      </c>
      <c r="D179" s="53">
        <f t="shared" ref="D179:L179" si="84">C179+1</f>
        <v>2</v>
      </c>
      <c r="E179" s="53">
        <f t="shared" si="84"/>
        <v>3</v>
      </c>
      <c r="F179" s="53">
        <f t="shared" si="84"/>
        <v>4</v>
      </c>
      <c r="G179" s="53">
        <f t="shared" si="84"/>
        <v>5</v>
      </c>
      <c r="H179" s="53">
        <f t="shared" si="84"/>
        <v>6</v>
      </c>
      <c r="I179" s="53">
        <f t="shared" si="84"/>
        <v>7</v>
      </c>
      <c r="J179" s="53">
        <f t="shared" si="84"/>
        <v>8</v>
      </c>
      <c r="K179" s="53">
        <f t="shared" si="84"/>
        <v>9</v>
      </c>
      <c r="L179" s="54">
        <f t="shared" si="84"/>
        <v>10</v>
      </c>
    </row>
    <row r="180" spans="1:12" ht="15.75" x14ac:dyDescent="0.25">
      <c r="A180" s="52" t="s">
        <v>219</v>
      </c>
      <c r="B180" s="70">
        <f>B157</f>
        <v>-121</v>
      </c>
      <c r="C180" s="70">
        <f t="shared" ref="C180:L180" si="85">C157</f>
        <v>-240.45054591999974</v>
      </c>
      <c r="D180" s="70">
        <f t="shared" si="85"/>
        <v>-252.81575267020844</v>
      </c>
      <c r="E180" s="70">
        <f t="shared" si="85"/>
        <v>-207.09325249435688</v>
      </c>
      <c r="F180" s="70">
        <f t="shared" si="85"/>
        <v>119.82953352615732</v>
      </c>
      <c r="G180" s="70">
        <f t="shared" si="85"/>
        <v>207.9016702800709</v>
      </c>
      <c r="H180" s="70">
        <f t="shared" si="85"/>
        <v>322.88263779313525</v>
      </c>
      <c r="I180" s="70">
        <f t="shared" si="85"/>
        <v>717.01244960733175</v>
      </c>
      <c r="J180" s="70">
        <f t="shared" si="85"/>
        <v>888.20228805056263</v>
      </c>
      <c r="K180" s="70">
        <f t="shared" si="85"/>
        <v>1092.7459212904712</v>
      </c>
      <c r="L180" s="71">
        <f t="shared" si="85"/>
        <v>-377.67535658216559</v>
      </c>
    </row>
    <row r="181" spans="1:12" x14ac:dyDescent="0.2">
      <c r="A181" s="64" t="s">
        <v>221</v>
      </c>
      <c r="B181" s="70">
        <f>B180</f>
        <v>-121</v>
      </c>
      <c r="C181" s="70">
        <f>B181+C180</f>
        <v>-361.45054591999974</v>
      </c>
      <c r="D181" s="70">
        <f t="shared" ref="D181:L181" si="86">C181+D180</f>
        <v>-614.26629859020818</v>
      </c>
      <c r="E181" s="70">
        <f t="shared" si="86"/>
        <v>-821.35955108456506</v>
      </c>
      <c r="F181" s="70">
        <f t="shared" si="86"/>
        <v>-701.53001755840774</v>
      </c>
      <c r="G181" s="70">
        <f t="shared" si="86"/>
        <v>-493.62834727833683</v>
      </c>
      <c r="H181" s="70">
        <f t="shared" si="86"/>
        <v>-170.74570948520159</v>
      </c>
      <c r="I181" s="70">
        <f t="shared" si="86"/>
        <v>546.26674012213016</v>
      </c>
      <c r="J181" s="70">
        <f t="shared" si="86"/>
        <v>1434.4690281726928</v>
      </c>
      <c r="K181" s="70">
        <f t="shared" si="86"/>
        <v>2527.214949463164</v>
      </c>
      <c r="L181" s="71">
        <f t="shared" si="86"/>
        <v>2149.5395928809985</v>
      </c>
    </row>
    <row r="182" spans="1:12" x14ac:dyDescent="0.2">
      <c r="A182" s="64" t="s">
        <v>134</v>
      </c>
      <c r="B182" s="62">
        <f>IF(AND(B181&lt;0,C181&gt;0),C179-1+ABS(B181)/C180,0)</f>
        <v>0</v>
      </c>
      <c r="C182" s="62">
        <f t="shared" ref="C182:L182" si="87">IF(AND(C181&lt;0,D181&gt;0),D179-1+ABS(C181)/D180,0)</f>
        <v>0</v>
      </c>
      <c r="D182" s="62">
        <f t="shared" si="87"/>
        <v>0</v>
      </c>
      <c r="E182" s="62">
        <f t="shared" si="87"/>
        <v>0</v>
      </c>
      <c r="F182" s="62">
        <f t="shared" si="87"/>
        <v>0</v>
      </c>
      <c r="G182" s="62">
        <f t="shared" si="87"/>
        <v>0</v>
      </c>
      <c r="H182" s="70">
        <f t="shared" si="87"/>
        <v>6.2381349299844233</v>
      </c>
      <c r="I182" s="62">
        <f t="shared" si="87"/>
        <v>0</v>
      </c>
      <c r="J182" s="62">
        <f t="shared" si="87"/>
        <v>0</v>
      </c>
      <c r="K182" s="62">
        <f t="shared" si="87"/>
        <v>0</v>
      </c>
      <c r="L182" s="63">
        <f t="shared" si="87"/>
        <v>0</v>
      </c>
    </row>
    <row r="183" spans="1:12" x14ac:dyDescent="0.2">
      <c r="A183" s="64"/>
      <c r="B183" s="62"/>
      <c r="C183" s="62"/>
      <c r="D183" s="62"/>
      <c r="E183" s="62"/>
      <c r="F183" s="62"/>
      <c r="G183" s="62"/>
      <c r="H183" s="62">
        <f>INT(H182)</f>
        <v>6</v>
      </c>
      <c r="I183" s="62" t="s">
        <v>21</v>
      </c>
      <c r="J183" s="62"/>
      <c r="K183" s="62"/>
      <c r="L183" s="63"/>
    </row>
    <row r="184" spans="1:12" x14ac:dyDescent="0.2">
      <c r="A184" s="64"/>
      <c r="B184" s="62"/>
      <c r="C184" s="62"/>
      <c r="D184" s="62"/>
      <c r="E184" s="62"/>
      <c r="F184" s="62"/>
      <c r="G184" s="62"/>
      <c r="H184" s="155">
        <f>(H182-H183)*D32</f>
        <v>2.8576191598130798</v>
      </c>
      <c r="I184" s="62" t="s">
        <v>135</v>
      </c>
      <c r="J184" s="62"/>
      <c r="K184" s="62"/>
      <c r="L184" s="63"/>
    </row>
    <row r="185" spans="1:12" ht="15.75" x14ac:dyDescent="0.25">
      <c r="A185" s="103" t="s">
        <v>134</v>
      </c>
      <c r="B185" s="104" t="s">
        <v>136</v>
      </c>
      <c r="C185" s="62"/>
      <c r="D185" s="62"/>
      <c r="E185" s="62"/>
      <c r="F185" s="62"/>
      <c r="G185" s="62"/>
      <c r="H185" s="62"/>
      <c r="I185" s="62"/>
      <c r="J185" s="62"/>
      <c r="K185" s="62"/>
      <c r="L185" s="63"/>
    </row>
    <row r="186" spans="1:12" x14ac:dyDescent="0.2">
      <c r="A186" s="64"/>
      <c r="B186" s="62"/>
      <c r="C186" s="62"/>
      <c r="D186" s="62"/>
      <c r="E186" s="62"/>
      <c r="F186" s="62"/>
      <c r="G186" s="62"/>
      <c r="H186" s="62"/>
      <c r="I186" s="62"/>
      <c r="J186" s="62"/>
      <c r="K186" s="62"/>
      <c r="L186" s="63"/>
    </row>
    <row r="187" spans="1:12" ht="15.75" x14ac:dyDescent="0.25">
      <c r="A187" s="152" t="s">
        <v>137</v>
      </c>
      <c r="B187" s="153"/>
      <c r="C187" s="153"/>
      <c r="D187" s="153"/>
      <c r="E187" s="153"/>
      <c r="F187" s="153"/>
      <c r="G187" s="153"/>
      <c r="H187" s="153"/>
      <c r="I187" s="153"/>
      <c r="J187" s="153"/>
      <c r="K187" s="153"/>
      <c r="L187" s="154"/>
    </row>
    <row r="188" spans="1:12" ht="15.75" x14ac:dyDescent="0.25">
      <c r="A188" s="52" t="s">
        <v>65</v>
      </c>
      <c r="B188" s="53">
        <v>0</v>
      </c>
      <c r="C188" s="53">
        <f>B188+1</f>
        <v>1</v>
      </c>
      <c r="D188" s="53">
        <f t="shared" ref="D188:L188" si="88">C188+1</f>
        <v>2</v>
      </c>
      <c r="E188" s="53">
        <f t="shared" si="88"/>
        <v>3</v>
      </c>
      <c r="F188" s="53">
        <f t="shared" si="88"/>
        <v>4</v>
      </c>
      <c r="G188" s="53">
        <f t="shared" si="88"/>
        <v>5</v>
      </c>
      <c r="H188" s="53">
        <f t="shared" si="88"/>
        <v>6</v>
      </c>
      <c r="I188" s="53">
        <f t="shared" si="88"/>
        <v>7</v>
      </c>
      <c r="J188" s="53">
        <f t="shared" si="88"/>
        <v>8</v>
      </c>
      <c r="K188" s="53">
        <f t="shared" si="88"/>
        <v>9</v>
      </c>
      <c r="L188" s="54">
        <f t="shared" si="88"/>
        <v>10</v>
      </c>
    </row>
    <row r="189" spans="1:12" x14ac:dyDescent="0.2">
      <c r="A189" s="64" t="s">
        <v>138</v>
      </c>
      <c r="B189" s="70">
        <f>(1+$B$172)^(-B188)</f>
        <v>1</v>
      </c>
      <c r="C189" s="70">
        <f t="shared" ref="C189:L189" si="89">(1+$B$172)^(-C188)</f>
        <v>0.88351165964667644</v>
      </c>
      <c r="D189" s="70">
        <f t="shared" si="89"/>
        <v>0.7805928527316246</v>
      </c>
      <c r="E189" s="70">
        <f t="shared" si="89"/>
        <v>0.68966288682525134</v>
      </c>
      <c r="F189" s="70">
        <f t="shared" si="89"/>
        <v>0.60932520173569582</v>
      </c>
      <c r="G189" s="70">
        <f t="shared" si="89"/>
        <v>0.53834592025005046</v>
      </c>
      <c r="H189" s="70">
        <f t="shared" si="89"/>
        <v>0.47563489746413939</v>
      </c>
      <c r="I189" s="70">
        <f t="shared" si="89"/>
        <v>0.42022897764441863</v>
      </c>
      <c r="J189" s="70">
        <f t="shared" si="89"/>
        <v>0.37127720147024634</v>
      </c>
      <c r="K189" s="70">
        <f t="shared" si="89"/>
        <v>0.32802773645995076</v>
      </c>
      <c r="L189" s="71">
        <f t="shared" si="89"/>
        <v>0.28981632984987371</v>
      </c>
    </row>
    <row r="190" spans="1:12" x14ac:dyDescent="0.2">
      <c r="A190" s="64" t="s">
        <v>220</v>
      </c>
      <c r="B190" s="70">
        <f>B180*B189</f>
        <v>-121</v>
      </c>
      <c r="C190" s="70">
        <f t="shared" ref="C190:L190" si="90">C180*C189</f>
        <v>-212.44086088872837</v>
      </c>
      <c r="D190" s="70">
        <f t="shared" si="90"/>
        <v>-197.34616959233085</v>
      </c>
      <c r="E190" s="70">
        <f t="shared" si="90"/>
        <v>-142.82453035728884</v>
      </c>
      <c r="F190" s="70">
        <f t="shared" si="90"/>
        <v>73.015154689720134</v>
      </c>
      <c r="G190" s="70">
        <f t="shared" si="90"/>
        <v>111.92301600844733</v>
      </c>
      <c r="H190" s="70">
        <f t="shared" si="90"/>
        <v>153.57425031968873</v>
      </c>
      <c r="I190" s="70">
        <f t="shared" si="90"/>
        <v>301.30940865680924</v>
      </c>
      <c r="J190" s="70">
        <f t="shared" si="90"/>
        <v>329.76925984688251</v>
      </c>
      <c r="K190" s="70">
        <f t="shared" si="90"/>
        <v>358.45097108675679</v>
      </c>
      <c r="L190" s="71">
        <f t="shared" si="90"/>
        <v>-109.45648571938557</v>
      </c>
    </row>
    <row r="191" spans="1:12" x14ac:dyDescent="0.2">
      <c r="A191" s="64" t="s">
        <v>222</v>
      </c>
      <c r="B191" s="70">
        <f>B190</f>
        <v>-121</v>
      </c>
      <c r="C191" s="70">
        <f>B191+C190</f>
        <v>-333.44086088872837</v>
      </c>
      <c r="D191" s="70">
        <f t="shared" ref="D191:L191" si="91">C191+D190</f>
        <v>-530.78703048105922</v>
      </c>
      <c r="E191" s="70">
        <f t="shared" si="91"/>
        <v>-673.61156083834805</v>
      </c>
      <c r="F191" s="70">
        <f t="shared" si="91"/>
        <v>-600.59640614862792</v>
      </c>
      <c r="G191" s="70">
        <f t="shared" si="91"/>
        <v>-488.67339014018057</v>
      </c>
      <c r="H191" s="70">
        <f t="shared" si="91"/>
        <v>-335.09913982049181</v>
      </c>
      <c r="I191" s="70">
        <f t="shared" si="91"/>
        <v>-33.789731163682575</v>
      </c>
      <c r="J191" s="70">
        <f t="shared" si="91"/>
        <v>295.97952868319993</v>
      </c>
      <c r="K191" s="70">
        <f t="shared" si="91"/>
        <v>654.43049976995667</v>
      </c>
      <c r="L191" s="71">
        <f t="shared" si="91"/>
        <v>544.9740140505711</v>
      </c>
    </row>
    <row r="192" spans="1:12" x14ac:dyDescent="0.2">
      <c r="A192" s="64" t="s">
        <v>137</v>
      </c>
      <c r="B192" s="62">
        <f>IF(AND(B191&lt;0,C191&gt;0),C188-1+ABS(B191)/C190,0)</f>
        <v>0</v>
      </c>
      <c r="C192" s="62">
        <f t="shared" ref="C192:L192" si="92">IF(AND(C191&lt;0,D191&gt;0),D188-1+ABS(C191)/D190,0)</f>
        <v>0</v>
      </c>
      <c r="D192" s="62">
        <f t="shared" si="92"/>
        <v>0</v>
      </c>
      <c r="E192" s="62">
        <f t="shared" si="92"/>
        <v>0</v>
      </c>
      <c r="F192" s="62">
        <f t="shared" si="92"/>
        <v>0</v>
      </c>
      <c r="G192" s="62">
        <f t="shared" si="92"/>
        <v>0</v>
      </c>
      <c r="H192" s="62">
        <f t="shared" si="92"/>
        <v>0</v>
      </c>
      <c r="I192" s="70">
        <f t="shared" si="92"/>
        <v>7.1024647693947331</v>
      </c>
      <c r="J192" s="62">
        <f t="shared" si="92"/>
        <v>0</v>
      </c>
      <c r="K192" s="62">
        <f t="shared" si="92"/>
        <v>0</v>
      </c>
      <c r="L192" s="63">
        <f t="shared" si="92"/>
        <v>0</v>
      </c>
    </row>
    <row r="193" spans="1:32" x14ac:dyDescent="0.2">
      <c r="A193" s="64"/>
      <c r="B193" s="62"/>
      <c r="C193" s="62"/>
      <c r="D193" s="62"/>
      <c r="E193" s="62"/>
      <c r="F193" s="62"/>
      <c r="G193" s="62"/>
      <c r="H193" s="62"/>
      <c r="I193" s="155">
        <f>INT(I192)</f>
        <v>7</v>
      </c>
      <c r="J193" s="62" t="s">
        <v>21</v>
      </c>
      <c r="K193" s="62"/>
      <c r="L193" s="63"/>
    </row>
    <row r="194" spans="1:32" x14ac:dyDescent="0.2">
      <c r="A194" s="64"/>
      <c r="B194" s="62"/>
      <c r="C194" s="62"/>
      <c r="D194" s="62"/>
      <c r="E194" s="62"/>
      <c r="F194" s="62"/>
      <c r="G194" s="62"/>
      <c r="H194" s="62"/>
      <c r="I194" s="155">
        <f>(I192-I193)*12</f>
        <v>1.2295772327367978</v>
      </c>
      <c r="J194" s="62" t="s">
        <v>139</v>
      </c>
      <c r="K194" s="62"/>
      <c r="L194" s="63"/>
    </row>
    <row r="195" spans="1:32" ht="15.75" x14ac:dyDescent="0.25">
      <c r="A195" s="132" t="s">
        <v>137</v>
      </c>
      <c r="B195" s="156" t="s">
        <v>140</v>
      </c>
      <c r="C195" s="56"/>
      <c r="D195" s="56"/>
      <c r="E195" s="56"/>
      <c r="F195" s="56"/>
      <c r="G195" s="56"/>
      <c r="H195" s="56"/>
      <c r="I195" s="56"/>
      <c r="J195" s="56"/>
      <c r="K195" s="56"/>
      <c r="L195" s="66"/>
    </row>
    <row r="197" spans="1:32" ht="15.75" x14ac:dyDescent="0.25">
      <c r="A197" s="107" t="s">
        <v>130</v>
      </c>
      <c r="B197" s="108"/>
      <c r="C197" s="108"/>
      <c r="D197" s="108"/>
      <c r="E197" s="108"/>
      <c r="F197" s="108"/>
      <c r="G197" s="109"/>
      <c r="H197" s="4"/>
      <c r="I197" s="4"/>
      <c r="J197" s="4"/>
      <c r="K197" s="4"/>
      <c r="L197" s="4"/>
    </row>
    <row r="198" spans="1:32" ht="15.75" x14ac:dyDescent="0.25">
      <c r="A198" s="52" t="s">
        <v>65</v>
      </c>
      <c r="B198" s="53">
        <v>0</v>
      </c>
      <c r="C198" s="53">
        <f>B198+1</f>
        <v>1</v>
      </c>
      <c r="D198" s="53">
        <f t="shared" ref="D198:G198" si="93">C198+1</f>
        <v>2</v>
      </c>
      <c r="E198" s="53">
        <f t="shared" si="93"/>
        <v>3</v>
      </c>
      <c r="F198" s="53">
        <f t="shared" si="93"/>
        <v>4</v>
      </c>
      <c r="G198" s="54">
        <f t="shared" si="93"/>
        <v>5</v>
      </c>
      <c r="H198" s="1"/>
      <c r="I198" s="1"/>
      <c r="J198" s="1"/>
      <c r="K198" s="1"/>
      <c r="L198" s="1"/>
    </row>
    <row r="199" spans="1:32" ht="15.75" x14ac:dyDescent="0.25">
      <c r="A199" s="99" t="s">
        <v>130</v>
      </c>
      <c r="B199" s="56"/>
      <c r="C199" s="117">
        <f>C153/C160</f>
        <v>-11.895659399631889</v>
      </c>
      <c r="D199" s="117">
        <f t="shared" ref="D199:G199" si="94">D153/D160</f>
        <v>-12.50739553582453</v>
      </c>
      <c r="E199" s="117">
        <f t="shared" si="94"/>
        <v>-10.245394894859048</v>
      </c>
      <c r="F199" s="57">
        <f t="shared" si="94"/>
        <v>5.9282515304340357</v>
      </c>
      <c r="G199" s="58">
        <f t="shared" si="94"/>
        <v>10.285389242115212</v>
      </c>
    </row>
    <row r="200" spans="1:32" ht="15.75" x14ac:dyDescent="0.25">
      <c r="A200" s="1"/>
      <c r="C200" s="48"/>
      <c r="D200" s="48"/>
      <c r="E200" s="48"/>
      <c r="F200" s="39"/>
      <c r="G200" s="39"/>
    </row>
    <row r="201" spans="1:32" ht="15.75" x14ac:dyDescent="0.25">
      <c r="A201" s="157" t="s">
        <v>229</v>
      </c>
      <c r="B201" s="158"/>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c r="Y201" s="158"/>
      <c r="Z201" s="158"/>
      <c r="AA201" s="158"/>
      <c r="AB201" s="158"/>
      <c r="AC201" s="158"/>
      <c r="AD201" s="158"/>
      <c r="AE201" s="158"/>
      <c r="AF201" s="159"/>
    </row>
    <row r="202" spans="1:32" x14ac:dyDescent="0.2">
      <c r="A202" s="160" t="s">
        <v>172</v>
      </c>
      <c r="B202" s="161">
        <v>0</v>
      </c>
      <c r="C202" s="161">
        <v>1</v>
      </c>
      <c r="D202" s="161">
        <v>2</v>
      </c>
      <c r="E202" s="161">
        <v>3</v>
      </c>
      <c r="F202" s="161">
        <v>4</v>
      </c>
      <c r="G202" s="161">
        <v>5</v>
      </c>
      <c r="H202" s="161">
        <v>6</v>
      </c>
      <c r="I202" s="161">
        <v>7</v>
      </c>
      <c r="J202" s="161">
        <v>8</v>
      </c>
      <c r="K202" s="161">
        <v>9</v>
      </c>
      <c r="L202" s="161">
        <v>10</v>
      </c>
      <c r="M202" s="161">
        <v>11</v>
      </c>
      <c r="N202" s="161">
        <v>12</v>
      </c>
      <c r="O202" s="161">
        <v>13</v>
      </c>
      <c r="P202" s="161">
        <v>14</v>
      </c>
      <c r="Q202" s="161">
        <v>15</v>
      </c>
      <c r="R202" s="161">
        <v>16</v>
      </c>
      <c r="S202" s="161">
        <v>17</v>
      </c>
      <c r="T202" s="161">
        <v>18</v>
      </c>
      <c r="U202" s="161">
        <v>19</v>
      </c>
      <c r="V202" s="161">
        <v>20</v>
      </c>
      <c r="W202" s="161">
        <v>21</v>
      </c>
      <c r="X202" s="161">
        <v>22</v>
      </c>
      <c r="Y202" s="161">
        <v>23</v>
      </c>
      <c r="Z202" s="161">
        <v>24</v>
      </c>
      <c r="AA202" s="161">
        <v>25</v>
      </c>
      <c r="AB202" s="161">
        <v>26</v>
      </c>
      <c r="AC202" s="161">
        <v>27</v>
      </c>
      <c r="AD202" s="161">
        <v>28</v>
      </c>
      <c r="AE202" s="161">
        <v>29</v>
      </c>
      <c r="AF202" s="162">
        <v>30</v>
      </c>
    </row>
    <row r="203" spans="1:32" x14ac:dyDescent="0.2">
      <c r="A203" s="160" t="s">
        <v>173</v>
      </c>
      <c r="B203" s="161">
        <v>6.6000000000000003E-2</v>
      </c>
      <c r="C203" s="161">
        <v>0.08</v>
      </c>
      <c r="D203" s="161">
        <v>6.3E-2</v>
      </c>
      <c r="E203" s="161">
        <v>5.5E-2</v>
      </c>
      <c r="F203" s="161">
        <v>7.1999999999999995E-2</v>
      </c>
      <c r="G203" s="161">
        <v>4.5999999999999999E-2</v>
      </c>
      <c r="H203" s="161">
        <v>6.7000000000000004E-2</v>
      </c>
      <c r="I203" s="161">
        <v>6.9000000000000006E-2</v>
      </c>
      <c r="J203" s="161">
        <v>6.8000000000000005E-2</v>
      </c>
      <c r="K203" s="161">
        <v>6.8000000000000005E-2</v>
      </c>
      <c r="L203" s="161">
        <v>6.8000000000000005E-2</v>
      </c>
      <c r="M203" s="161">
        <v>6.8000000000000005E-2</v>
      </c>
      <c r="N203" s="161">
        <v>6.9000000000000006E-2</v>
      </c>
      <c r="O203" s="161">
        <v>5.1999999999999998E-2</v>
      </c>
      <c r="P203" s="161">
        <v>5.8000000000000003E-2</v>
      </c>
      <c r="Q203" s="161">
        <v>6.3E-2</v>
      </c>
      <c r="R203" s="161">
        <v>6.2E-2</v>
      </c>
      <c r="S203" s="161">
        <v>7.2999999999999995E-2</v>
      </c>
      <c r="T203" s="161">
        <v>7.5999999999999998E-2</v>
      </c>
      <c r="U203" s="161">
        <v>7.0999999999999994E-2</v>
      </c>
      <c r="V203" s="161">
        <v>4.7E-2</v>
      </c>
      <c r="W203" s="161">
        <v>7.4999999999999997E-2</v>
      </c>
      <c r="X203" s="161">
        <v>7.5999999999999998E-2</v>
      </c>
      <c r="Y203" s="161">
        <v>7.0000000000000007E-2</v>
      </c>
      <c r="Z203" s="161">
        <v>0.1</v>
      </c>
      <c r="AA203" s="161">
        <v>5.5E-2</v>
      </c>
      <c r="AB203" s="161">
        <v>8.8999999999999996E-2</v>
      </c>
      <c r="AC203" s="161">
        <v>0.09</v>
      </c>
      <c r="AD203" s="161">
        <v>0.113</v>
      </c>
      <c r="AE203" s="161">
        <v>7.3999999999999996E-2</v>
      </c>
      <c r="AF203" s="162">
        <v>6.9000000000000006E-2</v>
      </c>
    </row>
    <row r="204" spans="1:32" x14ac:dyDescent="0.2">
      <c r="A204" s="160" t="s">
        <v>174</v>
      </c>
      <c r="B204" s="161">
        <v>9.5000000000000001E-2</v>
      </c>
      <c r="C204" s="161">
        <v>0.114</v>
      </c>
      <c r="D204" s="161">
        <v>8.2000000000000003E-2</v>
      </c>
      <c r="E204" s="161">
        <v>8.5000000000000006E-2</v>
      </c>
      <c r="F204" s="161">
        <v>0.11899999999999999</v>
      </c>
      <c r="G204" s="161">
        <v>0.123</v>
      </c>
      <c r="H204" s="161">
        <v>9.1999999999999998E-2</v>
      </c>
      <c r="I204" s="161">
        <v>8.5999999999999993E-2</v>
      </c>
      <c r="J204" s="161">
        <v>0.113</v>
      </c>
      <c r="K204" s="161">
        <v>8.1000000000000003E-2</v>
      </c>
      <c r="L204" s="161">
        <v>8.4000000000000005E-2</v>
      </c>
      <c r="M204" s="161">
        <v>0.09</v>
      </c>
      <c r="N204" s="161">
        <v>9.6000000000000002E-2</v>
      </c>
      <c r="O204" s="161">
        <v>9.8000000000000004E-2</v>
      </c>
      <c r="P204" s="161">
        <v>9.9000000000000005E-2</v>
      </c>
      <c r="Q204" s="161">
        <v>0.115</v>
      </c>
      <c r="R204" s="161">
        <v>0.08</v>
      </c>
      <c r="S204" s="161">
        <v>8.3000000000000004E-2</v>
      </c>
      <c r="T204" s="161">
        <v>9.1999999999999998E-2</v>
      </c>
      <c r="U204" s="161">
        <v>0.112</v>
      </c>
      <c r="V204" s="161">
        <v>0.12</v>
      </c>
      <c r="W204" s="161">
        <v>8.5999999999999993E-2</v>
      </c>
      <c r="X204" s="161">
        <v>7.9000000000000001E-2</v>
      </c>
      <c r="Y204" s="161">
        <v>7.4999999999999997E-2</v>
      </c>
      <c r="Z204" s="161">
        <v>9.8000000000000004E-2</v>
      </c>
      <c r="AA204" s="161">
        <v>9.9000000000000005E-2</v>
      </c>
      <c r="AB204" s="161">
        <v>0.122</v>
      </c>
      <c r="AC204" s="161">
        <v>0.11</v>
      </c>
      <c r="AD204" s="161">
        <v>8.8999999999999996E-2</v>
      </c>
      <c r="AE204" s="161">
        <v>8.5999999999999993E-2</v>
      </c>
      <c r="AF204" s="162">
        <v>9.2999999999999999E-2</v>
      </c>
    </row>
    <row r="205" spans="1:32" x14ac:dyDescent="0.2">
      <c r="A205" s="160" t="s">
        <v>193</v>
      </c>
      <c r="B205" s="161">
        <v>3.5999999999999997E-2</v>
      </c>
      <c r="C205" s="161">
        <v>0.04</v>
      </c>
      <c r="D205" s="161">
        <v>3.3000000000000002E-2</v>
      </c>
      <c r="E205" s="161">
        <v>2.5000000000000001E-2</v>
      </c>
      <c r="F205" s="161">
        <v>4.2000000000000003E-2</v>
      </c>
      <c r="G205" s="161">
        <v>2.5999999999999999E-2</v>
      </c>
      <c r="H205" s="161">
        <v>3.6999999999999998E-2</v>
      </c>
      <c r="I205" s="161">
        <v>3.9E-2</v>
      </c>
      <c r="J205" s="161">
        <v>3.7999999999999999E-2</v>
      </c>
      <c r="K205" s="161">
        <v>3.7999999999999999E-2</v>
      </c>
      <c r="L205" s="161">
        <v>3.7999999999999999E-2</v>
      </c>
      <c r="M205" s="161">
        <v>3.7999999999999999E-2</v>
      </c>
      <c r="N205" s="161">
        <v>3.9E-2</v>
      </c>
      <c r="O205" s="161">
        <v>2.1999999999999999E-2</v>
      </c>
      <c r="P205" s="161">
        <v>2.8000000000000001E-2</v>
      </c>
      <c r="Q205" s="161">
        <v>3.3000000000000002E-2</v>
      </c>
      <c r="R205" s="161">
        <v>3.2000000000000001E-2</v>
      </c>
      <c r="S205" s="161">
        <v>4.2999999999999997E-2</v>
      </c>
      <c r="T205" s="161">
        <v>4.5999999999999999E-2</v>
      </c>
      <c r="U205" s="161">
        <v>4.1000000000000002E-2</v>
      </c>
      <c r="V205" s="161">
        <v>2.7E-2</v>
      </c>
      <c r="W205" s="161">
        <v>4.4999999999999998E-2</v>
      </c>
      <c r="X205" s="161">
        <v>4.5999999999999999E-2</v>
      </c>
      <c r="Y205" s="161">
        <v>0.04</v>
      </c>
      <c r="Z205" s="161">
        <v>0.05</v>
      </c>
      <c r="AA205" s="161">
        <v>2.5000000000000001E-2</v>
      </c>
      <c r="AB205" s="161">
        <v>4.9000000000000002E-2</v>
      </c>
      <c r="AC205" s="161">
        <v>0.05</v>
      </c>
      <c r="AD205" s="161">
        <v>5.2999999999999999E-2</v>
      </c>
      <c r="AE205" s="161">
        <v>4.3999999999999997E-2</v>
      </c>
      <c r="AF205" s="162">
        <v>3.9E-2</v>
      </c>
    </row>
    <row r="206" spans="1:32" x14ac:dyDescent="0.2">
      <c r="A206" s="163" t="s">
        <v>194</v>
      </c>
      <c r="B206" s="164">
        <f>0.045</f>
        <v>4.4999999999999998E-2</v>
      </c>
      <c r="C206" s="164">
        <f>0.054</f>
        <v>5.3999999999999999E-2</v>
      </c>
      <c r="D206" s="164">
        <v>4.2000000000000003E-2</v>
      </c>
      <c r="E206" s="164">
        <v>4.4999999999999998E-2</v>
      </c>
      <c r="F206" s="164">
        <v>5.8999999999999997E-2</v>
      </c>
      <c r="G206" s="164">
        <v>6.2E-2</v>
      </c>
      <c r="H206" s="164">
        <v>4.4999999999999998E-2</v>
      </c>
      <c r="I206" s="164">
        <v>4.5999999999999999E-2</v>
      </c>
      <c r="J206" s="164">
        <v>5.2999999999999999E-2</v>
      </c>
      <c r="K206" s="164">
        <v>4.1000000000000002E-2</v>
      </c>
      <c r="L206" s="164">
        <v>3.9E-2</v>
      </c>
      <c r="M206" s="164">
        <v>4.4999999999999998E-2</v>
      </c>
      <c r="N206" s="164">
        <v>4.5999999999999999E-2</v>
      </c>
      <c r="O206" s="164">
        <v>4.8000000000000001E-2</v>
      </c>
      <c r="P206" s="164">
        <v>4.9000000000000002E-2</v>
      </c>
      <c r="Q206" s="164">
        <v>5.1999999999999998E-2</v>
      </c>
      <c r="R206" s="164">
        <v>0.04</v>
      </c>
      <c r="S206" s="164">
        <v>4.2999999999999997E-2</v>
      </c>
      <c r="T206" s="164">
        <v>5.1999999999999998E-2</v>
      </c>
      <c r="U206" s="164">
        <v>5.1999999999999998E-2</v>
      </c>
      <c r="V206" s="164">
        <v>0.06</v>
      </c>
      <c r="W206" s="164">
        <v>4.2000000000000003E-2</v>
      </c>
      <c r="X206" s="164">
        <v>3.9E-2</v>
      </c>
      <c r="Y206" s="164">
        <v>3.5000000000000003E-2</v>
      </c>
      <c r="Z206" s="164">
        <v>4.9000000000000002E-2</v>
      </c>
      <c r="AA206" s="164">
        <v>4.9000000000000002E-2</v>
      </c>
      <c r="AB206" s="164">
        <v>5.8999999999999997E-2</v>
      </c>
      <c r="AC206" s="164">
        <v>5.0999999999999997E-2</v>
      </c>
      <c r="AD206" s="164">
        <v>4.8000000000000001E-2</v>
      </c>
      <c r="AE206" s="164">
        <v>4.5999999999999999E-2</v>
      </c>
      <c r="AF206" s="165">
        <v>5.2999999999999999E-2</v>
      </c>
    </row>
  </sheetData>
  <scenarios current="0" sqref="B175 B176 B177">
    <scenario name="Best Case (2)" locked="1" count="6" user="Dieu Nguyen" comment="Đã tạo bởi Dieu Nguyen bật 12/11/2023">
      <inputCells r="D6" val="0.08"/>
      <inputCells r="D9" val="30"/>
      <inputCells r="P6" val="0.025"/>
      <inputCells r="K6" val="9"/>
      <inputCells r="K11" val="115"/>
      <inputCells r="P22" val="7"/>
    </scenario>
    <scenario name="Normal Case (2)" locked="1" count="6" user="Dieu Nguyen" comment="Đã tạo bởi Dieu Nguyen bật 12/11/2023">
      <inputCells r="D6" val="0.075"/>
      <inputCells r="D9" val="25"/>
      <inputCells r="P6" val="0.036"/>
      <inputCells r="K6" val="10"/>
      <inputCells r="K11" val="125"/>
      <inputCells r="P22" val="8"/>
    </scenario>
    <scenario name="Worst Case (2)" locked="1" count="6" user="Dieu Nguyen" comment="Đã tạo bởi Dieu Nguyen bật 12/11/2023">
      <inputCells r="D6" val="0.07"/>
      <inputCells r="D9" val="15"/>
      <inputCells r="P6" val="0.04"/>
      <inputCells r="K6" val="11"/>
      <inputCells r="K11" val="125"/>
      <inputCells r="P22" val="8"/>
    </scenario>
  </scenarios>
  <mergeCells count="27">
    <mergeCell ref="A58:L58"/>
    <mergeCell ref="A201:AF201"/>
    <mergeCell ref="A1:R1"/>
    <mergeCell ref="A34:L34"/>
    <mergeCell ref="A39:L39"/>
    <mergeCell ref="A48:G48"/>
    <mergeCell ref="A57:L57"/>
    <mergeCell ref="A136:L136"/>
    <mergeCell ref="A64:L64"/>
    <mergeCell ref="A72:L72"/>
    <mergeCell ref="A78:L78"/>
    <mergeCell ref="A83:L83"/>
    <mergeCell ref="A91:L91"/>
    <mergeCell ref="A99:L99"/>
    <mergeCell ref="A103:L103"/>
    <mergeCell ref="A107:L107"/>
    <mergeCell ref="A119:L119"/>
    <mergeCell ref="A129:L129"/>
    <mergeCell ref="A131:L131"/>
    <mergeCell ref="A187:L187"/>
    <mergeCell ref="A197:G197"/>
    <mergeCell ref="A137:L137"/>
    <mergeCell ref="A140:L140"/>
    <mergeCell ref="A155:L155"/>
    <mergeCell ref="A165:L165"/>
    <mergeCell ref="A174:L174"/>
    <mergeCell ref="A178:L178"/>
  </mergeCells>
  <phoneticPr fontId="11"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Criteria Table</vt:lpstr>
      <vt:lpstr>One way - Two way Analysis</vt:lpstr>
      <vt:lpstr>Scenario Summary P1</vt:lpstr>
      <vt:lpstr>Scenario Summary P2</vt:lpstr>
      <vt:lpstr>Crystal Ball Risk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2023-12-11T01:38:50Z</dcterms:created>
  <dcterms:modified xsi:type="dcterms:W3CDTF">2024-01-06T12:35:07Z</dcterms:modified>
</cp:coreProperties>
</file>