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hocr-parser/notebooks/"/>
    </mc:Choice>
  </mc:AlternateContent>
  <xr:revisionPtr revIDLastSave="0" documentId="13_ncr:1_{FF0224D4-2148-1F44-BB74-3FC831541C81}" xr6:coauthVersionLast="36" xr6:coauthVersionMax="36" xr10:uidLastSave="{00000000-0000-0000-0000-000000000000}"/>
  <bookViews>
    <workbookView xWindow="940" yWindow="460" windowWidth="27860" windowHeight="17540" activeTab="1" xr2:uid="{00000000-000D-0000-FFFF-FFFF00000000}"/>
  </bookViews>
  <sheets>
    <sheet name="Sheet" sheetId="1" r:id="rId1"/>
    <sheet name="Sheet1" sheetId="2" r:id="rId2"/>
  </sheets>
  <calcPr calcId="181029"/>
  <pivotCaches>
    <pivotCache cacheId="3" r:id="rId3"/>
  </pivotCaches>
</workbook>
</file>

<file path=xl/calcChain.xml><?xml version="1.0" encoding="utf-8"?>
<calcChain xmlns="http://schemas.openxmlformats.org/spreadsheetml/2006/main">
  <c r="U101" i="1" l="1"/>
  <c r="T101" i="1"/>
  <c r="R101" i="1"/>
  <c r="Q101" i="1"/>
  <c r="O101" i="1"/>
  <c r="N101" i="1"/>
  <c r="U100" i="1"/>
  <c r="T100" i="1"/>
  <c r="R100" i="1"/>
  <c r="Q100" i="1"/>
  <c r="O100" i="1"/>
  <c r="N100" i="1"/>
  <c r="U99" i="1"/>
  <c r="T99" i="1"/>
  <c r="R99" i="1"/>
  <c r="Q99" i="1"/>
  <c r="O99" i="1"/>
  <c r="N99" i="1"/>
  <c r="R98" i="1"/>
  <c r="Q98" i="1"/>
  <c r="U97" i="1"/>
  <c r="T97" i="1"/>
  <c r="R97" i="1"/>
  <c r="Q97" i="1"/>
  <c r="U96" i="1"/>
  <c r="T96" i="1"/>
  <c r="R96" i="1"/>
  <c r="Q96" i="1"/>
  <c r="O96" i="1"/>
  <c r="N96" i="1"/>
  <c r="U95" i="1"/>
  <c r="T95" i="1"/>
  <c r="R95" i="1"/>
  <c r="Q95" i="1"/>
  <c r="O95" i="1"/>
  <c r="N95" i="1"/>
  <c r="U94" i="1"/>
  <c r="T94" i="1"/>
  <c r="R94" i="1"/>
  <c r="Q94" i="1"/>
  <c r="O94" i="1"/>
  <c r="N94" i="1"/>
  <c r="U93" i="1"/>
  <c r="T93" i="1"/>
  <c r="R93" i="1"/>
  <c r="Q93" i="1"/>
  <c r="O93" i="1"/>
  <c r="N93" i="1"/>
  <c r="U91" i="1"/>
  <c r="T91" i="1"/>
  <c r="R91" i="1"/>
  <c r="Q91" i="1"/>
  <c r="O91" i="1"/>
  <c r="N91" i="1"/>
  <c r="U90" i="1"/>
  <c r="T90" i="1"/>
  <c r="R90" i="1"/>
  <c r="Q90" i="1"/>
  <c r="O90" i="1"/>
  <c r="N90" i="1"/>
  <c r="U89" i="1"/>
  <c r="T89" i="1"/>
  <c r="R89" i="1"/>
  <c r="Q89" i="1"/>
  <c r="O89" i="1"/>
  <c r="N89" i="1"/>
  <c r="U88" i="1"/>
  <c r="T88" i="1"/>
  <c r="O88" i="1"/>
  <c r="N88" i="1"/>
  <c r="U87" i="1"/>
  <c r="T87" i="1"/>
  <c r="R87" i="1"/>
  <c r="Q87" i="1"/>
  <c r="O87" i="1"/>
  <c r="N87" i="1"/>
  <c r="U86" i="1"/>
  <c r="T86" i="1"/>
  <c r="R86" i="1"/>
  <c r="Q86" i="1"/>
  <c r="O85" i="1"/>
  <c r="N85" i="1"/>
  <c r="U84" i="1"/>
  <c r="T84" i="1"/>
  <c r="R84" i="1"/>
  <c r="Q84" i="1"/>
  <c r="O84" i="1"/>
  <c r="N84" i="1"/>
  <c r="R82" i="1"/>
  <c r="Q82" i="1"/>
  <c r="U80" i="1"/>
  <c r="T80" i="1"/>
  <c r="R80" i="1"/>
  <c r="Q80" i="1"/>
  <c r="O80" i="1"/>
  <c r="N80" i="1"/>
  <c r="U79" i="1"/>
  <c r="T79" i="1"/>
  <c r="R79" i="1"/>
  <c r="Q79" i="1"/>
  <c r="O79" i="1"/>
  <c r="N79" i="1"/>
  <c r="U78" i="1"/>
  <c r="T78" i="1"/>
  <c r="O78" i="1"/>
  <c r="N78" i="1"/>
  <c r="U76" i="1"/>
  <c r="T76" i="1"/>
  <c r="R76" i="1"/>
  <c r="Q76" i="1"/>
  <c r="O76" i="1"/>
  <c r="N76" i="1"/>
  <c r="U75" i="1"/>
  <c r="T75" i="1"/>
  <c r="R75" i="1"/>
  <c r="Q75" i="1"/>
  <c r="O75" i="1"/>
  <c r="N75" i="1"/>
  <c r="U74" i="1"/>
  <c r="T74" i="1"/>
  <c r="R74" i="1"/>
  <c r="Q74" i="1"/>
  <c r="O74" i="1"/>
  <c r="N74" i="1"/>
  <c r="U73" i="1"/>
  <c r="T73" i="1"/>
  <c r="R73" i="1"/>
  <c r="Q73" i="1"/>
  <c r="O73" i="1"/>
  <c r="N73" i="1"/>
  <c r="U72" i="1"/>
  <c r="T72" i="1"/>
  <c r="R72" i="1"/>
  <c r="Q72" i="1"/>
  <c r="O72" i="1"/>
  <c r="N72" i="1"/>
  <c r="U71" i="1"/>
  <c r="T71" i="1"/>
  <c r="R71" i="1"/>
  <c r="Q71" i="1"/>
  <c r="U70" i="1"/>
  <c r="T70" i="1"/>
  <c r="R70" i="1"/>
  <c r="Q70" i="1"/>
  <c r="O70" i="1"/>
  <c r="N70" i="1"/>
  <c r="U69" i="1"/>
  <c r="T69" i="1"/>
  <c r="R69" i="1"/>
  <c r="Q69" i="1"/>
  <c r="O69" i="1"/>
  <c r="N69" i="1"/>
  <c r="R67" i="1"/>
  <c r="Q67" i="1"/>
  <c r="U66" i="1"/>
  <c r="T66" i="1"/>
  <c r="R66" i="1"/>
  <c r="Q66" i="1"/>
  <c r="O66" i="1"/>
  <c r="N66" i="1"/>
  <c r="U65" i="1"/>
  <c r="T65" i="1"/>
  <c r="R65" i="1"/>
  <c r="Q65" i="1"/>
  <c r="O65" i="1"/>
  <c r="N65" i="1"/>
  <c r="R64" i="1"/>
  <c r="Q64" i="1"/>
  <c r="O64" i="1"/>
  <c r="N64" i="1"/>
  <c r="U63" i="1"/>
  <c r="T63" i="1"/>
  <c r="R63" i="1"/>
  <c r="Q63" i="1"/>
  <c r="O63" i="1"/>
  <c r="N63" i="1"/>
  <c r="U62" i="1"/>
  <c r="T62" i="1"/>
  <c r="R62" i="1"/>
  <c r="Q62" i="1"/>
  <c r="O62" i="1"/>
  <c r="N62" i="1"/>
  <c r="U61" i="1"/>
  <c r="T61" i="1"/>
  <c r="R61" i="1"/>
  <c r="Q61" i="1"/>
  <c r="O61" i="1"/>
  <c r="N61" i="1"/>
  <c r="R60" i="1"/>
  <c r="Q60" i="1"/>
  <c r="U59" i="1"/>
  <c r="T59" i="1"/>
  <c r="R59" i="1"/>
  <c r="Q59" i="1"/>
  <c r="O59" i="1"/>
  <c r="N59" i="1"/>
  <c r="U57" i="1"/>
  <c r="T57" i="1"/>
  <c r="O57" i="1"/>
  <c r="N57" i="1"/>
  <c r="R56" i="1"/>
  <c r="Q56" i="1"/>
  <c r="U55" i="1"/>
  <c r="T55" i="1"/>
  <c r="R55" i="1"/>
  <c r="Q55" i="1"/>
  <c r="O55" i="1"/>
  <c r="N55" i="1"/>
  <c r="U54" i="1"/>
  <c r="T54" i="1"/>
  <c r="R54" i="1"/>
  <c r="Q54" i="1"/>
  <c r="U52" i="1"/>
  <c r="T52" i="1"/>
  <c r="R52" i="1"/>
  <c r="Q52" i="1"/>
  <c r="O52" i="1"/>
  <c r="N52" i="1"/>
  <c r="U51" i="1"/>
  <c r="T51" i="1"/>
  <c r="R51" i="1"/>
  <c r="Q51" i="1"/>
  <c r="O51" i="1"/>
  <c r="N51" i="1"/>
  <c r="U50" i="1"/>
  <c r="T50" i="1"/>
  <c r="R50" i="1"/>
  <c r="Q50" i="1"/>
  <c r="O50" i="1"/>
  <c r="N50" i="1"/>
  <c r="U49" i="1"/>
  <c r="T49" i="1"/>
  <c r="R49" i="1"/>
  <c r="Q49" i="1"/>
  <c r="O49" i="1"/>
  <c r="N49" i="1"/>
  <c r="U48" i="1"/>
  <c r="T48" i="1"/>
  <c r="R48" i="1"/>
  <c r="Q48" i="1"/>
  <c r="O48" i="1"/>
  <c r="N48" i="1"/>
  <c r="U46" i="1"/>
  <c r="T46" i="1"/>
  <c r="R46" i="1"/>
  <c r="Q46" i="1"/>
  <c r="O46" i="1"/>
  <c r="N46" i="1"/>
  <c r="U45" i="1"/>
  <c r="T45" i="1"/>
  <c r="R45" i="1"/>
  <c r="Q45" i="1"/>
  <c r="O45" i="1"/>
  <c r="N45" i="1"/>
  <c r="U44" i="1"/>
  <c r="T44" i="1"/>
  <c r="R44" i="1"/>
  <c r="Q44" i="1"/>
  <c r="O44" i="1"/>
  <c r="N44" i="1"/>
  <c r="U43" i="1"/>
  <c r="T43" i="1"/>
  <c r="R43" i="1"/>
  <c r="Q43" i="1"/>
  <c r="O43" i="1"/>
  <c r="N43" i="1"/>
  <c r="R42" i="1"/>
  <c r="Q42" i="1"/>
  <c r="U41" i="1"/>
  <c r="T41" i="1"/>
  <c r="R41" i="1"/>
  <c r="Q41" i="1"/>
  <c r="O41" i="1"/>
  <c r="N41" i="1"/>
  <c r="U40" i="1"/>
  <c r="T40" i="1"/>
  <c r="R40" i="1"/>
  <c r="Q40" i="1"/>
  <c r="O40" i="1"/>
  <c r="N40" i="1"/>
  <c r="U39" i="1"/>
  <c r="T39" i="1"/>
  <c r="O39" i="1"/>
  <c r="N39" i="1"/>
  <c r="U37" i="1"/>
  <c r="T37" i="1"/>
  <c r="R37" i="1"/>
  <c r="Q37" i="1"/>
  <c r="O37" i="1"/>
  <c r="N37" i="1"/>
  <c r="U36" i="1"/>
  <c r="T36" i="1"/>
  <c r="O36" i="1"/>
  <c r="N36" i="1"/>
  <c r="U35" i="1"/>
  <c r="T35" i="1"/>
  <c r="R35" i="1"/>
  <c r="Q35" i="1"/>
  <c r="O35" i="1"/>
  <c r="N35" i="1"/>
  <c r="U34" i="1"/>
  <c r="T34" i="1"/>
  <c r="R34" i="1"/>
  <c r="Q34" i="1"/>
  <c r="U32" i="1"/>
  <c r="T32" i="1"/>
  <c r="R32" i="1"/>
  <c r="Q32" i="1"/>
  <c r="O32" i="1"/>
  <c r="N32" i="1"/>
  <c r="R31" i="1"/>
  <c r="Q31" i="1"/>
  <c r="O31" i="1"/>
  <c r="N31" i="1"/>
  <c r="U30" i="1"/>
  <c r="T30" i="1"/>
  <c r="R30" i="1"/>
  <c r="Q30" i="1"/>
  <c r="U29" i="1"/>
  <c r="T29" i="1"/>
  <c r="R29" i="1"/>
  <c r="Q29" i="1"/>
  <c r="U27" i="1"/>
  <c r="T27" i="1"/>
  <c r="R27" i="1"/>
  <c r="Q27" i="1"/>
  <c r="O27" i="1"/>
  <c r="N27" i="1"/>
  <c r="R26" i="1"/>
  <c r="Q26" i="1"/>
  <c r="U25" i="1"/>
  <c r="T25" i="1"/>
  <c r="O25" i="1"/>
  <c r="N25" i="1"/>
  <c r="U24" i="1"/>
  <c r="T24" i="1"/>
  <c r="O24" i="1"/>
  <c r="N24" i="1"/>
  <c r="R23" i="1"/>
  <c r="Q23" i="1"/>
  <c r="U22" i="1"/>
  <c r="T22" i="1"/>
  <c r="R22" i="1"/>
  <c r="Q22" i="1"/>
  <c r="U20" i="1"/>
  <c r="T20" i="1"/>
  <c r="R20" i="1"/>
  <c r="Q20" i="1"/>
  <c r="R19" i="1"/>
  <c r="Q19" i="1"/>
  <c r="U18" i="1"/>
  <c r="T18" i="1"/>
  <c r="R18" i="1"/>
  <c r="Q18" i="1"/>
  <c r="O18" i="1"/>
  <c r="N18" i="1"/>
  <c r="U17" i="1"/>
  <c r="T17" i="1"/>
  <c r="R17" i="1"/>
  <c r="Q17" i="1"/>
  <c r="O17" i="1"/>
  <c r="N17" i="1"/>
  <c r="U16" i="1"/>
  <c r="T16" i="1"/>
  <c r="R16" i="1"/>
  <c r="Q16" i="1"/>
  <c r="O16" i="1"/>
  <c r="N16" i="1"/>
  <c r="U15" i="1"/>
  <c r="T15" i="1"/>
  <c r="R15" i="1"/>
  <c r="Q15" i="1"/>
  <c r="O15" i="1"/>
  <c r="N15" i="1"/>
  <c r="U14" i="1"/>
  <c r="T14" i="1"/>
  <c r="R14" i="1"/>
  <c r="Q14" i="1"/>
  <c r="O14" i="1"/>
  <c r="N14" i="1"/>
  <c r="U13" i="1"/>
  <c r="T13" i="1"/>
  <c r="R13" i="1"/>
  <c r="Q13" i="1"/>
  <c r="R12" i="1"/>
  <c r="Q12" i="1"/>
  <c r="O12" i="1"/>
  <c r="N12" i="1"/>
  <c r="U11" i="1"/>
  <c r="T11" i="1"/>
  <c r="R11" i="1"/>
  <c r="Q11" i="1"/>
  <c r="O11" i="1"/>
  <c r="N11" i="1"/>
  <c r="U9" i="1"/>
  <c r="T9" i="1"/>
  <c r="R9" i="1"/>
  <c r="Q9" i="1"/>
  <c r="O9" i="1"/>
  <c r="N9" i="1"/>
  <c r="U8" i="1"/>
  <c r="T8" i="1"/>
  <c r="R8" i="1"/>
  <c r="Q8" i="1"/>
  <c r="O8" i="1"/>
  <c r="N8" i="1"/>
  <c r="R7" i="1"/>
  <c r="Q7" i="1"/>
  <c r="U6" i="1"/>
  <c r="T6" i="1"/>
  <c r="R6" i="1"/>
  <c r="Q6" i="1"/>
  <c r="U5" i="1"/>
  <c r="T5" i="1"/>
  <c r="R5" i="1"/>
  <c r="Q5" i="1"/>
  <c r="U3" i="1"/>
  <c r="T3" i="1"/>
  <c r="R3" i="1"/>
  <c r="Q3" i="1"/>
  <c r="O2" i="1"/>
  <c r="N2" i="1"/>
</calcChain>
</file>

<file path=xl/sharedStrings.xml><?xml version="1.0" encoding="utf-8"?>
<sst xmlns="http://schemas.openxmlformats.org/spreadsheetml/2006/main" count="498" uniqueCount="396">
  <si>
    <t>date</t>
  </si>
  <si>
    <t>weeyday</t>
  </si>
  <si>
    <t>match_string</t>
  </si>
  <si>
    <t>is_work_day</t>
  </si>
  <si>
    <t>has_meeting</t>
  </si>
  <si>
    <t>line_id</t>
  </si>
  <si>
    <t>inv_num</t>
  </si>
  <si>
    <t>scan_num</t>
  </si>
  <si>
    <t>page_num</t>
  </si>
  <si>
    <t>col_index</t>
  </si>
  <si>
    <t>tr_index</t>
  </si>
  <si>
    <t>line_num</t>
  </si>
  <si>
    <t>viewer_url</t>
  </si>
  <si>
    <t>iiif_url</t>
  </si>
  <si>
    <t>next_meeting_match_string</t>
  </si>
  <si>
    <t>next_meeting_viewer_url</t>
  </si>
  <si>
    <t>next_meeting_iiif_url</t>
  </si>
  <si>
    <t>prev_meeting_match_string</t>
  </si>
  <si>
    <t>prev_meeting_viewer_url</t>
  </si>
  <si>
    <t>prev_meeting_iiif_url</t>
  </si>
  <si>
    <t>1777-05-28</t>
  </si>
  <si>
    <t>Mercurii</t>
  </si>
  <si>
    <t>Mercuri den 11 Jumy</t>
  </si>
  <si>
    <t>pagexml-inventory-3832-year-1777-scan-293-page-584-col-0-tr-0-line-12</t>
  </si>
  <si>
    <t>1731-08-26</t>
  </si>
  <si>
    <t>Dominica</t>
  </si>
  <si>
    <t>Luna den 27. Augusti</t>
  </si>
  <si>
    <t>Sabbathi den 25. Anguft</t>
  </si>
  <si>
    <t>1740-02-12</t>
  </si>
  <si>
    <t>Veneris</t>
  </si>
  <si>
    <t>1744-08-09</t>
  </si>
  <si>
    <t>Lune den 3 Augufty</t>
  </si>
  <si>
    <t>Sabbathi den 1 Augusty</t>
  </si>
  <si>
    <t>1706-06-09</t>
  </si>
  <si>
    <t>Jovis den 3. Junii</t>
  </si>
  <si>
    <t>Martis den 1. Juni</t>
  </si>
  <si>
    <t>1791-05-08</t>
  </si>
  <si>
    <t>Lune den 31 Oft</t>
  </si>
  <si>
    <t>1750-10-09</t>
  </si>
  <si>
    <t>Veneris den 25 Septem</t>
  </si>
  <si>
    <t>pagexml-inventory-3805-year-1750-scan-364-page-727-col-0-tr-1-line-0</t>
  </si>
  <si>
    <t>Sabbatthi den 26 Septem</t>
  </si>
  <si>
    <t>1753-01-15</t>
  </si>
  <si>
    <t>Lunae</t>
  </si>
  <si>
    <t>Lune den 15 Januury</t>
  </si>
  <si>
    <t>pagexml-inventory-3808-year-1753-scan-76-page-150-col-2-tr-0-line-32</t>
  </si>
  <si>
    <t>Martis den 16 January</t>
  </si>
  <si>
    <t>Sabatthi den 13 January</t>
  </si>
  <si>
    <t>1796-06-06</t>
  </si>
  <si>
    <t>1779-03-16</t>
  </si>
  <si>
    <t>Martis</t>
  </si>
  <si>
    <t>Martis den 16 Maart</t>
  </si>
  <si>
    <t>pagexml-inventory-3834-year-1779-scan-196-page-390-col-0-tr-1-line-0</t>
  </si>
  <si>
    <t>Mercuri den 17 Maart</t>
  </si>
  <si>
    <t>Lune den 15 Maart</t>
  </si>
  <si>
    <t>1710-08-08</t>
  </si>
  <si>
    <t>Veneris den 1. August</t>
  </si>
  <si>
    <t>pagexml-inventory-3765-year-1710-scan-444-page-887-col-1-tr-2-line-0</t>
  </si>
  <si>
    <t>Sabbathi den 2. August</t>
  </si>
  <si>
    <t>1735-08-26</t>
  </si>
  <si>
    <t>Schbatbi den 27. Auguft</t>
  </si>
  <si>
    <t>Jovis den 25. Anguft</t>
  </si>
  <si>
    <t>1708-01-21</t>
  </si>
  <si>
    <t>Sabbathi</t>
  </si>
  <si>
    <t>Sabbathi den 21. Januari</t>
  </si>
  <si>
    <t>pagexml-inventory-3763-year-1708-scan-42-page-82-col-0-tr-2-line-17</t>
  </si>
  <si>
    <t xml:space="preserve">Luna den 23. Januari </t>
  </si>
  <si>
    <t>Veneris den 20. Sanuari</t>
  </si>
  <si>
    <t>1707-09-13</t>
  </si>
  <si>
    <t>Martis:den 6. Septersbe</t>
  </si>
  <si>
    <t>pagexml-inventory-3762-year-1707-scan-471-page-941-col-1-tr-0-line-0</t>
  </si>
  <si>
    <t>Mercurii den 7. Septersbe</t>
  </si>
  <si>
    <t xml:space="preserve">Lune den 5. September </t>
  </si>
  <si>
    <t>1744-03-07</t>
  </si>
  <si>
    <t>Sabbathi den 7 Maart</t>
  </si>
  <si>
    <t>pagexml-inventory-3799-year-1744-scan-122-page-242-col-0-tr-4-line-0</t>
  </si>
  <si>
    <t>Lune den 9 Maart</t>
  </si>
  <si>
    <t>Veneris den 6 Maart</t>
  </si>
  <si>
    <t>1720-10-29</t>
  </si>
  <si>
    <t>Martis den 29. Oftobe</t>
  </si>
  <si>
    <t>pagexml-inventory-3775-year-1720-scan-416-page-831-col-0-tr-2-line-0</t>
  </si>
  <si>
    <t>Mercurii den 30. Octobe</t>
  </si>
  <si>
    <t>Lane den 28, Oftober</t>
  </si>
  <si>
    <t>1727-02-18</t>
  </si>
  <si>
    <t>Martis den 18, Februari</t>
  </si>
  <si>
    <t>pagexml-inventory-3782-year-1727-scan-117-page-233-col-1-tr-1-line-0</t>
  </si>
  <si>
    <t>Mercurii den 19. Februari</t>
  </si>
  <si>
    <t>Lune den 17. Februarii</t>
  </si>
  <si>
    <t>1721-07-11</t>
  </si>
  <si>
    <t>Sabbathi den 12. Fil</t>
  </si>
  <si>
    <t>1778-03-02</t>
  </si>
  <si>
    <t>Martis den 24 Febr</t>
  </si>
  <si>
    <t>Venerts den 20 February</t>
  </si>
  <si>
    <t>1770-01-07</t>
  </si>
  <si>
    <t>1746-10-09</t>
  </si>
  <si>
    <t>Luna den 10 October</t>
  </si>
  <si>
    <t>Sabbathi den 8 October</t>
  </si>
  <si>
    <t>1768-07-16</t>
  </si>
  <si>
    <t xml:space="preserve">Lyn eden 18 Jaly </t>
  </si>
  <si>
    <t>1736-10-12</t>
  </si>
  <si>
    <t>Veneris den 12. Oftobe</t>
  </si>
  <si>
    <t>pagexml-inventory-3791-year-1736-scan-338-page-675-col-1-tr-1-line-0</t>
  </si>
  <si>
    <t>Jovis den rt. Octobe</t>
  </si>
  <si>
    <t>1737-06-08</t>
  </si>
  <si>
    <t>Sabbathi den 8 Juny</t>
  </si>
  <si>
    <t>pagexml-inventory-3792-year-1737-scan-160-page-318-col-0-tr-0-line-0</t>
  </si>
  <si>
    <t>Veneris den 7. Juny</t>
  </si>
  <si>
    <t>1783-10-19</t>
  </si>
  <si>
    <t>Lune den 20 October</t>
  </si>
  <si>
    <t>1751-06-26</t>
  </si>
  <si>
    <t>Sabbatthi den 26 TFu</t>
  </si>
  <si>
    <t>pagexml-inventory-3806-year-1751-scan-247-page-492-col-1-tr-1-line-0</t>
  </si>
  <si>
    <t>Tune den 28 Tuny-</t>
  </si>
  <si>
    <t>Veneris den 25 Juny</t>
  </si>
  <si>
    <t>1796-02-14</t>
  </si>
  <si>
    <t>1792-09-22</t>
  </si>
  <si>
    <t>Lune den 17° September</t>
  </si>
  <si>
    <t>Veneris den 14 September</t>
  </si>
  <si>
    <t>1785-08-20</t>
  </si>
  <si>
    <t>Lune den 22 Augu[ly</t>
  </si>
  <si>
    <t>Veneris den 19 Aneufy</t>
  </si>
  <si>
    <t>1732-12-02</t>
  </si>
  <si>
    <t>Martis deu 25. Novemb</t>
  </si>
  <si>
    <t>pagexml-inventory-3787-year-1732-scan-375-page-749-col-0-tr-2-line-0</t>
  </si>
  <si>
    <t>Mercurii den 26. Novemb</t>
  </si>
  <si>
    <t>1756-03-17</t>
  </si>
  <si>
    <t>pagexml-inventory-3811-year-1756-scan-129-page-256-col-0-tr-3-line-0</t>
  </si>
  <si>
    <t>Jovis den 18 Maart</t>
  </si>
  <si>
    <t>1777-12-10</t>
  </si>
  <si>
    <t>1756-12-18</t>
  </si>
  <si>
    <t>Lane den 20 December</t>
  </si>
  <si>
    <t>Veneris den 17 December</t>
  </si>
  <si>
    <t>1736-06-05</t>
  </si>
  <si>
    <t>Martis den 5. Jany</t>
  </si>
  <si>
    <t>pagexml-inventory-3791-year-1736-scan-210-page-418-col-0-tr-1-line-0</t>
  </si>
  <si>
    <t>Mercuri den 6. Jany.</t>
  </si>
  <si>
    <t>Lune den 4. Juny</t>
  </si>
  <si>
    <t>1743-10-12</t>
  </si>
  <si>
    <t>Sabbathi den 11 Oftober</t>
  </si>
  <si>
    <t>pagexml-inventory-3798-year-1743-scan-310-page-619-col-0-tr-0-line-31</t>
  </si>
  <si>
    <t>Veneris den 11 Oftober</t>
  </si>
  <si>
    <t>1783-05-22</t>
  </si>
  <si>
    <t>Jovis</t>
  </si>
  <si>
    <t>Jovis den 22 Mey</t>
  </si>
  <si>
    <t>pagexml-inventory-3840-year-1783-scan-239-page-476-col-0-tr-1-line-0</t>
  </si>
  <si>
    <t>Veneris den 23 Mey</t>
  </si>
  <si>
    <t>Mercurii den 21 Mey</t>
  </si>
  <si>
    <t>1733-10-27</t>
  </si>
  <si>
    <t>1734-05-09</t>
  </si>
  <si>
    <t>Dominica den 2. Me</t>
  </si>
  <si>
    <t>pagexml-inventory-3789-year-1734-scan-156-page-310-col-0-tr-3-line-0</t>
  </si>
  <si>
    <t>Sabbathi den 1, Me</t>
  </si>
  <si>
    <t>1729-02-23</t>
  </si>
  <si>
    <t>Mercurii den 23. Februari</t>
  </si>
  <si>
    <t>pagexml-inventory-3784-year-1729-scan-100-page-198-col-0-tr-1-line-0</t>
  </si>
  <si>
    <t>Jovis den 24. Februari</t>
  </si>
  <si>
    <t>Martis den 22. Februari</t>
  </si>
  <si>
    <t>1717-10-30</t>
  </si>
  <si>
    <t>Sabbathi den 20. Octobe</t>
  </si>
  <si>
    <t>pagexml-inventory-3772-year-1717-scan-495-page-988-col-1-tr-2-line-0</t>
  </si>
  <si>
    <t>Lane den 1. November</t>
  </si>
  <si>
    <t>Veneris den 29. Oftobe</t>
  </si>
  <si>
    <t>1771-06-04</t>
  </si>
  <si>
    <t>Mercurii den s Juny</t>
  </si>
  <si>
    <t>1752-04-22</t>
  </si>
  <si>
    <t>Sahatthi den 22 April</t>
  </si>
  <si>
    <t>pagexml-inventory-3807-year-1752-scan-223-page-445-col-0-tr-0-line-60</t>
  </si>
  <si>
    <t>Lune dei24 April</t>
  </si>
  <si>
    <t>Veneris den 21 April</t>
  </si>
  <si>
    <t>1743-12-16</t>
  </si>
  <si>
    <t>Lune den 16 December</t>
  </si>
  <si>
    <t>pagexml-inventory-3798-year-1743-scan-367-page-732-col-0-tr-1-line-3</t>
  </si>
  <si>
    <t>Martis den 17 December</t>
  </si>
  <si>
    <t>Sabbathi den 14 December</t>
  </si>
  <si>
    <t>1723-07-31</t>
  </si>
  <si>
    <t>Sabbathi den 24, Ful</t>
  </si>
  <si>
    <t>pagexml-inventory-3778-year-1723-scan-285-page-568-col-1-tr-3-line-0</t>
  </si>
  <si>
    <t>Dominica den 25. Fulii</t>
  </si>
  <si>
    <t>Veneris den 23. Jul</t>
  </si>
  <si>
    <t>1709-04-27</t>
  </si>
  <si>
    <t>Sabbathi den 27. Apri</t>
  </si>
  <si>
    <t>pagexml-inventory-3764-year-1709-scan-242-page-482-col-1-tr-1-line-0</t>
  </si>
  <si>
    <t>Luna den 29. April</t>
  </si>
  <si>
    <t>Veneris den 26. Apri</t>
  </si>
  <si>
    <t>1727-09-03</t>
  </si>
  <si>
    <t>1727-02-08</t>
  </si>
  <si>
    <t>Sabbathi den 8. Februari</t>
  </si>
  <si>
    <t>pagexml-inventory-3782-year-1727-scan-101-page-201-col-0-tr-2-line-0</t>
  </si>
  <si>
    <t>Lune den 10. Februari</t>
  </si>
  <si>
    <t>Veneris den 7. Februari</t>
  </si>
  <si>
    <t>1739-12-15</t>
  </si>
  <si>
    <t>Martis den 15 December</t>
  </si>
  <si>
    <t>pagexml-inventory-3794-year-1739-scan-390-page-779-col-2-tr-3-line-0</t>
  </si>
  <si>
    <t>Mercurij den 16 December</t>
  </si>
  <si>
    <t>Lune den 14 December</t>
  </si>
  <si>
    <t>1792-09-19</t>
  </si>
  <si>
    <t>Mercurii den 19 September</t>
  </si>
  <si>
    <t>pagexml-inventory-3857-year-1792-scan-100-page-198-col-1-tr-1-line-0</t>
  </si>
  <si>
    <t>Tovis den 13 September</t>
  </si>
  <si>
    <t>Martis den it Septeinbe</t>
  </si>
  <si>
    <t>1783-02-06</t>
  </si>
  <si>
    <t>Jovis den 6 February</t>
  </si>
  <si>
    <t>pagexml-inventory-3840-year-1783-scan-44-page-86-col-0-tr-1-line-0</t>
  </si>
  <si>
    <t>Veneris den 25 July</t>
  </si>
  <si>
    <t>Mercurii den $ February</t>
  </si>
  <si>
    <t>1776-05-27</t>
  </si>
  <si>
    <t>Lune den 20 Mey</t>
  </si>
  <si>
    <t>pagexml-inventory-3831-year-1776-scan-249-page-497-col-1-tr-1-line-6</t>
  </si>
  <si>
    <t>Martis den 21 Mey</t>
  </si>
  <si>
    <t>Veneris den 17 Mey</t>
  </si>
  <si>
    <t>1744-11-08</t>
  </si>
  <si>
    <t>1764-04-28</t>
  </si>
  <si>
    <t>Lune den 30 April</t>
  </si>
  <si>
    <t>Veneris den 27 April</t>
  </si>
  <si>
    <t>1773-02-26</t>
  </si>
  <si>
    <t>Veneris den 26 February</t>
  </si>
  <si>
    <t>pagexml-inventory-3828-year-1773-scan-148-page-295-col-1-tr-1-line-0</t>
  </si>
  <si>
    <t>Lune den 1 Maart</t>
  </si>
  <si>
    <t>Jovis den 25 February</t>
  </si>
  <si>
    <t>1764-05-27</t>
  </si>
  <si>
    <t>Luna den 28 Mey</t>
  </si>
  <si>
    <t>1760-06-24</t>
  </si>
  <si>
    <t>Martis den 24 Juny</t>
  </si>
  <si>
    <t>pagexml-inventory-3815-year-1760-scan-312-page-623-col-1-tr-1-line-0</t>
  </si>
  <si>
    <t>Lune den 23 Jany</t>
  </si>
  <si>
    <t>1725-10-06</t>
  </si>
  <si>
    <t>1752-11-16</t>
  </si>
  <si>
    <t>Jovis den 16 November</t>
  </si>
  <si>
    <t>pagexml-inventory-3807-year-1752-scan-453-page-905-col-1-tr-2-line-0</t>
  </si>
  <si>
    <t>Vonoris den 17 November</t>
  </si>
  <si>
    <t>Mercurii den 15 November</t>
  </si>
  <si>
    <t>1761-03-15</t>
  </si>
  <si>
    <t>Lane den 16 Maart</t>
  </si>
  <si>
    <t>1752-02-29</t>
  </si>
  <si>
    <t>Martis den 29 February</t>
  </si>
  <si>
    <t>pagexml-inventory-3807-year-1752-scan-147-page-293-col-0-tr-1-line-0</t>
  </si>
  <si>
    <t>Mercurii den 1 Maart</t>
  </si>
  <si>
    <t>Tunz den 28 February</t>
  </si>
  <si>
    <t>1707-12-31</t>
  </si>
  <si>
    <t>Sabbathi den 17. Decembe</t>
  </si>
  <si>
    <t>pagexml-inventory-3762-year-1707-scan-655-page-1309-col-1-tr-2-line-0</t>
  </si>
  <si>
    <t>Veneris den 16. Decembe</t>
  </si>
  <si>
    <t>1749-05-08</t>
  </si>
  <si>
    <t>Jovis den 6 ey</t>
  </si>
  <si>
    <t>pagexml-inventory-3804-year-1749-scan-207-page-412-col-0-tr-1-line-0</t>
  </si>
  <si>
    <t>Veneris den 9 Mey</t>
  </si>
  <si>
    <t>Mercurii den 7 Mey</t>
  </si>
  <si>
    <t>1753-12-03</t>
  </si>
  <si>
    <t>Lune den 3 December</t>
  </si>
  <si>
    <t>pagexml-inventory-3808-year-1753-scan-493-page-985-col-1-tr-0-line-5</t>
  </si>
  <si>
    <t>Martis den 4 December</t>
  </si>
  <si>
    <t>1749-04-23</t>
  </si>
  <si>
    <t>Mercurit den 23 April</t>
  </si>
  <si>
    <t>pagexml-inventory-3804-year-1749-scan-188-page-374-col-1-tr-2-line-0</t>
  </si>
  <si>
    <t>Jovis den 24 April</t>
  </si>
  <si>
    <t>Martis den 22 April</t>
  </si>
  <si>
    <t>1728-02-25</t>
  </si>
  <si>
    <t>Mercurii den 25. Februari</t>
  </si>
  <si>
    <t>pagexml-inventory-3783-year-1728-scan-115-page-228-col-0-tr-2-line-0</t>
  </si>
  <si>
    <t>Jovis den 26. Februari</t>
  </si>
  <si>
    <t>Martis den 24. Februari</t>
  </si>
  <si>
    <t>1774-07-17</t>
  </si>
  <si>
    <t>Lanz den 18 July</t>
  </si>
  <si>
    <t>1796-04-17</t>
  </si>
  <si>
    <t>1774-08-08</t>
  </si>
  <si>
    <t>Lune den 8 Augufty</t>
  </si>
  <si>
    <t>pagexml-inventory-3829-year-1774-scan-335-page-669-col-0-tr-4-line-3</t>
  </si>
  <si>
    <t>Martis den 9 Anculy</t>
  </si>
  <si>
    <t>Veneris den 5 Aucifty</t>
  </si>
  <si>
    <t>1726-01-17</t>
  </si>
  <si>
    <t>Jovis den 17. Januari</t>
  </si>
  <si>
    <t>pagexml-inventory-3781-year-1726-scan-60-page-118-col-2-tr-1-line-0</t>
  </si>
  <si>
    <t>Venenis den 13. Januagi</t>
  </si>
  <si>
    <t>Mercuri den 16. Januarii</t>
  </si>
  <si>
    <t>1720-08-11</t>
  </si>
  <si>
    <t>Lune den 12. Augusti</t>
  </si>
  <si>
    <t>Sabbathi den 10. August</t>
  </si>
  <si>
    <t>1744-12-29</t>
  </si>
  <si>
    <t>Martis den 22 Derember</t>
  </si>
  <si>
    <t>pagexml-inventory-3799-year-1744-scan-470-page-939-col-0-tr-0-line-0</t>
  </si>
  <si>
    <t>Mercurii den 23 December</t>
  </si>
  <si>
    <t>Lune den 21 December</t>
  </si>
  <si>
    <t>1795-03-20</t>
  </si>
  <si>
    <t>Veneris den 20 Maart</t>
  </si>
  <si>
    <t>pagexml-inventory-3862-year-1795-scan-399-page-797-col-0-tr-2-line-0</t>
  </si>
  <si>
    <t>Jovis den 19 Maart</t>
  </si>
  <si>
    <t>1758-07-24</t>
  </si>
  <si>
    <t>Lune den 24 Fuly</t>
  </si>
  <si>
    <t>pagexml-inventory-3813-year-1758-scan-336-page-671-col-1-tr-2-line-4</t>
  </si>
  <si>
    <t>Martis aen,25: [uy</t>
  </si>
  <si>
    <t>Veneris den 21 Faul</t>
  </si>
  <si>
    <t>1707-02-02</t>
  </si>
  <si>
    <t xml:space="preserve">Mercuri den 2. Februari </t>
  </si>
  <si>
    <t>pagexml-inventory-3762-year-1707-scan-76-page-150-col-1-tr-0-line-15</t>
  </si>
  <si>
    <t>Jovis den 3. Februari</t>
  </si>
  <si>
    <t>Martss den 1. Februari</t>
  </si>
  <si>
    <t>1759-09-02</t>
  </si>
  <si>
    <t>pagexml-inventory-3814-year-1759-scan-372-page-742-col-0-tr-1-line-1</t>
  </si>
  <si>
    <t>1795-12-15</t>
  </si>
  <si>
    <t>1723-07-18</t>
  </si>
  <si>
    <t>Dominica den 11. Fal</t>
  </si>
  <si>
    <t>pagexml-inventory-3778-year-1723-scan-271-page-540-col-0-tr-3-line-0</t>
  </si>
  <si>
    <t>Sabbathi den 10. Ful</t>
  </si>
  <si>
    <t>1756-05-19</t>
  </si>
  <si>
    <t>Mercurii den 19 Mey</t>
  </si>
  <si>
    <t>pagexml-inventory-3811-year-1756-scan-191-page-381-col-1-tr-1-line-31</t>
  </si>
  <si>
    <t>Jovis den z0 Mey</t>
  </si>
  <si>
    <t>Martis den 18 Mey</t>
  </si>
  <si>
    <t>1727-04-23</t>
  </si>
  <si>
    <t>pagexml-inventory-3782-year-1727-scan-208-page-415-col-0-tr-0-line-0</t>
  </si>
  <si>
    <t>Tovis den 24. Apri</t>
  </si>
  <si>
    <t>Martis den 22. Apri</t>
  </si>
  <si>
    <t>1733-07-16</t>
  </si>
  <si>
    <t>1790-05-23</t>
  </si>
  <si>
    <t>Lune den 24 Mey</t>
  </si>
  <si>
    <t>1796-10-12</t>
  </si>
  <si>
    <t>1716-03-31</t>
  </si>
  <si>
    <t>Martis den 24, Maer</t>
  </si>
  <si>
    <t>pagexml-inventory-3771-year-1716-scan-144-page-287-col-0-tr-3-line-0</t>
  </si>
  <si>
    <t>Mercurii den 25. Mae</t>
  </si>
  <si>
    <t>Lune den 23. Maert</t>
  </si>
  <si>
    <t>1750-11-23</t>
  </si>
  <si>
    <t>den s November</t>
  </si>
  <si>
    <t>pagexml-inventory-3805-year-1750-scan-414-page-827-col-1-tr-0-line-0</t>
  </si>
  <si>
    <t>1788-07-05</t>
  </si>
  <si>
    <t>Dominica den 21 Dec</t>
  </si>
  <si>
    <t>Veneris den 4 July</t>
  </si>
  <si>
    <t>1724-02-03</t>
  </si>
  <si>
    <t>pagexml-inventory-3779-year-1724-scan-79-page-156-col-1-tr-2-line-0</t>
  </si>
  <si>
    <t>Veneris den 4, Februari</t>
  </si>
  <si>
    <t>Mercurii den 2. Februari</t>
  </si>
  <si>
    <t>1741-11-07</t>
  </si>
  <si>
    <t>Martis den 7 November</t>
  </si>
  <si>
    <t>pagexml-inventory-3796-year-1741-scan-426-page-851-col-0-tr-1-line-0</t>
  </si>
  <si>
    <t>Lune den 6 November</t>
  </si>
  <si>
    <t>1728-08-02</t>
  </si>
  <si>
    <t>Lane den 2. Aagufti</t>
  </si>
  <si>
    <t>pagexml-inventory-3783-year-1728-scan-350-page-699-col-0-tr-1-line-3</t>
  </si>
  <si>
    <t>Martis den 3, Auguft</t>
  </si>
  <si>
    <t>Sabbathi den 31. Jul</t>
  </si>
  <si>
    <t>1737-10-02</t>
  </si>
  <si>
    <t>Mercurii den 2. Octobe</t>
  </si>
  <si>
    <t>pagexml-inventory-3792-year-1737-scan-276-page-551-col-0-tr-2-line-0</t>
  </si>
  <si>
    <t>Jovis den 3. Oëtobe</t>
  </si>
  <si>
    <t>Martis den 1, Oftobe</t>
  </si>
  <si>
    <t>1733-06-16</t>
  </si>
  <si>
    <t>Martis den 16. Juni</t>
  </si>
  <si>
    <t>pagexml-inventory-3788-year-1733-scan-242-page-483-col-1-tr-2-line-0</t>
  </si>
  <si>
    <t>Mercurii den 17, Juni</t>
  </si>
  <si>
    <t>Lune den 15, Junii</t>
  </si>
  <si>
    <t>1745-06-09</t>
  </si>
  <si>
    <t>1738-11-12</t>
  </si>
  <si>
    <t>Mercuri den 12 November</t>
  </si>
  <si>
    <t>pagexml-inventory-3793-year-1738-scan-354-page-706-col-1-tr-1-line-0</t>
  </si>
  <si>
    <t>Jovis den 13. Novembe</t>
  </si>
  <si>
    <t>Martis den tt. Novembe</t>
  </si>
  <si>
    <t>1709-04-03</t>
  </si>
  <si>
    <t>Mercurii den 3. Apri</t>
  </si>
  <si>
    <t>pagexml-inventory-3764-year-1709-scan-188-page-375-col-1-tr-2-line-0</t>
  </si>
  <si>
    <t>Jovis den 4. Apri</t>
  </si>
  <si>
    <t>Martis den 2. Apri</t>
  </si>
  <si>
    <t>1715-06-17</t>
  </si>
  <si>
    <t>Lane den 17. Juni</t>
  </si>
  <si>
    <t>pagexml-inventory-3770-year-1715-scan-316-page-630-col-0-tr-2-line-0</t>
  </si>
  <si>
    <t>Martis den 18. Jaun</t>
  </si>
  <si>
    <t>Sabbath: den 1$. Tani</t>
  </si>
  <si>
    <t>1781-08-17</t>
  </si>
  <si>
    <t>Veneris den 17 Auzafty</t>
  </si>
  <si>
    <t>pagexml-inventory-3837-year-1781-scan-95-page-189-col-0-tr-1-line-0</t>
  </si>
  <si>
    <t>Lana den 25 Angufty</t>
  </si>
  <si>
    <t>Jovis den 16 Auvgust</t>
  </si>
  <si>
    <t>1736-12-06</t>
  </si>
  <si>
    <t>Veneris den 7. Decembe</t>
  </si>
  <si>
    <t>Mercurii den 5. Decembe</t>
  </si>
  <si>
    <t>1744-12-27</t>
  </si>
  <si>
    <t>1756-12-21</t>
  </si>
  <si>
    <t>Martis den 21 December</t>
  </si>
  <si>
    <t>pagexml-inventory-3811-year-1756-scan-438-page-875-col-0-tr-0-line-0</t>
  </si>
  <si>
    <t>Mercurii den 22. Decembe</t>
  </si>
  <si>
    <t>1767-06-18</t>
  </si>
  <si>
    <t>pagexml-inventory-3822-year-1767-scan-270-page-538-col-0-tr-1-line-1</t>
  </si>
  <si>
    <t>Weneris den 19 Tamy</t>
  </si>
  <si>
    <t>Mercufii den 17 Jany</t>
  </si>
  <si>
    <t>1795-01-08</t>
  </si>
  <si>
    <t>Covis den 8 January</t>
  </si>
  <si>
    <t>pagexml-inventory-3862-year-1795-scan-220-page-439-col-0-tr-0-line-0</t>
  </si>
  <si>
    <t>Veneris den 9 January</t>
  </si>
  <si>
    <t>Mercurii den 7 January</t>
  </si>
  <si>
    <t>correct</t>
  </si>
  <si>
    <t>Count of has_meeting</t>
  </si>
  <si>
    <t>Row Labels</t>
  </si>
  <si>
    <t>(blank)</t>
  </si>
  <si>
    <t>Grand Total</t>
  </si>
  <si>
    <t>Column Labels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</si>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</sst>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n Koolen" refreshedDate="43923.46614571759" createdVersion="6" refreshedVersion="6" minRefreshableVersion="3" recordCount="102" xr:uid="{18481848-2D0D-564A-970A-E1BAE069D864}">
  <cacheSource type="worksheet">
    <worksheetSource ref="A1:B1048576" sheet="Sheet1"/>
  </cacheSource>
  <cacheFields count="2">
    <cacheField name="has_meeting" numFmtId="0">
      <sharedItems containsBlank="1" count="3">
        <b v="1"/>
        <b v="0"/>
        <m/>
      </sharedItems>
    </cacheField>
    <cacheField name="correc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2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C4F57-0ACB-F24B-9C91-3194764B950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6:H11" firstHeaderRow="1" firstDataRow="2" firstDataCol="1"/>
  <pivotFields count="2">
    <pivotField axis="axisCol" dataField="1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has_mee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workbookViewId="0">
      <pane ySplit="1" topLeftCell="A2" activePane="bottomLeft" state="frozen"/>
      <selection pane="bottomLeft" activeCell="E1" sqref="E1:F1048576"/>
    </sheetView>
  </sheetViews>
  <sheetFormatPr baseColWidth="10" defaultColWidth="8.83203125" defaultRowHeight="15" x14ac:dyDescent="0.2"/>
  <cols>
    <col min="1" max="1" width="16.5" customWidth="1"/>
    <col min="3" max="3" width="18.1640625" customWidth="1"/>
    <col min="16" max="16" width="25.83203125" customWidth="1"/>
    <col min="19" max="19" width="23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21</v>
      </c>
      <c r="C2" t="s">
        <v>22</v>
      </c>
      <c r="D2" t="b">
        <v>1</v>
      </c>
      <c r="E2" t="b">
        <v>1</v>
      </c>
      <c r="F2">
        <v>0</v>
      </c>
      <c r="G2" t="s">
        <v>23</v>
      </c>
      <c r="H2">
        <v>3832</v>
      </c>
      <c r="I2">
        <v>293</v>
      </c>
      <c r="J2">
        <v>584</v>
      </c>
      <c r="K2">
        <v>0</v>
      </c>
      <c r="L2">
        <v>0</v>
      </c>
      <c r="M2">
        <v>12</v>
      </c>
      <c r="N2" t="str">
        <f>HYPERLINK("https://images.diginfra.net/framed3.html?imagesetuuid=e4d299a2-71b5-40fc-b329-60132fadd11f&amp;uri=https://images.diginfra.net/iiif/NL-HaNA_1.01.02/3832/NL-HaNA_1.01.02_3832_0293.jpg", "viewer_url")</f>
        <v>viewer_url</v>
      </c>
      <c r="O2" t="str">
        <f>HYPERLINK("https://images.diginfra.net/iiif/NL-HaNA_1.01.02/3832/NL-HaNA_1.01.02_3832_0293.jpg/452,680,753,313/full/0/default.jpg", "iiif_url")</f>
        <v>iiif_url</v>
      </c>
    </row>
    <row r="3" spans="1:21" x14ac:dyDescent="0.2">
      <c r="A3" t="s">
        <v>24</v>
      </c>
      <c r="B3" t="s">
        <v>25</v>
      </c>
      <c r="D3" t="b">
        <v>0</v>
      </c>
      <c r="E3" t="b">
        <v>0</v>
      </c>
      <c r="F3">
        <v>1</v>
      </c>
      <c r="P3" t="s">
        <v>26</v>
      </c>
      <c r="Q3" t="str">
        <f>HYPERLINK("https://images.diginfra.net/framed3.html?imagesetuuid=508661ee-474e-44be-a74a-8aac34348aeb&amp;uri=https://images.diginfra.net/iiif/NL-HaNA_1.01.02/3786/NL-HaNA_1.01.02_3786_0283.jpg", "next_meeting_viewer_url")</f>
        <v>next_meeting_viewer_url</v>
      </c>
      <c r="R3" t="str">
        <f>HYPERLINK("https://images.diginfra.net/iiif/NL-HaNA_1.01.02/3786/NL-HaNA_1.01.02_3786_0283.jpg/453,2719,709,319/full/0/default.jpg", "next_meeting_iiif_url")</f>
        <v>next_meeting_iiif_url</v>
      </c>
      <c r="S3" t="s">
        <v>27</v>
      </c>
      <c r="T3" t="str">
        <f>HYPERLINK("https://images.diginfra.net/framed3.html?imagesetuuid=508661ee-474e-44be-a74a-8aac34348aeb&amp;uri=https://images.diginfra.net/iiif/NL-HaNA_1.01.02/3786/NL-HaNA_1.01.02_3786_0282.jpg", "prev_meeting_viewer_url")</f>
        <v>prev_meeting_viewer_url</v>
      </c>
      <c r="U3" t="str">
        <f>HYPERLINK("https://images.diginfra.net/iiif/NL-HaNA_1.01.02/3786/NL-HaNA_1.01.02_3786_0282.jpg/3406,790,797,316/full/0/default.jpg", "prev_meeting_iiif_url")</f>
        <v>prev_meeting_iiif_url</v>
      </c>
    </row>
    <row r="4" spans="1:21" x14ac:dyDescent="0.2">
      <c r="A4" t="s">
        <v>28</v>
      </c>
      <c r="B4" t="s">
        <v>29</v>
      </c>
      <c r="D4" t="b">
        <v>1</v>
      </c>
      <c r="E4" t="b">
        <v>0</v>
      </c>
      <c r="F4">
        <v>0</v>
      </c>
    </row>
    <row r="5" spans="1:21" x14ac:dyDescent="0.2">
      <c r="A5" t="s">
        <v>30</v>
      </c>
      <c r="B5" t="s">
        <v>25</v>
      </c>
      <c r="D5" t="b">
        <v>0</v>
      </c>
      <c r="E5" t="b">
        <v>0</v>
      </c>
      <c r="F5">
        <v>1</v>
      </c>
      <c r="P5" t="s">
        <v>31</v>
      </c>
      <c r="Q5" t="str">
        <f>HYPERLINK("https://images.diginfra.net/framed3.html?imagesetuuid=4246d97e-5e7a-4171-b55e-14e0b73f61db&amp;uri=https://images.diginfra.net/iiif/NL-HaNA_1.01.02/3799/NL-HaNA_1.01.02_3799_0316.jpg", "next_meeting_viewer_url")</f>
        <v>next_meeting_viewer_url</v>
      </c>
      <c r="R5" t="str">
        <f>HYPERLINK("https://images.diginfra.net/iiif/NL-HaNA_1.01.02/3799/NL-HaNA_1.01.02_3799_0316.jpg/3390,1432,706,312/full/0/default.jpg", "next_meeting_iiif_url")</f>
        <v>next_meeting_iiif_url</v>
      </c>
      <c r="S5" t="s">
        <v>32</v>
      </c>
      <c r="T5" t="str">
        <f>HYPERLINK("https://images.diginfra.net/framed3.html?imagesetuuid=4246d97e-5e7a-4171-b55e-14e0b73f61db&amp;uri=https://images.diginfra.net/iiif/NL-HaNA_1.01.02/3799/NL-HaNA_1.01.02_3799_0315.jpg", "prev_meeting_viewer_url")</f>
        <v>prev_meeting_viewer_url</v>
      </c>
      <c r="U5" t="str">
        <f>HYPERLINK("https://images.diginfra.net/iiif/NL-HaNA_1.01.02/3799/NL-HaNA_1.01.02_3799_0315.jpg/1448,1402,769,312/full/0/default.jpg", "prev_meeting_iiif_url")</f>
        <v>prev_meeting_iiif_url</v>
      </c>
    </row>
    <row r="6" spans="1:21" x14ac:dyDescent="0.2">
      <c r="A6" t="s">
        <v>33</v>
      </c>
      <c r="B6" t="s">
        <v>21</v>
      </c>
      <c r="D6" t="b">
        <v>1</v>
      </c>
      <c r="E6" t="b">
        <v>0</v>
      </c>
      <c r="F6">
        <v>0</v>
      </c>
      <c r="P6" t="s">
        <v>34</v>
      </c>
      <c r="Q6" t="str">
        <f>HYPERLINK("https://images.diginfra.net/framed3.html?imagesetuuid=e6c3b32f-6683-4b16-9444-37e515e232e1&amp;uri=https://images.diginfra.net/iiif/NL-HaNA_1.01.02/3761/NL-HaNA_1.01.02_3761_0322.jpg", "next_meeting_viewer_url")</f>
        <v>next_meeting_viewer_url</v>
      </c>
      <c r="R6" t="str">
        <f>HYPERLINK("https://images.diginfra.net/iiif/NL-HaNA_1.01.02/3761/NL-HaNA_1.01.02_3761_0322.jpg/3563,666,650,308/full/0/default.jpg", "next_meeting_iiif_url")</f>
        <v>next_meeting_iiif_url</v>
      </c>
      <c r="S6" t="s">
        <v>35</v>
      </c>
      <c r="T6" t="str">
        <f>HYPERLINK("https://images.diginfra.net/framed3.html?imagesetuuid=e6c3b32f-6683-4b16-9444-37e515e232e1&amp;uri=https://images.diginfra.net/iiif/NL-HaNA_1.01.02/3761/NL-HaNA_1.01.02_3761_0320.jpg", "prev_meeting_viewer_url")</f>
        <v>prev_meeting_viewer_url</v>
      </c>
      <c r="U6" t="str">
        <f>HYPERLINK("https://images.diginfra.net/iiif/NL-HaNA_1.01.02/3761/NL-HaNA_1.01.02_3761_0320.jpg/3514,1076,702,306/full/0/default.jpg", "prev_meeting_iiif_url")</f>
        <v>prev_meeting_iiif_url</v>
      </c>
    </row>
    <row r="7" spans="1:21" x14ac:dyDescent="0.2">
      <c r="A7" t="s">
        <v>36</v>
      </c>
      <c r="B7" t="s">
        <v>25</v>
      </c>
      <c r="D7" t="b">
        <v>0</v>
      </c>
      <c r="E7" t="b">
        <v>0</v>
      </c>
      <c r="F7">
        <v>1</v>
      </c>
      <c r="P7" t="s">
        <v>37</v>
      </c>
      <c r="Q7" t="str">
        <f>HYPERLINK("https://images.diginfra.net/framed3.html?imagesetuuid=5244deb9-8f97-4a39-89ba-6da1d308b8f5&amp;uri=https://images.diginfra.net/iiif/NL-HaNA_1.01.02/3855/NL-HaNA_1.01.02_3855_0164.jpg", "next_meeting_viewer_url")</f>
        <v>next_meeting_viewer_url</v>
      </c>
      <c r="R7" t="str">
        <f>HYPERLINK("https://images.diginfra.net/iiif/NL-HaNA_1.01.02/3855/NL-HaNA_1.01.02_3855_0164.jpg/1654,1217,336,314/full/0/default.jpg", "next_meeting_iiif_url")</f>
        <v>next_meeting_iiif_url</v>
      </c>
    </row>
    <row r="8" spans="1:21" x14ac:dyDescent="0.2">
      <c r="A8" t="s">
        <v>38</v>
      </c>
      <c r="B8" t="s">
        <v>29</v>
      </c>
      <c r="C8" t="s">
        <v>39</v>
      </c>
      <c r="D8" t="b">
        <v>1</v>
      </c>
      <c r="E8" t="b">
        <v>1</v>
      </c>
      <c r="F8">
        <v>0</v>
      </c>
      <c r="G8" t="s">
        <v>40</v>
      </c>
      <c r="H8">
        <v>3805</v>
      </c>
      <c r="I8">
        <v>364</v>
      </c>
      <c r="J8">
        <v>727</v>
      </c>
      <c r="K8">
        <v>0</v>
      </c>
      <c r="L8">
        <v>1</v>
      </c>
      <c r="M8">
        <v>0</v>
      </c>
      <c r="N8" t="str">
        <f>HYPERLINK("https://images.diginfra.net/framed3.html?imagesetuuid=e8c5617e-c060-4d57-a0d9-c22a4796ba85&amp;uri=https://images.diginfra.net/iiif/NL-HaNA_1.01.02/3805/NL-HaNA_1.01.02_3805_0364.jpg", "viewer_url")</f>
        <v>viewer_url</v>
      </c>
      <c r="O8" t="str">
        <f>HYPERLINK("https://images.diginfra.net/iiif/NL-HaNA_1.01.02/3805/NL-HaNA_1.01.02_3805_0364.jpg/2509,600,868,311/full/0/default.jpg", "iiif_url")</f>
        <v>iiif_url</v>
      </c>
      <c r="P8" t="s">
        <v>41</v>
      </c>
      <c r="Q8" t="str">
        <f>HYPERLINK("https://images.diginfra.net/framed3.html?imagesetuuid=e8c5617e-c060-4d57-a0d9-c22a4796ba85&amp;uri=https://images.diginfra.net/iiif/NL-HaNA_1.01.02/3805/NL-HaNA_1.01.02_3805_0367.jpg", "next_meeting_viewer_url")</f>
        <v>next_meeting_viewer_url</v>
      </c>
      <c r="R8" t="str">
        <f>HYPERLINK("https://images.diginfra.net/iiif/NL-HaNA_1.01.02/3805/NL-HaNA_1.01.02_3805_0367.jpg/365,803,911,312/full/0/default.jpg", "next_meeting_iiif_url")</f>
        <v>next_meeting_iiif_url</v>
      </c>
      <c r="T8" t="str">
        <f>HYPERLINK("https://images.diginfra.net/framed3.html?imagesetuuid=e8c5617e-c060-4d57-a0d9-c22a4796ba85&amp;uri=https://images.diginfra.net/iiif/NL-HaNA_1.01.02/3805/NL-HaNA_1.01.02_3805_0363.jpg", "prev_meeting_viewer_url")</f>
        <v>prev_meeting_viewer_url</v>
      </c>
      <c r="U8" t="str">
        <f>HYPERLINK("https://images.diginfra.net/iiif/NL-HaNA_1.01.02/3805/NL-HaNA_1.01.02_3805_0363.jpg/1589,1241,337,311/full/0/default.jpg", "prev_meeting_iiif_url")</f>
        <v>prev_meeting_iiif_url</v>
      </c>
    </row>
    <row r="9" spans="1:21" x14ac:dyDescent="0.2">
      <c r="A9" t="s">
        <v>42</v>
      </c>
      <c r="B9" t="s">
        <v>43</v>
      </c>
      <c r="C9" t="s">
        <v>44</v>
      </c>
      <c r="D9" t="b">
        <v>1</v>
      </c>
      <c r="E9" t="b">
        <v>1</v>
      </c>
      <c r="F9">
        <v>1</v>
      </c>
      <c r="G9" t="s">
        <v>45</v>
      </c>
      <c r="H9">
        <v>3808</v>
      </c>
      <c r="I9">
        <v>76</v>
      </c>
      <c r="J9">
        <v>150</v>
      </c>
      <c r="K9">
        <v>2</v>
      </c>
      <c r="L9">
        <v>0</v>
      </c>
      <c r="M9">
        <v>32</v>
      </c>
      <c r="N9" t="str">
        <f>HYPERLINK("https://images.diginfra.net/framed3.html?imagesetuuid=d7b14369-fedc-4c2f-b4ba-0014f4e297b6&amp;uri=https://images.diginfra.net/iiif/NL-HaNA_1.01.02/3808/NL-HaNA_1.01.02_3808_0076.jpg", "viewer_url")</f>
        <v>viewer_url</v>
      </c>
      <c r="O9" t="str">
        <f>HYPERLINK("https://images.diginfra.net/iiif/NL-HaNA_1.01.02/3808/NL-HaNA_1.01.02_3808_0076.jpg/1606,1686,343,313/full/0/default.jpg", "iiif_url")</f>
        <v>iiif_url</v>
      </c>
      <c r="P9" t="s">
        <v>46</v>
      </c>
      <c r="Q9" t="str">
        <f>HYPERLINK("https://images.diginfra.net/framed3.html?imagesetuuid=d7b14369-fedc-4c2f-b4ba-0014f4e297b6&amp;uri=https://images.diginfra.net/iiif/NL-HaNA_1.01.02/3808/NL-HaNA_1.01.02_3808_0077.jpg", "next_meeting_viewer_url")</f>
        <v>next_meeting_viewer_url</v>
      </c>
      <c r="R9" t="str">
        <f>HYPERLINK("https://images.diginfra.net/iiif/NL-HaNA_1.01.02/3808/NL-HaNA_1.01.02_3808_0077.jpg/1382,2430,793,315/full/0/default.jpg", "next_meeting_iiif_url")</f>
        <v>next_meeting_iiif_url</v>
      </c>
      <c r="S9" t="s">
        <v>47</v>
      </c>
      <c r="T9" t="str">
        <f>HYPERLINK("https://images.diginfra.net/framed3.html?imagesetuuid=d7b14369-fedc-4c2f-b4ba-0014f4e297b6&amp;uri=https://images.diginfra.net/iiif/NL-HaNA_1.01.02/3808/NL-HaNA_1.01.02_3808_0075.jpg", "prev_meeting_viewer_url")</f>
        <v>prev_meeting_viewer_url</v>
      </c>
      <c r="U9" t="str">
        <f>HYPERLINK("https://images.diginfra.net/iiif/NL-HaNA_1.01.02/3808/NL-HaNA_1.01.02_3808_0075.jpg/1390,1101,855,320/full/0/default.jpg", "prev_meeting_iiif_url")</f>
        <v>prev_meeting_iiif_url</v>
      </c>
    </row>
    <row r="10" spans="1:21" x14ac:dyDescent="0.2">
      <c r="A10" t="s">
        <v>48</v>
      </c>
      <c r="B10" t="s">
        <v>43</v>
      </c>
      <c r="D10" t="b">
        <v>1</v>
      </c>
      <c r="E10" t="b">
        <v>0</v>
      </c>
      <c r="F10">
        <v>0</v>
      </c>
    </row>
    <row r="11" spans="1:21" x14ac:dyDescent="0.2">
      <c r="A11" t="s">
        <v>49</v>
      </c>
      <c r="B11" t="s">
        <v>50</v>
      </c>
      <c r="C11" t="s">
        <v>51</v>
      </c>
      <c r="D11" t="b">
        <v>1</v>
      </c>
      <c r="E11" t="b">
        <v>1</v>
      </c>
      <c r="F11">
        <v>1</v>
      </c>
      <c r="G11" t="s">
        <v>52</v>
      </c>
      <c r="H11">
        <v>3834</v>
      </c>
      <c r="I11">
        <v>196</v>
      </c>
      <c r="J11">
        <v>390</v>
      </c>
      <c r="K11">
        <v>0</v>
      </c>
      <c r="L11">
        <v>1</v>
      </c>
      <c r="M11">
        <v>0</v>
      </c>
      <c r="N11" t="str">
        <f>HYPERLINK("https://images.diginfra.net/framed3.html?imagesetuuid=bf11cd8e-e3f4-444c-9caa-dcdfd20137d7&amp;uri=https://images.diginfra.net/iiif/NL-HaNA_1.01.02/3834/NL-HaNA_1.01.02_3834_0196.jpg", "viewer_url")</f>
        <v>viewer_url</v>
      </c>
      <c r="O11" t="str">
        <f>HYPERLINK("https://images.diginfra.net/iiif/NL-HaNA_1.01.02/3834/NL-HaNA_1.01.02_3834_0196.jpg/459,2308,748,312/full/0/default.jpg", "iiif_url")</f>
        <v>iiif_url</v>
      </c>
      <c r="P11" t="s">
        <v>53</v>
      </c>
      <c r="Q11" t="str">
        <f>HYPERLINK("https://images.diginfra.net/framed3.html?imagesetuuid=bf11cd8e-e3f4-444c-9caa-dcdfd20137d7&amp;uri=https://images.diginfra.net/iiif/NL-HaNA_1.01.02/3834/NL-HaNA_1.01.02_3834_0201.jpg", "next_meeting_viewer_url")</f>
        <v>next_meeting_viewer_url</v>
      </c>
      <c r="R11" t="str">
        <f>HYPERLINK("https://images.diginfra.net/iiif/NL-HaNA_1.01.02/3834/NL-HaNA_1.01.02_3834_0201.jpg/482,563,801,314/full/0/default.jpg", "next_meeting_iiif_url")</f>
        <v>next_meeting_iiif_url</v>
      </c>
      <c r="S11" t="s">
        <v>54</v>
      </c>
      <c r="T11" t="str">
        <f>HYPERLINK("https://images.diginfra.net/framed3.html?imagesetuuid=bf11cd8e-e3f4-444c-9caa-dcdfd20137d7&amp;uri=https://images.diginfra.net/iiif/NL-HaNA_1.01.02/3834/NL-HaNA_1.01.02_3834_0191.jpg", "prev_meeting_viewer_url")</f>
        <v>prev_meeting_viewer_url</v>
      </c>
      <c r="U11" t="str">
        <f>HYPERLINK("https://images.diginfra.net/iiif/NL-HaNA_1.01.02/3834/NL-HaNA_1.01.02_3834_0191.jpg/2636,2941,707,309/full/0/default.jpg", "prev_meeting_iiif_url")</f>
        <v>prev_meeting_iiif_url</v>
      </c>
    </row>
    <row r="12" spans="1:21" x14ac:dyDescent="0.2">
      <c r="A12" t="s">
        <v>55</v>
      </c>
      <c r="B12" t="s">
        <v>29</v>
      </c>
      <c r="C12" t="s">
        <v>56</v>
      </c>
      <c r="D12" t="b">
        <v>1</v>
      </c>
      <c r="E12" t="b">
        <v>1</v>
      </c>
      <c r="F12">
        <v>0</v>
      </c>
      <c r="G12" t="s">
        <v>57</v>
      </c>
      <c r="H12">
        <v>3765</v>
      </c>
      <c r="I12">
        <v>444</v>
      </c>
      <c r="J12">
        <v>887</v>
      </c>
      <c r="K12">
        <v>1</v>
      </c>
      <c r="L12">
        <v>2</v>
      </c>
      <c r="M12">
        <v>0</v>
      </c>
      <c r="N12" t="str">
        <f>HYPERLINK("https://images.diginfra.net/framed3.html?imagesetuuid=4dfc1a1b-8cdf-4492-b411-5e67950ce484&amp;uri=https://images.diginfra.net/iiif/NL-HaNA_1.01.02/3765/NL-HaNA_1.01.02_3765_0444.jpg", "viewer_url")</f>
        <v>viewer_url</v>
      </c>
      <c r="O12" t="str">
        <f>HYPERLINK("https://images.diginfra.net/iiif/NL-HaNA_1.01.02/3765/NL-HaNA_1.01.02_3765_0444.jpg/3693,2026,780,306/full/0/default.jpg", "iiif_url")</f>
        <v>iiif_url</v>
      </c>
      <c r="P12" t="s">
        <v>58</v>
      </c>
      <c r="Q12" t="str">
        <f>HYPERLINK("https://images.diginfra.net/framed3.html?imagesetuuid=4dfc1a1b-8cdf-4492-b411-5e67950ce484&amp;uri=https://images.diginfra.net/iiif/NL-HaNA_1.01.02/3765/NL-HaNA_1.01.02_3765_0447.jpg", "next_meeting_viewer_url")</f>
        <v>next_meeting_viewer_url</v>
      </c>
      <c r="R12" t="str">
        <f>HYPERLINK("https://images.diginfra.net/iiif/NL-HaNA_1.01.02/3765/NL-HaNA_1.01.02_3765_0447.jpg/485,1516,773,312/full/0/default.jpg", "next_meeting_iiif_url")</f>
        <v>next_meeting_iiif_url</v>
      </c>
    </row>
    <row r="13" spans="1:21" x14ac:dyDescent="0.2">
      <c r="A13" t="s">
        <v>59</v>
      </c>
      <c r="B13" t="s">
        <v>29</v>
      </c>
      <c r="D13" t="b">
        <v>1</v>
      </c>
      <c r="E13" t="b">
        <v>0</v>
      </c>
      <c r="F13">
        <v>0</v>
      </c>
      <c r="P13" t="s">
        <v>60</v>
      </c>
      <c r="Q13" t="str">
        <f>HYPERLINK("https://images.diginfra.net/framed3.html?imagesetuuid=8d608d2f-df2b-437f-936a-e002ab9d5d08&amp;uri=https://images.diginfra.net/iiif/NL-HaNA_1.01.02/3790/NL-HaNA_1.01.02_3790_0294.jpg", "next_meeting_viewer_url")</f>
        <v>next_meeting_viewer_url</v>
      </c>
      <c r="R13" t="str">
        <f>HYPERLINK("https://images.diginfra.net/iiif/NL-HaNA_1.01.02/3790/NL-HaNA_1.01.02_3790_0294.jpg/439,1226,802,312/full/0/default.jpg", "next_meeting_iiif_url")</f>
        <v>next_meeting_iiif_url</v>
      </c>
      <c r="S13" t="s">
        <v>61</v>
      </c>
      <c r="T13" t="str">
        <f>HYPERLINK("https://images.diginfra.net/framed3.html?imagesetuuid=8d608d2f-df2b-437f-936a-e002ab9d5d08&amp;uri=https://images.diginfra.net/iiif/NL-HaNA_1.01.02/3790/NL-HaNA_1.01.02_3790_0292.jpg", "prev_meeting_viewer_url")</f>
        <v>prev_meeting_viewer_url</v>
      </c>
      <c r="U13" t="str">
        <f>HYPERLINK("https://images.diginfra.net/iiif/NL-HaNA_1.01.02/3790/NL-HaNA_1.01.02_3790_0292.jpg/457,493,699,312/full/0/default.jpg", "prev_meeting_iiif_url")</f>
        <v>prev_meeting_iiif_url</v>
      </c>
    </row>
    <row r="14" spans="1:21" x14ac:dyDescent="0.2">
      <c r="A14" t="s">
        <v>62</v>
      </c>
      <c r="B14" t="s">
        <v>63</v>
      </c>
      <c r="C14" t="s">
        <v>64</v>
      </c>
      <c r="D14" t="b">
        <v>1</v>
      </c>
      <c r="E14" t="b">
        <v>1</v>
      </c>
      <c r="F14">
        <v>1</v>
      </c>
      <c r="G14" t="s">
        <v>65</v>
      </c>
      <c r="H14">
        <v>3763</v>
      </c>
      <c r="I14">
        <v>42</v>
      </c>
      <c r="J14">
        <v>82</v>
      </c>
      <c r="K14">
        <v>0</v>
      </c>
      <c r="L14">
        <v>2</v>
      </c>
      <c r="M14">
        <v>17</v>
      </c>
      <c r="N14" t="str">
        <f>HYPERLINK("https://images.diginfra.net/framed3.html?imagesetuuid=168ac05c-00de-43e1-bb35-d8e406b92363&amp;uri=https://images.diginfra.net/iiif/NL-HaNA_1.01.02/3763/NL-HaNA_1.01.02_3763_0042.jpg", "viewer_url")</f>
        <v>viewer_url</v>
      </c>
      <c r="O14" t="str">
        <f>HYPERLINK("https://images.diginfra.net/iiif/NL-HaNA_1.01.02/3763/NL-HaNA_1.01.02_3763_0042.jpg/316,2995,936,316/full/0/default.jpg", "iiif_url")</f>
        <v>iiif_url</v>
      </c>
      <c r="P14" t="s">
        <v>66</v>
      </c>
      <c r="Q14" t="str">
        <f>HYPERLINK("https://images.diginfra.net/framed3.html?imagesetuuid=168ac05c-00de-43e1-bb35-d8e406b92363&amp;uri=https://images.diginfra.net/iiif/NL-HaNA_1.01.02/3763/NL-HaNA_1.01.02_3763_0046.jpg", "next_meeting_viewer_url")</f>
        <v>next_meeting_viewer_url</v>
      </c>
      <c r="R14" t="str">
        <f>HYPERLINK("https://images.diginfra.net/iiif/NL-HaNA_1.01.02/3763/NL-HaNA_1.01.02_3763_0046.jpg/3409,363,771,308/full/0/default.jpg", "next_meeting_iiif_url")</f>
        <v>next_meeting_iiif_url</v>
      </c>
      <c r="S14" t="s">
        <v>67</v>
      </c>
      <c r="T14" t="str">
        <f>HYPERLINK("https://images.diginfra.net/framed3.html?imagesetuuid=168ac05c-00de-43e1-bb35-d8e406b92363&amp;uri=https://images.diginfra.net/iiif/NL-HaNA_1.01.02/3763/NL-HaNA_1.01.02_3763_0038.jpg", "prev_meeting_viewer_url")</f>
        <v>prev_meeting_viewer_url</v>
      </c>
      <c r="U14" t="str">
        <f>HYPERLINK("https://images.diginfra.net/iiif/NL-HaNA_1.01.02/3763/NL-HaNA_1.01.02_3763_0038.jpg/3423,1730,766,310/full/0/default.jpg", "prev_meeting_iiif_url")</f>
        <v>prev_meeting_iiif_url</v>
      </c>
    </row>
    <row r="15" spans="1:21" x14ac:dyDescent="0.2">
      <c r="A15" t="s">
        <v>68</v>
      </c>
      <c r="B15" t="s">
        <v>50</v>
      </c>
      <c r="C15" t="s">
        <v>69</v>
      </c>
      <c r="D15" t="b">
        <v>1</v>
      </c>
      <c r="E15" t="b">
        <v>1</v>
      </c>
      <c r="F15">
        <v>0</v>
      </c>
      <c r="G15" t="s">
        <v>70</v>
      </c>
      <c r="H15">
        <v>3762</v>
      </c>
      <c r="I15">
        <v>471</v>
      </c>
      <c r="J15">
        <v>941</v>
      </c>
      <c r="K15">
        <v>1</v>
      </c>
      <c r="L15">
        <v>0</v>
      </c>
      <c r="M15">
        <v>0</v>
      </c>
      <c r="N15" t="str">
        <f>HYPERLINK("https://images.diginfra.net/framed3.html?imagesetuuid=df3dafee-b161-42ae-8ffe-6d7f9dbb63ed&amp;uri=https://images.diginfra.net/iiif/NL-HaNA_1.01.02/3762/NL-HaNA_1.01.02_3762_0471.jpg", "viewer_url")</f>
        <v>viewer_url</v>
      </c>
      <c r="O15" t="str">
        <f>HYPERLINK("https://images.diginfra.net/iiif/NL-HaNA_1.01.02/3762/NL-HaNA_1.01.02_3762_0471.jpg/3558,329,736,317/full/0/default.jpg", "iiif_url")</f>
        <v>iiif_url</v>
      </c>
      <c r="P15" t="s">
        <v>71</v>
      </c>
      <c r="Q15" t="str">
        <f>HYPERLINK("https://images.diginfra.net/framed3.html?imagesetuuid=df3dafee-b161-42ae-8ffe-6d7f9dbb63ed&amp;uri=https://images.diginfra.net/iiif/NL-HaNA_1.01.02/3762/NL-HaNA_1.01.02_3762_0474.jpg", "next_meeting_viewer_url")</f>
        <v>next_meeting_viewer_url</v>
      </c>
      <c r="R15" t="str">
        <f>HYPERLINK("https://images.diginfra.net/iiif/NL-HaNA_1.01.02/3762/NL-HaNA_1.01.02_3762_0474.jpg/537,1493,782,307/full/0/default.jpg", "next_meeting_iiif_url")</f>
        <v>next_meeting_iiif_url</v>
      </c>
      <c r="S15" t="s">
        <v>72</v>
      </c>
      <c r="T15" t="str">
        <f>HYPERLINK("https://images.diginfra.net/framed3.html?imagesetuuid=df3dafee-b161-42ae-8ffe-6d7f9dbb63ed&amp;uri=https://images.diginfra.net/iiif/NL-HaNA_1.01.02/3762/NL-HaNA_1.01.02_3762_0469.jpg", "prev_meeting_viewer_url")</f>
        <v>prev_meeting_viewer_url</v>
      </c>
      <c r="U15" t="str">
        <f>HYPERLINK("https://images.diginfra.net/iiif/NL-HaNA_1.01.02/3762/NL-HaNA_1.01.02_3762_0469.jpg/2448,3008,1110,317/full/0/default.jpg", "prev_meeting_iiif_url")</f>
        <v>prev_meeting_iiif_url</v>
      </c>
    </row>
    <row r="16" spans="1:21" x14ac:dyDescent="0.2">
      <c r="A16" t="s">
        <v>73</v>
      </c>
      <c r="B16" t="s">
        <v>63</v>
      </c>
      <c r="C16" t="s">
        <v>74</v>
      </c>
      <c r="D16" t="b">
        <v>1</v>
      </c>
      <c r="E16" t="b">
        <v>1</v>
      </c>
      <c r="F16">
        <v>1</v>
      </c>
      <c r="G16" t="s">
        <v>75</v>
      </c>
      <c r="H16">
        <v>3799</v>
      </c>
      <c r="I16">
        <v>122</v>
      </c>
      <c r="J16">
        <v>242</v>
      </c>
      <c r="K16">
        <v>0</v>
      </c>
      <c r="L16">
        <v>4</v>
      </c>
      <c r="M16">
        <v>0</v>
      </c>
      <c r="N16" t="str">
        <f>HYPERLINK("https://images.diginfra.net/framed3.html?imagesetuuid=4246d97e-5e7a-4171-b55e-14e0b73f61db&amp;uri=https://images.diginfra.net/iiif/NL-HaNA_1.01.02/3799/NL-HaNA_1.01.02_3799_0122.jpg", "viewer_url")</f>
        <v>viewer_url</v>
      </c>
      <c r="O16" t="str">
        <f>HYPERLINK("https://images.diginfra.net/iiif/NL-HaNA_1.01.02/3799/NL-HaNA_1.01.02_3799_0122.jpg/532,2874,761,309/full/0/default.jpg", "iiif_url")</f>
        <v>iiif_url</v>
      </c>
      <c r="P16" t="s">
        <v>76</v>
      </c>
      <c r="Q16" t="str">
        <f>HYPERLINK("https://images.diginfra.net/framed3.html?imagesetuuid=4246d97e-5e7a-4171-b55e-14e0b73f61db&amp;uri=https://images.diginfra.net/iiif/NL-HaNA_1.01.02/3799/NL-HaNA_1.01.02_3799_0123.jpg", "next_meeting_viewer_url")</f>
        <v>next_meeting_viewer_url</v>
      </c>
      <c r="R16" t="str">
        <f>HYPERLINK("https://images.diginfra.net/iiif/NL-HaNA_1.01.02/3799/NL-HaNA_1.01.02_3799_0123.jpg/2568,605,675,308/full/0/default.jpg", "next_meeting_iiif_url")</f>
        <v>next_meeting_iiif_url</v>
      </c>
      <c r="S16" t="s">
        <v>77</v>
      </c>
      <c r="T16" t="str">
        <f>HYPERLINK("https://images.diginfra.net/framed3.html?imagesetuuid=4246d97e-5e7a-4171-b55e-14e0b73f61db&amp;uri=https://images.diginfra.net/iiif/NL-HaNA_1.01.02/3799/NL-HaNA_1.01.02_3799_0120.jpg", "prev_meeting_viewer_url")</f>
        <v>prev_meeting_viewer_url</v>
      </c>
      <c r="U16" t="str">
        <f>HYPERLINK("https://images.diginfra.net/iiif/NL-HaNA_1.01.02/3799/NL-HaNA_1.01.02_3799_0120.jpg/511,2884,750,317/full/0/default.jpg", "prev_meeting_iiif_url")</f>
        <v>prev_meeting_iiif_url</v>
      </c>
    </row>
    <row r="17" spans="1:21" x14ac:dyDescent="0.2">
      <c r="A17" t="s">
        <v>78</v>
      </c>
      <c r="B17" t="s">
        <v>50</v>
      </c>
      <c r="C17" t="s">
        <v>79</v>
      </c>
      <c r="D17" t="b">
        <v>1</v>
      </c>
      <c r="E17" t="b">
        <v>1</v>
      </c>
      <c r="F17">
        <v>1</v>
      </c>
      <c r="G17" t="s">
        <v>80</v>
      </c>
      <c r="H17">
        <v>3775</v>
      </c>
      <c r="I17">
        <v>416</v>
      </c>
      <c r="J17">
        <v>831</v>
      </c>
      <c r="K17">
        <v>0</v>
      </c>
      <c r="L17">
        <v>2</v>
      </c>
      <c r="M17">
        <v>0</v>
      </c>
      <c r="N17" t="str">
        <f>HYPERLINK("https://images.diginfra.net/framed3.html?imagesetuuid=e344f420-8808-4cb9-bb8a-07944ccb8c18&amp;uri=https://images.diginfra.net/iiif/NL-HaNA_1.01.02/3775/NL-HaNA_1.01.02_3775_0416.jpg", "viewer_url")</f>
        <v>viewer_url</v>
      </c>
      <c r="O17" t="str">
        <f>HYPERLINK("https://images.diginfra.net/iiif/NL-HaNA_1.01.02/3775/NL-HaNA_1.01.02_3775_0416.jpg/3335,1613,755,309/full/0/default.jpg", "iiif_url")</f>
        <v>iiif_url</v>
      </c>
      <c r="P17" t="s">
        <v>81</v>
      </c>
      <c r="Q17" t="str">
        <f>HYPERLINK("https://images.diginfra.net/framed3.html?imagesetuuid=e344f420-8808-4cb9-bb8a-07944ccb8c18&amp;uri=https://images.diginfra.net/iiif/NL-HaNA_1.01.02/3775/NL-HaNA_1.01.02_3775_0419.jpg", "next_meeting_viewer_url")</f>
        <v>next_meeting_viewer_url</v>
      </c>
      <c r="R17" t="str">
        <f>HYPERLINK("https://images.diginfra.net/iiif/NL-HaNA_1.01.02/3775/NL-HaNA_1.01.02_3775_0419.jpg/415,1255,810,310/full/0/default.jpg", "next_meeting_iiif_url")</f>
        <v>next_meeting_iiif_url</v>
      </c>
      <c r="S17" t="s">
        <v>82</v>
      </c>
      <c r="T17" t="str">
        <f>HYPERLINK("https://images.diginfra.net/framed3.html?imagesetuuid=e344f420-8808-4cb9-bb8a-07944ccb8c18&amp;uri=https://images.diginfra.net/iiif/NL-HaNA_1.01.02/3775/NL-HaNA_1.01.02_3775_0416.jpg", "prev_meeting_viewer_url")</f>
        <v>prev_meeting_viewer_url</v>
      </c>
      <c r="U17" t="str">
        <f>HYPERLINK("https://images.diginfra.net/iiif/NL-HaNA_1.01.02/3775/NL-HaNA_1.01.02_3775_0416.jpg/431,1282,709,313/full/0/default.jpg", "prev_meeting_iiif_url")</f>
        <v>prev_meeting_iiif_url</v>
      </c>
    </row>
    <row r="18" spans="1:21" x14ac:dyDescent="0.2">
      <c r="A18" t="s">
        <v>83</v>
      </c>
      <c r="B18" t="s">
        <v>50</v>
      </c>
      <c r="C18" t="s">
        <v>84</v>
      </c>
      <c r="D18" t="b">
        <v>1</v>
      </c>
      <c r="E18" t="b">
        <v>1</v>
      </c>
      <c r="F18">
        <v>1</v>
      </c>
      <c r="G18" t="s">
        <v>85</v>
      </c>
      <c r="H18">
        <v>3782</v>
      </c>
      <c r="I18">
        <v>117</v>
      </c>
      <c r="J18">
        <v>233</v>
      </c>
      <c r="K18">
        <v>1</v>
      </c>
      <c r="L18">
        <v>1</v>
      </c>
      <c r="M18">
        <v>0</v>
      </c>
      <c r="N18" t="str">
        <f>HYPERLINK("https://images.diginfra.net/framed3.html?imagesetuuid=6d3687da-fdc8-4a47-ac98-f85d45f74cb7&amp;uri=https://images.diginfra.net/iiif/NL-HaNA_1.01.02/3782/NL-HaNA_1.01.02_3782_0117.jpg", "viewer_url")</f>
        <v>viewer_url</v>
      </c>
      <c r="O18" t="str">
        <f>HYPERLINK("https://images.diginfra.net/iiif/NL-HaNA_1.01.02/3782/NL-HaNA_1.01.02_3782_0117.jpg/3543,1850,791,310/full/0/default.jpg", "iiif_url")</f>
        <v>iiif_url</v>
      </c>
      <c r="P18" t="s">
        <v>86</v>
      </c>
      <c r="Q18" t="str">
        <f>HYPERLINK("https://images.diginfra.net/framed3.html?imagesetuuid=6d3687da-fdc8-4a47-ac98-f85d45f74cb7&amp;uri=https://images.diginfra.net/iiif/NL-HaNA_1.01.02/3782/NL-HaNA_1.01.02_3782_0119.jpg", "next_meeting_viewer_url")</f>
        <v>next_meeting_viewer_url</v>
      </c>
      <c r="R18" t="str">
        <f>HYPERLINK("https://images.diginfra.net/iiif/NL-HaNA_1.01.02/3782/NL-HaNA_1.01.02_3782_0119.jpg/3520,2043,840,310/full/0/default.jpg", "next_meeting_iiif_url")</f>
        <v>next_meeting_iiif_url</v>
      </c>
      <c r="S18" t="s">
        <v>87</v>
      </c>
      <c r="T18" t="str">
        <f>HYPERLINK("https://images.diginfra.net/framed3.html?imagesetuuid=6d3687da-fdc8-4a47-ac98-f85d45f74cb7&amp;uri=https://images.diginfra.net/iiif/NL-HaNA_1.01.02/3782/NL-HaNA_1.01.02_3782_0115.jpg", "prev_meeting_viewer_url")</f>
        <v>prev_meeting_viewer_url</v>
      </c>
      <c r="U18" t="str">
        <f>HYPERLINK("https://images.diginfra.net/iiif/NL-HaNA_1.01.02/3782/NL-HaNA_1.01.02_3782_0115.jpg/430,898,770,314/full/0/default.jpg", "prev_meeting_iiif_url")</f>
        <v>prev_meeting_iiif_url</v>
      </c>
    </row>
    <row r="19" spans="1:21" x14ac:dyDescent="0.2">
      <c r="A19" t="s">
        <v>88</v>
      </c>
      <c r="B19" t="s">
        <v>29</v>
      </c>
      <c r="D19" t="b">
        <v>1</v>
      </c>
      <c r="E19" t="b">
        <v>0</v>
      </c>
      <c r="F19">
        <v>0</v>
      </c>
      <c r="P19" t="s">
        <v>89</v>
      </c>
      <c r="Q19" t="str">
        <f>HYPERLINK("https://images.diginfra.net/framed3.html?imagesetuuid=cce3dc39-04f4-4d57-b3db-fdf0a2653e66&amp;uri=https://images.diginfra.net/iiif/NL-HaNA_1.01.02/3776/NL-HaNA_1.01.02_3776_0287.jpg", "next_meeting_viewer_url")</f>
        <v>next_meeting_viewer_url</v>
      </c>
      <c r="R19" t="str">
        <f>HYPERLINK("https://images.diginfra.net/iiif/NL-HaNA_1.01.02/3776/NL-HaNA_1.01.02_3776_0287.jpg/3618,441,740,315/full/0/default.jpg", "next_meeting_iiif_url")</f>
        <v>next_meeting_iiif_url</v>
      </c>
    </row>
    <row r="20" spans="1:21" x14ac:dyDescent="0.2">
      <c r="A20" t="s">
        <v>90</v>
      </c>
      <c r="B20" t="s">
        <v>43</v>
      </c>
      <c r="D20" t="b">
        <v>1</v>
      </c>
      <c r="E20" t="b">
        <v>0</v>
      </c>
      <c r="F20">
        <v>0</v>
      </c>
      <c r="P20" t="s">
        <v>91</v>
      </c>
      <c r="Q20" t="str">
        <f>HYPERLINK("https://images.diginfra.net/framed3.html?imagesetuuid=93b95c12-1805-42f5-98c6-c352681b46bb&amp;uri=https://images.diginfra.net/iiif/NL-HaNA_1.01.02/3833/NL-HaNA_1.01.02_3833_0161.jpg", "next_meeting_viewer_url")</f>
        <v>next_meeting_viewer_url</v>
      </c>
      <c r="R20" t="str">
        <f>HYPERLINK("https://images.diginfra.net/iiif/NL-HaNA_1.01.02/3833/NL-HaNA_1.01.02_3833_0161.jpg/3477,2236,801,310/full/0/default.jpg", "next_meeting_iiif_url")</f>
        <v>next_meeting_iiif_url</v>
      </c>
      <c r="S20" t="s">
        <v>92</v>
      </c>
      <c r="T20" t="str">
        <f>HYPERLINK("https://images.diginfra.net/framed3.html?imagesetuuid=93b95c12-1805-42f5-98c6-c352681b46bb&amp;uri=https://images.diginfra.net/iiif/NL-HaNA_1.01.02/3833/NL-HaNA_1.01.02_3833_0157.jpg", "prev_meeting_viewer_url")</f>
        <v>prev_meeting_viewer_url</v>
      </c>
      <c r="U20" t="str">
        <f>HYPERLINK("https://images.diginfra.net/iiif/NL-HaNA_1.01.02/3833/NL-HaNA_1.01.02_3833_0157.jpg/1358,2319,811,311/full/0/default.jpg", "prev_meeting_iiif_url")</f>
        <v>prev_meeting_iiif_url</v>
      </c>
    </row>
    <row r="21" spans="1:21" x14ac:dyDescent="0.2">
      <c r="A21" t="s">
        <v>93</v>
      </c>
      <c r="B21" t="s">
        <v>25</v>
      </c>
      <c r="D21" t="b">
        <v>0</v>
      </c>
      <c r="E21" t="b">
        <v>0</v>
      </c>
      <c r="F21">
        <v>1</v>
      </c>
    </row>
    <row r="22" spans="1:21" x14ac:dyDescent="0.2">
      <c r="A22" t="s">
        <v>94</v>
      </c>
      <c r="B22" t="s">
        <v>25</v>
      </c>
      <c r="D22" t="b">
        <v>0</v>
      </c>
      <c r="E22" t="b">
        <v>0</v>
      </c>
      <c r="F22">
        <v>1</v>
      </c>
      <c r="P22" t="s">
        <v>95</v>
      </c>
      <c r="Q22" t="str">
        <f>HYPERLINK("https://images.diginfra.net/framed3.html?imagesetuuid=f36c8416-59a8-4b1a-a82a-ef225cbd1971&amp;uri=https://images.diginfra.net/iiif/NL-HaNA_1.01.02/3801/NL-HaNA_1.01.02_3801_0418.jpg", "next_meeting_viewer_url")</f>
        <v>next_meeting_viewer_url</v>
      </c>
      <c r="R22" t="str">
        <f>HYPERLINK("https://images.diginfra.net/iiif/NL-HaNA_1.01.02/3801/NL-HaNA_1.01.02_3801_0418.jpg/473,2051,746,313/full/0/default.jpg", "next_meeting_iiif_url")</f>
        <v>next_meeting_iiif_url</v>
      </c>
      <c r="S22" t="s">
        <v>96</v>
      </c>
      <c r="T22" t="str">
        <f>HYPERLINK("https://images.diginfra.net/framed3.html?imagesetuuid=f36c8416-59a8-4b1a-a82a-ef225cbd1971&amp;uri=https://images.diginfra.net/iiif/NL-HaNA_1.01.02/3801/NL-HaNA_1.01.02_3801_0417.jpg", "prev_meeting_viewer_url")</f>
        <v>prev_meeting_viewer_url</v>
      </c>
      <c r="U22" t="str">
        <f>HYPERLINK("https://images.diginfra.net/iiif/NL-HaNA_1.01.02/3801/NL-HaNA_1.01.02_3801_0417.jpg/452,2898,776,311/full/0/default.jpg", "prev_meeting_iiif_url")</f>
        <v>prev_meeting_iiif_url</v>
      </c>
    </row>
    <row r="23" spans="1:21" x14ac:dyDescent="0.2">
      <c r="A23" t="s">
        <v>97</v>
      </c>
      <c r="B23" t="s">
        <v>63</v>
      </c>
      <c r="D23" t="b">
        <v>0</v>
      </c>
      <c r="E23" t="b">
        <v>0</v>
      </c>
      <c r="F23">
        <v>1</v>
      </c>
      <c r="P23" t="s">
        <v>98</v>
      </c>
      <c r="Q23" t="str">
        <f>HYPERLINK("https://images.diginfra.net/framed3.html?imagesetuuid=08f55768-66d4-4560-816c-70f4ea910842&amp;uri=https://images.diginfra.net/iiif/NL-HaNA_1.01.02/3823/NL-HaNA_1.01.02_3823_0277.jpg", "next_meeting_viewer_url")</f>
        <v>next_meeting_viewer_url</v>
      </c>
      <c r="R23" t="str">
        <f>HYPERLINK("https://images.diginfra.net/iiif/NL-HaNA_1.01.02/3823/NL-HaNA_1.01.02_3823_0277.jpg/261,1866,961,321/full/0/default.jpg", "next_meeting_iiif_url")</f>
        <v>next_meeting_iiif_url</v>
      </c>
    </row>
    <row r="24" spans="1:21" x14ac:dyDescent="0.2">
      <c r="A24" t="s">
        <v>99</v>
      </c>
      <c r="B24" t="s">
        <v>29</v>
      </c>
      <c r="C24" t="s">
        <v>100</v>
      </c>
      <c r="D24" t="b">
        <v>1</v>
      </c>
      <c r="E24" t="b">
        <v>1</v>
      </c>
      <c r="F24">
        <v>1</v>
      </c>
      <c r="G24" t="s">
        <v>101</v>
      </c>
      <c r="H24">
        <v>3791</v>
      </c>
      <c r="I24">
        <v>338</v>
      </c>
      <c r="J24">
        <v>675</v>
      </c>
      <c r="K24">
        <v>1</v>
      </c>
      <c r="L24">
        <v>1</v>
      </c>
      <c r="M24">
        <v>0</v>
      </c>
      <c r="N24" t="str">
        <f>HYPERLINK("https://images.diginfra.net/framed3.html?imagesetuuid=e5198992-3bac-4cce-bc59-b70724ee426a&amp;uri=https://images.diginfra.net/iiif/NL-HaNA_1.01.02/3791/NL-HaNA_1.01.02_3791_0338.jpg", "viewer_url")</f>
        <v>viewer_url</v>
      </c>
      <c r="O24" t="str">
        <f>HYPERLINK("https://images.diginfra.net/iiif/NL-HaNA_1.01.02/3791/NL-HaNA_1.01.02_3791_0338.jpg/3527,1455,747,313/full/0/default.jpg", "iiif_url")</f>
        <v>iiif_url</v>
      </c>
      <c r="S24" t="s">
        <v>102</v>
      </c>
      <c r="T24" t="str">
        <f>HYPERLINK("https://images.diginfra.net/framed3.html?imagesetuuid=e5198992-3bac-4cce-bc59-b70724ee426a&amp;uri=https://images.diginfra.net/iiif/NL-HaNA_1.01.02/3791/NL-HaNA_1.01.02_3791_0338.jpg", "prev_meeting_viewer_url")</f>
        <v>prev_meeting_viewer_url</v>
      </c>
      <c r="U24" t="str">
        <f>HYPERLINK("https://images.diginfra.net/iiif/NL-HaNA_1.01.02/3791/NL-HaNA_1.01.02_3791_0338.jpg/1393,687,693,313/full/0/default.jpg", "prev_meeting_iiif_url")</f>
        <v>prev_meeting_iiif_url</v>
      </c>
    </row>
    <row r="25" spans="1:21" x14ac:dyDescent="0.2">
      <c r="A25" t="s">
        <v>103</v>
      </c>
      <c r="B25" t="s">
        <v>63</v>
      </c>
      <c r="C25" t="s">
        <v>104</v>
      </c>
      <c r="D25" t="b">
        <v>1</v>
      </c>
      <c r="E25" t="b">
        <v>1</v>
      </c>
      <c r="F25">
        <v>1</v>
      </c>
      <c r="G25" t="s">
        <v>105</v>
      </c>
      <c r="H25">
        <v>3792</v>
      </c>
      <c r="I25">
        <v>160</v>
      </c>
      <c r="J25">
        <v>318</v>
      </c>
      <c r="K25">
        <v>0</v>
      </c>
      <c r="L25">
        <v>0</v>
      </c>
      <c r="M25">
        <v>0</v>
      </c>
      <c r="N25" t="str">
        <f>HYPERLINK("https://images.diginfra.net/framed3.html?imagesetuuid=507d79a4-2a42-4e84-afa5-a9ccb1e544fe&amp;uri=https://images.diginfra.net/iiif/NL-HaNA_1.01.02/3792/NL-HaNA_1.01.02_3792_0160.jpg", "viewer_url")</f>
        <v>viewer_url</v>
      </c>
      <c r="O25" t="str">
        <f>HYPERLINK("https://images.diginfra.net/iiif/NL-HaNA_1.01.02/3792/NL-HaNA_1.01.02_3792_0160.jpg/460,375,702,314/full/0/default.jpg", "iiif_url")</f>
        <v>iiif_url</v>
      </c>
      <c r="S25" t="s">
        <v>106</v>
      </c>
      <c r="T25" t="str">
        <f>HYPERLINK("https://images.diginfra.net/framed3.html?imagesetuuid=507d79a4-2a42-4e84-afa5-a9ccb1e544fe&amp;uri=https://images.diginfra.net/iiif/NL-HaNA_1.01.02/3792/NL-HaNA_1.01.02_3792_0159.jpg", "prev_meeting_viewer_url")</f>
        <v>prev_meeting_viewer_url</v>
      </c>
      <c r="U25" t="str">
        <f>HYPERLINK("https://images.diginfra.net/iiif/NL-HaNA_1.01.02/3792/NL-HaNA_1.01.02_3792_0159.jpg/485,998,715,324/full/0/default.jpg", "prev_meeting_iiif_url")</f>
        <v>prev_meeting_iiif_url</v>
      </c>
    </row>
    <row r="26" spans="1:21" x14ac:dyDescent="0.2">
      <c r="A26" t="s">
        <v>107</v>
      </c>
      <c r="B26" t="s">
        <v>25</v>
      </c>
      <c r="D26" t="b">
        <v>0</v>
      </c>
      <c r="E26" t="b">
        <v>0</v>
      </c>
      <c r="F26">
        <v>1</v>
      </c>
      <c r="P26" t="s">
        <v>108</v>
      </c>
      <c r="Q26" t="str">
        <f>HYPERLINK("https://images.diginfra.net/framed3.html?imagesetuuid=47881e95-07b9-4c17-8cf4-b55a034c8db2&amp;uri=https://images.diginfra.net/iiif/NL-HaNA_1.01.02/3841/NL-HaNA_1.01.02_3841_0147.jpg", "next_meeting_viewer_url")</f>
        <v>next_meeting_viewer_url</v>
      </c>
      <c r="R26" t="str">
        <f>HYPERLINK("https://images.diginfra.net/iiif/NL-HaNA_1.01.02/3841/NL-HaNA_1.01.02_3841_0147.jpg/3409,2513,717,313/full/0/default.jpg", "next_meeting_iiif_url")</f>
        <v>next_meeting_iiif_url</v>
      </c>
    </row>
    <row r="27" spans="1:21" x14ac:dyDescent="0.2">
      <c r="A27" t="s">
        <v>109</v>
      </c>
      <c r="B27" t="s">
        <v>63</v>
      </c>
      <c r="C27" t="s">
        <v>110</v>
      </c>
      <c r="D27" t="b">
        <v>1</v>
      </c>
      <c r="E27" t="b">
        <v>1</v>
      </c>
      <c r="F27">
        <v>1</v>
      </c>
      <c r="G27" t="s">
        <v>111</v>
      </c>
      <c r="H27">
        <v>3806</v>
      </c>
      <c r="I27">
        <v>247</v>
      </c>
      <c r="J27">
        <v>492</v>
      </c>
      <c r="K27">
        <v>1</v>
      </c>
      <c r="L27">
        <v>1</v>
      </c>
      <c r="M27">
        <v>0</v>
      </c>
      <c r="N27" t="str">
        <f>HYPERLINK("https://images.diginfra.net/framed3.html?imagesetuuid=0c00a1f2-d59c-4408-905f-fe388b02204f&amp;uri=https://images.diginfra.net/iiif/NL-HaNA_1.01.02/3806/NL-HaNA_1.01.02_3806_0247.jpg", "viewer_url")</f>
        <v>viewer_url</v>
      </c>
      <c r="O27" t="str">
        <f>HYPERLINK("https://images.diginfra.net/iiif/NL-HaNA_1.01.02/3806/NL-HaNA_1.01.02_3806_0247.jpg/1396,2648,785,313/full/0/default.jpg", "iiif_url")</f>
        <v>iiif_url</v>
      </c>
      <c r="P27" t="s">
        <v>112</v>
      </c>
      <c r="Q27" t="str">
        <f>HYPERLINK("https://images.diginfra.net/framed3.html?imagesetuuid=0c00a1f2-d59c-4408-905f-fe388b02204f&amp;uri=https://images.diginfra.net/iiif/NL-HaNA_1.01.02/3806/NL-HaNA_1.01.02_3806_0247.jpg", "next_meeting_viewer_url")</f>
        <v>next_meeting_viewer_url</v>
      </c>
      <c r="R27" t="str">
        <f>HYPERLINK("https://images.diginfra.net/iiif/NL-HaNA_1.01.02/3806/NL-HaNA_1.01.02_3806_0247.jpg/2874,3051,422,312/full/0/default.jpg", "next_meeting_iiif_url")</f>
        <v>next_meeting_iiif_url</v>
      </c>
      <c r="S27" t="s">
        <v>113</v>
      </c>
      <c r="T27" t="str">
        <f>HYPERLINK("https://images.diginfra.net/framed3.html?imagesetuuid=0c00a1f2-d59c-4408-905f-fe388b02204f&amp;uri=https://images.diginfra.net/iiif/NL-HaNA_1.01.02/3806/NL-HaNA_1.01.02_3806_0245.jpg", "prev_meeting_viewer_url")</f>
        <v>prev_meeting_viewer_url</v>
      </c>
      <c r="U27" t="str">
        <f>HYPERLINK("https://images.diginfra.net/iiif/NL-HaNA_1.01.02/3806/NL-HaNA_1.01.02_3806_0245.jpg/2607,925,757,313/full/0/default.jpg", "prev_meeting_iiif_url")</f>
        <v>prev_meeting_iiif_url</v>
      </c>
    </row>
    <row r="28" spans="1:21" x14ac:dyDescent="0.2">
      <c r="A28" t="s">
        <v>114</v>
      </c>
      <c r="B28" t="s">
        <v>25</v>
      </c>
      <c r="D28" t="b">
        <v>0</v>
      </c>
      <c r="E28" t="b">
        <v>0</v>
      </c>
      <c r="F28">
        <v>1</v>
      </c>
    </row>
    <row r="29" spans="1:21" x14ac:dyDescent="0.2">
      <c r="A29" t="s">
        <v>115</v>
      </c>
      <c r="B29" t="s">
        <v>63</v>
      </c>
      <c r="D29" t="b">
        <v>0</v>
      </c>
      <c r="E29" t="b">
        <v>0</v>
      </c>
      <c r="F29">
        <v>1</v>
      </c>
      <c r="P29" t="s">
        <v>116</v>
      </c>
      <c r="Q29" t="str">
        <f>HYPERLINK("https://images.diginfra.net/framed3.html?imagesetuuid=bdc1056d-db1f-4bb6-bf02-36bea1fa2f06&amp;uri=https://images.diginfra.net/iiif/NL-HaNA_1.01.02/3857/NL-HaNA_1.01.02_3857_0105.jpg", "next_meeting_viewer_url")</f>
        <v>next_meeting_viewer_url</v>
      </c>
      <c r="R29" t="str">
        <f>HYPERLINK("https://images.diginfra.net/iiif/NL-HaNA_1.01.02/3857/NL-HaNA_1.01.02_3857_0105.jpg/2428,1030,765,320/full/0/default.jpg", "next_meeting_iiif_url")</f>
        <v>next_meeting_iiif_url</v>
      </c>
      <c r="S29" t="s">
        <v>117</v>
      </c>
      <c r="T29" t="str">
        <f>HYPERLINK("https://images.diginfra.net/framed3.html?imagesetuuid=bdc1056d-db1f-4bb6-bf02-36bea1fa2f06&amp;uri=https://images.diginfra.net/iiif/NL-HaNA_1.01.02/3857/NL-HaNA_1.01.02_3857_0103.jpg", "prev_meeting_viewer_url")</f>
        <v>prev_meeting_viewer_url</v>
      </c>
      <c r="U29" t="str">
        <f>HYPERLINK("https://images.diginfra.net/iiif/NL-HaNA_1.01.02/3857/NL-HaNA_1.01.02_3857_0103.jpg/3451,2729,806,310/full/0/default.jpg", "prev_meeting_iiif_url")</f>
        <v>prev_meeting_iiif_url</v>
      </c>
    </row>
    <row r="30" spans="1:21" x14ac:dyDescent="0.2">
      <c r="A30" t="s">
        <v>118</v>
      </c>
      <c r="B30" t="s">
        <v>63</v>
      </c>
      <c r="D30" t="b">
        <v>0</v>
      </c>
      <c r="E30" t="b">
        <v>0</v>
      </c>
      <c r="F30">
        <v>1</v>
      </c>
      <c r="P30" t="s">
        <v>119</v>
      </c>
      <c r="Q30" t="str">
        <f>HYPERLINK("https://images.diginfra.net/framed3.html?imagesetuuid=365b5200-93cb-433b-b7cc-5e0bd70f223a&amp;uri=https://images.diginfra.net/iiif/NL-HaNA_1.01.02/3845/NL-HaNA_1.01.02_3845_0105.jpg", "next_meeting_viewer_url")</f>
        <v>next_meeting_viewer_url</v>
      </c>
      <c r="R30" t="str">
        <f>HYPERLINK("https://images.diginfra.net/iiif/NL-HaNA_1.01.02/3845/NL-HaNA_1.01.02_3845_0105.jpg/1654,1131,337,311/full/0/default.jpg", "next_meeting_iiif_url")</f>
        <v>next_meeting_iiif_url</v>
      </c>
      <c r="S30" t="s">
        <v>120</v>
      </c>
      <c r="T30" t="str">
        <f>HYPERLINK("https://images.diginfra.net/framed3.html?imagesetuuid=365b5200-93cb-433b-b7cc-5e0bd70f223a&amp;uri=https://images.diginfra.net/iiif/NL-HaNA_1.01.02/3845/NL-HaNA_1.01.02_3845_0103.jpg", "prev_meeting_viewer_url")</f>
        <v>prev_meeting_viewer_url</v>
      </c>
      <c r="U30" t="str">
        <f>HYPERLINK("https://images.diginfra.net/iiif/NL-HaNA_1.01.02/3845/NL-HaNA_1.01.02_3845_0103.jpg/552,758,775,311/full/0/default.jpg", "prev_meeting_iiif_url")</f>
        <v>prev_meeting_iiif_url</v>
      </c>
    </row>
    <row r="31" spans="1:21" x14ac:dyDescent="0.2">
      <c r="A31" t="s">
        <v>121</v>
      </c>
      <c r="B31" t="s">
        <v>50</v>
      </c>
      <c r="C31" t="s">
        <v>122</v>
      </c>
      <c r="D31" t="b">
        <v>1</v>
      </c>
      <c r="E31" t="b">
        <v>1</v>
      </c>
      <c r="F31">
        <v>0</v>
      </c>
      <c r="G31" t="s">
        <v>123</v>
      </c>
      <c r="H31">
        <v>3787</v>
      </c>
      <c r="I31">
        <v>375</v>
      </c>
      <c r="J31">
        <v>749</v>
      </c>
      <c r="K31">
        <v>0</v>
      </c>
      <c r="L31">
        <v>2</v>
      </c>
      <c r="M31">
        <v>0</v>
      </c>
      <c r="N31" t="str">
        <f>HYPERLINK("https://images.diginfra.net/framed3.html?imagesetuuid=db7b00f7-0cd1-4078-9123-41ccf17bd821&amp;uri=https://images.diginfra.net/iiif/NL-HaNA_1.01.02/3787/NL-HaNA_1.01.02_3787_0375.jpg", "viewer_url")</f>
        <v>viewer_url</v>
      </c>
      <c r="O31" t="str">
        <f>HYPERLINK("https://images.diginfra.net/iiif/NL-HaNA_1.01.02/3787/NL-HaNA_1.01.02_3787_0375.jpg/2460,2008,790,310/full/0/default.jpg", "iiif_url")</f>
        <v>iiif_url</v>
      </c>
      <c r="P31" t="s">
        <v>124</v>
      </c>
      <c r="Q31" t="str">
        <f>HYPERLINK("https://images.diginfra.net/framed3.html?imagesetuuid=db7b00f7-0cd1-4078-9123-41ccf17bd821&amp;uri=https://images.diginfra.net/iiif/NL-HaNA_1.01.02/3787/NL-HaNA_1.01.02_3787_0376.jpg", "next_meeting_viewer_url")</f>
        <v>next_meeting_viewer_url</v>
      </c>
      <c r="R31" t="str">
        <f>HYPERLINK("https://images.diginfra.net/iiif/NL-HaNA_1.01.02/3787/NL-HaNA_1.01.02_3787_0376.jpg/2507,1301,801,309/full/0/default.jpg", "next_meeting_iiif_url")</f>
        <v>next_meeting_iiif_url</v>
      </c>
    </row>
    <row r="32" spans="1:21" x14ac:dyDescent="0.2">
      <c r="A32" t="s">
        <v>125</v>
      </c>
      <c r="B32" t="s">
        <v>21</v>
      </c>
      <c r="C32" t="s">
        <v>53</v>
      </c>
      <c r="D32" t="b">
        <v>1</v>
      </c>
      <c r="E32" t="b">
        <v>1</v>
      </c>
      <c r="F32">
        <v>1</v>
      </c>
      <c r="G32" t="s">
        <v>126</v>
      </c>
      <c r="H32">
        <v>3811</v>
      </c>
      <c r="I32">
        <v>129</v>
      </c>
      <c r="J32">
        <v>256</v>
      </c>
      <c r="K32">
        <v>0</v>
      </c>
      <c r="L32">
        <v>3</v>
      </c>
      <c r="M32">
        <v>0</v>
      </c>
      <c r="N32" t="str">
        <f>HYPERLINK("https://images.diginfra.net/framed3.html?imagesetuuid=f707f64c-15ec-4624-ba99-82cb83d16c2c&amp;uri=https://images.diginfra.net/iiif/NL-HaNA_1.01.02/3811/NL-HaNA_1.01.02_3811_0129.jpg", "viewer_url")</f>
        <v>viewer_url</v>
      </c>
      <c r="O32" t="str">
        <f>HYPERLINK("https://images.diginfra.net/iiif/NL-HaNA_1.01.02/3811/NL-HaNA_1.01.02_3811_0129.jpg/385,2898,793,312/full/0/default.jpg", "iiif_url")</f>
        <v>iiif_url</v>
      </c>
      <c r="P32" t="s">
        <v>127</v>
      </c>
      <c r="Q32" t="str">
        <f>HYPERLINK("https://images.diginfra.net/framed3.html?imagesetuuid=f707f64c-15ec-4624-ba99-82cb83d16c2c&amp;uri=https://images.diginfra.net/iiif/NL-HaNA_1.01.02/3811/NL-HaNA_1.01.02_3811_0130.jpg", "next_meeting_viewer_url")</f>
        <v>next_meeting_viewer_url</v>
      </c>
      <c r="R32" t="str">
        <f>HYPERLINK("https://images.diginfra.net/iiif/NL-HaNA_1.01.02/3811/NL-HaNA_1.01.02_3811_0130.jpg/3588,2079,716,310/full/0/default.jpg", "next_meeting_iiif_url")</f>
        <v>next_meeting_iiif_url</v>
      </c>
      <c r="S32" t="s">
        <v>51</v>
      </c>
      <c r="T32" t="str">
        <f>HYPERLINK("https://images.diginfra.net/framed3.html?imagesetuuid=f707f64c-15ec-4624-ba99-82cb83d16c2c&amp;uri=https://images.diginfra.net/iiif/NL-HaNA_1.01.02/3811/NL-HaNA_1.01.02_3811_0126.jpg", "prev_meeting_viewer_url")</f>
        <v>prev_meeting_viewer_url</v>
      </c>
      <c r="U32" t="str">
        <f>HYPERLINK("https://images.diginfra.net/iiif/NL-HaNA_1.01.02/3811/NL-HaNA_1.01.02_3811_0126.jpg/3544,3048,747,308/full/0/default.jpg", "prev_meeting_iiif_url")</f>
        <v>prev_meeting_iiif_url</v>
      </c>
    </row>
    <row r="33" spans="1:21" x14ac:dyDescent="0.2">
      <c r="A33" t="s">
        <v>128</v>
      </c>
      <c r="B33" t="s">
        <v>21</v>
      </c>
      <c r="D33" t="b">
        <v>1</v>
      </c>
      <c r="E33" t="b">
        <v>0</v>
      </c>
      <c r="F33">
        <v>0</v>
      </c>
    </row>
    <row r="34" spans="1:21" x14ac:dyDescent="0.2">
      <c r="A34" t="s">
        <v>129</v>
      </c>
      <c r="B34" t="s">
        <v>63</v>
      </c>
      <c r="D34" t="b">
        <v>0</v>
      </c>
      <c r="E34" t="b">
        <v>0</v>
      </c>
      <c r="F34">
        <v>1</v>
      </c>
      <c r="P34" t="s">
        <v>130</v>
      </c>
      <c r="Q34" t="str">
        <f>HYPERLINK("https://images.diginfra.net/framed3.html?imagesetuuid=f707f64c-15ec-4624-ba99-82cb83d16c2c&amp;uri=https://images.diginfra.net/iiif/NL-HaNA_1.01.02/3811/NL-HaNA_1.01.02_3811_0435.jpg", "next_meeting_viewer_url")</f>
        <v>next_meeting_viewer_url</v>
      </c>
      <c r="R34" t="str">
        <f>HYPERLINK("https://images.diginfra.net/iiif/NL-HaNA_1.01.02/3811/NL-HaNA_1.01.02_3811_0435.jpg/1289,910,767,314/full/0/default.jpg", "next_meeting_iiif_url")</f>
        <v>next_meeting_iiif_url</v>
      </c>
      <c r="S34" t="s">
        <v>131</v>
      </c>
      <c r="T34" t="str">
        <f>HYPERLINK("https://images.diginfra.net/framed3.html?imagesetuuid=f707f64c-15ec-4624-ba99-82cb83d16c2c&amp;uri=https://images.diginfra.net/iiif/NL-HaNA_1.01.02/3811/NL-HaNA_1.01.02_3811_0433.jpg", "prev_meeting_viewer_url")</f>
        <v>prev_meeting_viewer_url</v>
      </c>
      <c r="U34" t="str">
        <f>HYPERLINK("https://images.diginfra.net/iiif/NL-HaNA_1.01.02/3811/NL-HaNA_1.01.02_3811_0433.jpg/1283,2353,822,312/full/0/default.jpg", "prev_meeting_iiif_url")</f>
        <v>prev_meeting_iiif_url</v>
      </c>
    </row>
    <row r="35" spans="1:21" x14ac:dyDescent="0.2">
      <c r="A35" t="s">
        <v>132</v>
      </c>
      <c r="B35" t="s">
        <v>50</v>
      </c>
      <c r="C35" t="s">
        <v>133</v>
      </c>
      <c r="D35" t="b">
        <v>1</v>
      </c>
      <c r="E35" t="b">
        <v>1</v>
      </c>
      <c r="F35">
        <v>1</v>
      </c>
      <c r="G35" t="s">
        <v>134</v>
      </c>
      <c r="H35">
        <v>3791</v>
      </c>
      <c r="I35">
        <v>210</v>
      </c>
      <c r="J35">
        <v>418</v>
      </c>
      <c r="K35">
        <v>0</v>
      </c>
      <c r="L35">
        <v>1</v>
      </c>
      <c r="M35">
        <v>0</v>
      </c>
      <c r="N35" t="str">
        <f>HYPERLINK("https://images.diginfra.net/framed3.html?imagesetuuid=e5198992-3bac-4cce-bc59-b70724ee426a&amp;uri=https://images.diginfra.net/iiif/NL-HaNA_1.01.02/3791/NL-HaNA_1.01.02_3791_0210.jpg", "viewer_url")</f>
        <v>viewer_url</v>
      </c>
      <c r="O35" t="str">
        <f>HYPERLINK("https://images.diginfra.net/iiif/NL-HaNA_1.01.02/3791/NL-HaNA_1.01.02_3791_0210.jpg/461,2141,697,317/full/0/default.jpg", "iiif_url")</f>
        <v>iiif_url</v>
      </c>
      <c r="P35" t="s">
        <v>135</v>
      </c>
      <c r="Q35" t="str">
        <f>HYPERLINK("https://images.diginfra.net/framed3.html?imagesetuuid=e5198992-3bac-4cce-bc59-b70724ee426a&amp;uri=https://images.diginfra.net/iiif/NL-HaNA_1.01.02/3791/NL-HaNA_1.01.02_3791_0210.jpg", "next_meeting_viewer_url")</f>
        <v>next_meeting_viewer_url</v>
      </c>
      <c r="R35" t="str">
        <f>HYPERLINK("https://images.diginfra.net/iiif/NL-HaNA_1.01.02/3791/NL-HaNA_1.01.02_3791_0210.jpg/3401,1151,799,312/full/0/default.jpg", "next_meeting_iiif_url")</f>
        <v>next_meeting_iiif_url</v>
      </c>
      <c r="S35" t="s">
        <v>136</v>
      </c>
      <c r="T35" t="str">
        <f>HYPERLINK("https://images.diginfra.net/framed3.html?imagesetuuid=e5198992-3bac-4cce-bc59-b70724ee426a&amp;uri=https://images.diginfra.net/iiif/NL-HaNA_1.01.02/3791/NL-HaNA_1.01.02_3791_0207.jpg", "prev_meeting_viewer_url")</f>
        <v>prev_meeting_viewer_url</v>
      </c>
      <c r="U35" t="str">
        <f>HYPERLINK("https://images.diginfra.net/iiif/NL-HaNA_1.01.02/3791/NL-HaNA_1.01.02_3791_0207.jpg/3548,1958,637,313/full/0/default.jpg", "prev_meeting_iiif_url")</f>
        <v>prev_meeting_iiif_url</v>
      </c>
    </row>
    <row r="36" spans="1:21" x14ac:dyDescent="0.2">
      <c r="A36" t="s">
        <v>137</v>
      </c>
      <c r="B36" t="s">
        <v>63</v>
      </c>
      <c r="C36" t="s">
        <v>138</v>
      </c>
      <c r="D36" t="b">
        <v>1</v>
      </c>
      <c r="E36" t="b">
        <v>1</v>
      </c>
      <c r="F36">
        <v>1</v>
      </c>
      <c r="G36" t="s">
        <v>139</v>
      </c>
      <c r="H36">
        <v>3798</v>
      </c>
      <c r="I36">
        <v>310</v>
      </c>
      <c r="J36">
        <v>619</v>
      </c>
      <c r="K36">
        <v>0</v>
      </c>
      <c r="L36">
        <v>0</v>
      </c>
      <c r="M36">
        <v>31</v>
      </c>
      <c r="N36" t="str">
        <f>HYPERLINK("https://images.diginfra.net/framed3.html?imagesetuuid=c3e98c27-09b5-46e4-b19a-b811d240b059&amp;uri=https://images.diginfra.net/iiif/NL-HaNA_1.01.02/3798/NL-HaNA_1.01.02_3798_0310.jpg", "viewer_url")</f>
        <v>viewer_url</v>
      </c>
      <c r="O36" t="str">
        <f>HYPERLINK("https://images.diginfra.net/iiif/NL-HaNA_1.01.02/3798/NL-HaNA_1.01.02_3798_0310.jpg/2500,1764,1025,318/full/0/default.jpg", "iiif_url")</f>
        <v>iiif_url</v>
      </c>
      <c r="S36" t="s">
        <v>140</v>
      </c>
      <c r="T36" t="str">
        <f>HYPERLINK("https://images.diginfra.net/framed3.html?imagesetuuid=c3e98c27-09b5-46e4-b19a-b811d240b059&amp;uri=https://images.diginfra.net/iiif/NL-HaNA_1.01.02/3798/NL-HaNA_1.01.02_3798_0309.jpg", "prev_meeting_viewer_url")</f>
        <v>prev_meeting_viewer_url</v>
      </c>
      <c r="U36" t="str">
        <f>HYPERLINK("https://images.diginfra.net/iiif/NL-HaNA_1.01.02/3798/NL-HaNA_1.01.02_3798_0309.jpg/3504,2949,788,320/full/0/default.jpg", "prev_meeting_iiif_url")</f>
        <v>prev_meeting_iiif_url</v>
      </c>
    </row>
    <row r="37" spans="1:21" x14ac:dyDescent="0.2">
      <c r="A37" t="s">
        <v>141</v>
      </c>
      <c r="B37" t="s">
        <v>142</v>
      </c>
      <c r="C37" t="s">
        <v>143</v>
      </c>
      <c r="D37" t="b">
        <v>1</v>
      </c>
      <c r="E37" t="b">
        <v>1</v>
      </c>
      <c r="F37">
        <v>1</v>
      </c>
      <c r="G37" t="s">
        <v>144</v>
      </c>
      <c r="H37">
        <v>3840</v>
      </c>
      <c r="I37">
        <v>239</v>
      </c>
      <c r="J37">
        <v>476</v>
      </c>
      <c r="K37">
        <v>0</v>
      </c>
      <c r="L37">
        <v>1</v>
      </c>
      <c r="M37">
        <v>0</v>
      </c>
      <c r="N37" t="str">
        <f>HYPERLINK("https://images.diginfra.net/framed3.html?imagesetuuid=139f8e53-59b0-4363-bde8-a631a3d6702a&amp;uri=https://images.diginfra.net/iiif/NL-HaNA_1.01.02/3840/NL-HaNA_1.01.02_3840_0239.jpg", "viewer_url")</f>
        <v>viewer_url</v>
      </c>
      <c r="O37" t="str">
        <f>HYPERLINK("https://images.diginfra.net/iiif/NL-HaNA_1.01.02/3840/NL-HaNA_1.01.02_3840_0239.jpg/486,1072,643,313/full/0/default.jpg", "iiif_url")</f>
        <v>iiif_url</v>
      </c>
      <c r="P37" t="s">
        <v>145</v>
      </c>
      <c r="Q37" t="str">
        <f>HYPERLINK("https://images.diginfra.net/framed3.html?imagesetuuid=139f8e53-59b0-4363-bde8-a631a3d6702a&amp;uri=https://images.diginfra.net/iiif/NL-HaNA_1.01.02/3840/NL-HaNA_1.01.02_3840_0240.jpg", "next_meeting_viewer_url")</f>
        <v>next_meeting_viewer_url</v>
      </c>
      <c r="R37" t="str">
        <f>HYPERLINK("https://images.diginfra.net/iiif/NL-HaNA_1.01.02/3840/NL-HaNA_1.01.02_3840_0240.jpg/427,2212,709,320/full/0/default.jpg", "next_meeting_iiif_url")</f>
        <v>next_meeting_iiif_url</v>
      </c>
      <c r="S37" t="s">
        <v>146</v>
      </c>
      <c r="T37" t="str">
        <f>HYPERLINK("https://images.diginfra.net/framed3.html?imagesetuuid=139f8e53-59b0-4363-bde8-a631a3d6702a&amp;uri=https://images.diginfra.net/iiif/NL-HaNA_1.01.02/3840/NL-HaNA_1.01.02_3840_0238.jpg", "prev_meeting_viewer_url")</f>
        <v>prev_meeting_viewer_url</v>
      </c>
      <c r="U37" t="str">
        <f>HYPERLINK("https://images.diginfra.net/iiif/NL-HaNA_1.01.02/3840/NL-HaNA_1.01.02_3840_0238.jpg/427,2621,725,317/full/0/default.jpg", "prev_meeting_iiif_url")</f>
        <v>prev_meeting_iiif_url</v>
      </c>
    </row>
    <row r="38" spans="1:21" x14ac:dyDescent="0.2">
      <c r="A38" t="s">
        <v>147</v>
      </c>
      <c r="B38" t="s">
        <v>50</v>
      </c>
      <c r="D38" t="b">
        <v>1</v>
      </c>
      <c r="E38" t="b">
        <v>0</v>
      </c>
      <c r="F38">
        <v>0</v>
      </c>
    </row>
    <row r="39" spans="1:21" x14ac:dyDescent="0.2">
      <c r="A39" t="s">
        <v>148</v>
      </c>
      <c r="B39" t="s">
        <v>25</v>
      </c>
      <c r="C39" t="s">
        <v>149</v>
      </c>
      <c r="D39" t="b">
        <v>0</v>
      </c>
      <c r="E39" t="b">
        <v>1</v>
      </c>
      <c r="F39">
        <v>1</v>
      </c>
      <c r="G39" t="s">
        <v>150</v>
      </c>
      <c r="H39">
        <v>3789</v>
      </c>
      <c r="I39">
        <v>156</v>
      </c>
      <c r="J39">
        <v>310</v>
      </c>
      <c r="K39">
        <v>0</v>
      </c>
      <c r="L39">
        <v>3</v>
      </c>
      <c r="M39">
        <v>0</v>
      </c>
      <c r="N39" t="str">
        <f>HYPERLINK("https://images.diginfra.net/framed3.html?imagesetuuid=b2a3e6f4-5cd7-4539-b0af-036095fc5ec2&amp;uri=https://images.diginfra.net/iiif/NL-HaNA_1.01.02/3789/NL-HaNA_1.01.02_3789_0156.jpg", "viewer_url")</f>
        <v>viewer_url</v>
      </c>
      <c r="O39" t="str">
        <f>HYPERLINK("https://images.diginfra.net/iiif/NL-HaNA_1.01.02/3789/NL-HaNA_1.01.02_3789_0156.jpg/667,2987,710,308/full/0/default.jpg", "iiif_url")</f>
        <v>iiif_url</v>
      </c>
      <c r="S39" t="s">
        <v>151</v>
      </c>
      <c r="T39" t="str">
        <f>HYPERLINK("https://images.diginfra.net/framed3.html?imagesetuuid=b2a3e6f4-5cd7-4539-b0af-036095fc5ec2&amp;uri=https://images.diginfra.net/iiif/NL-HaNA_1.01.02/3789/NL-HaNA_1.01.02_3789_0155.jpg", "prev_meeting_viewer_url")</f>
        <v>prev_meeting_viewer_url</v>
      </c>
      <c r="U39" t="str">
        <f>HYPERLINK("https://images.diginfra.net/iiif/NL-HaNA_1.01.02/3789/NL-HaNA_1.01.02_3789_0155.jpg/1544,2562,668,311/full/0/default.jpg", "prev_meeting_iiif_url")</f>
        <v>prev_meeting_iiif_url</v>
      </c>
    </row>
    <row r="40" spans="1:21" x14ac:dyDescent="0.2">
      <c r="A40" t="s">
        <v>152</v>
      </c>
      <c r="B40" t="s">
        <v>21</v>
      </c>
      <c r="C40" t="s">
        <v>153</v>
      </c>
      <c r="D40" t="b">
        <v>1</v>
      </c>
      <c r="E40" t="b">
        <v>1</v>
      </c>
      <c r="F40">
        <v>1</v>
      </c>
      <c r="G40" t="s">
        <v>154</v>
      </c>
      <c r="H40">
        <v>3784</v>
      </c>
      <c r="I40">
        <v>100</v>
      </c>
      <c r="J40">
        <v>198</v>
      </c>
      <c r="K40">
        <v>0</v>
      </c>
      <c r="L40">
        <v>1</v>
      </c>
      <c r="M40">
        <v>0</v>
      </c>
      <c r="N40" t="str">
        <f>HYPERLINK("https://images.diginfra.net/framed3.html?imagesetuuid=cb2f6e2d-502d-41d8-a51c-455c64ed98c9&amp;uri=https://images.diginfra.net/iiif/NL-HaNA_1.01.02/3784/NL-HaNA_1.01.02_3784_0100.jpg", "viewer_url")</f>
        <v>viewer_url</v>
      </c>
      <c r="O40" t="str">
        <f>HYPERLINK("https://images.diginfra.net/iiif/NL-HaNA_1.01.02/3784/NL-HaNA_1.01.02_3784_0100.jpg/347,2294,833,311/full/0/default.jpg", "iiif_url")</f>
        <v>iiif_url</v>
      </c>
      <c r="P40" t="s">
        <v>155</v>
      </c>
      <c r="Q40" t="str">
        <f>HYPERLINK("https://images.diginfra.net/framed3.html?imagesetuuid=cb2f6e2d-502d-41d8-a51c-455c64ed98c9&amp;uri=https://images.diginfra.net/iiif/NL-HaNA_1.01.02/3784/NL-HaNA_1.01.02_3784_0101.jpg", "next_meeting_viewer_url")</f>
        <v>next_meeting_viewer_url</v>
      </c>
      <c r="R40" t="str">
        <f>HYPERLINK("https://images.diginfra.net/iiif/NL-HaNA_1.01.02/3784/NL-HaNA_1.01.02_3784_0101.jpg/2501,724,778,312/full/0/default.jpg", "next_meeting_iiif_url")</f>
        <v>next_meeting_iiif_url</v>
      </c>
      <c r="S40" t="s">
        <v>156</v>
      </c>
      <c r="T40" t="str">
        <f>HYPERLINK("https://images.diginfra.net/framed3.html?imagesetuuid=cb2f6e2d-502d-41d8-a51c-455c64ed98c9&amp;uri=https://images.diginfra.net/iiif/NL-HaNA_1.01.02/3784/NL-HaNA_1.01.02_3784_0097.jpg", "prev_meeting_viewer_url")</f>
        <v>prev_meeting_viewer_url</v>
      </c>
      <c r="U40" t="str">
        <f>HYPERLINK("https://images.diginfra.net/iiif/NL-HaNA_1.01.02/3784/NL-HaNA_1.01.02_3784_0097.jpg/3500,2980,807,309/full/0/default.jpg", "prev_meeting_iiif_url")</f>
        <v>prev_meeting_iiif_url</v>
      </c>
    </row>
    <row r="41" spans="1:21" x14ac:dyDescent="0.2">
      <c r="A41" t="s">
        <v>157</v>
      </c>
      <c r="B41" t="s">
        <v>63</v>
      </c>
      <c r="C41" t="s">
        <v>158</v>
      </c>
      <c r="D41" t="b">
        <v>1</v>
      </c>
      <c r="E41" t="b">
        <v>1</v>
      </c>
      <c r="F41">
        <v>1</v>
      </c>
      <c r="G41" t="s">
        <v>159</v>
      </c>
      <c r="H41">
        <v>3772</v>
      </c>
      <c r="I41">
        <v>495</v>
      </c>
      <c r="J41">
        <v>988</v>
      </c>
      <c r="K41">
        <v>1</v>
      </c>
      <c r="L41">
        <v>2</v>
      </c>
      <c r="M41">
        <v>0</v>
      </c>
      <c r="N41" t="str">
        <f>HYPERLINK("https://images.diginfra.net/framed3.html?imagesetuuid=7816564e-398d-48a2-b251-a02a50cc0b59&amp;uri=https://images.diginfra.net/iiif/NL-HaNA_1.01.02/3772/NL-HaNA_1.01.02_3772_0495.jpg", "viewer_url")</f>
        <v>viewer_url</v>
      </c>
      <c r="O41" t="str">
        <f>HYPERLINK("https://images.diginfra.net/iiif/NL-HaNA_1.01.02/3772/NL-HaNA_1.01.02_3772_0495.jpg/1363,2300,752,309/full/0/default.jpg", "iiif_url")</f>
        <v>iiif_url</v>
      </c>
      <c r="P41" t="s">
        <v>160</v>
      </c>
      <c r="Q41" t="str">
        <f>HYPERLINK("https://images.diginfra.net/framed3.html?imagesetuuid=7816564e-398d-48a2-b251-a02a50cc0b59&amp;uri=https://images.diginfra.net/iiif/NL-HaNA_1.01.02/3772/NL-HaNA_1.01.02_3772_0496.jpg", "next_meeting_viewer_url")</f>
        <v>next_meeting_viewer_url</v>
      </c>
      <c r="R41" t="str">
        <f>HYPERLINK("https://images.diginfra.net/iiif/NL-HaNA_1.01.02/3772/NL-HaNA_1.01.02_3772_0496.jpg/429,1429,731,318/full/0/default.jpg", "next_meeting_iiif_url")</f>
        <v>next_meeting_iiif_url</v>
      </c>
      <c r="S41" t="s">
        <v>161</v>
      </c>
      <c r="T41" t="str">
        <f>HYPERLINK("https://images.diginfra.net/framed3.html?imagesetuuid=7816564e-398d-48a2-b251-a02a50cc0b59&amp;uri=https://images.diginfra.net/iiif/NL-HaNA_1.01.02/3772/NL-HaNA_1.01.02_3772_0492.jpg", "prev_meeting_viewer_url")</f>
        <v>prev_meeting_viewer_url</v>
      </c>
      <c r="U41" t="str">
        <f>HYPERLINK("https://images.diginfra.net/iiif/NL-HaNA_1.01.02/3772/NL-HaNA_1.01.02_3772_0492.jpg/3514,1701,752,312/full/0/default.jpg", "prev_meeting_iiif_url")</f>
        <v>prev_meeting_iiif_url</v>
      </c>
    </row>
    <row r="42" spans="1:21" x14ac:dyDescent="0.2">
      <c r="A42" t="s">
        <v>162</v>
      </c>
      <c r="B42" t="s">
        <v>50</v>
      </c>
      <c r="D42" t="b">
        <v>1</v>
      </c>
      <c r="E42" t="b">
        <v>0</v>
      </c>
      <c r="F42">
        <v>0</v>
      </c>
      <c r="P42" t="s">
        <v>163</v>
      </c>
      <c r="Q42" t="str">
        <f>HYPERLINK("https://images.diginfra.net/framed3.html?imagesetuuid=9e71b122-742f-4bfd-bebd-880415775331&amp;uri=https://images.diginfra.net/iiif/NL-HaNA_1.01.02/3826/NL-HaNA_1.01.02_3826_0295.jpg", "next_meeting_viewer_url")</f>
        <v>next_meeting_viewer_url</v>
      </c>
      <c r="R42" t="str">
        <f>HYPERLINK("https://images.diginfra.net/iiif/NL-HaNA_1.01.02/3826/NL-HaNA_1.01.02_3826_0295.jpg/406,2822,728,311/full/0/default.jpg", "next_meeting_iiif_url")</f>
        <v>next_meeting_iiif_url</v>
      </c>
    </row>
    <row r="43" spans="1:21" x14ac:dyDescent="0.2">
      <c r="A43" t="s">
        <v>164</v>
      </c>
      <c r="B43" t="s">
        <v>63</v>
      </c>
      <c r="C43" t="s">
        <v>165</v>
      </c>
      <c r="D43" t="b">
        <v>1</v>
      </c>
      <c r="E43" t="b">
        <v>1</v>
      </c>
      <c r="F43">
        <v>1</v>
      </c>
      <c r="G43" t="s">
        <v>166</v>
      </c>
      <c r="H43">
        <v>3807</v>
      </c>
      <c r="I43">
        <v>223</v>
      </c>
      <c r="J43">
        <v>445</v>
      </c>
      <c r="K43">
        <v>0</v>
      </c>
      <c r="L43">
        <v>0</v>
      </c>
      <c r="M43">
        <v>60</v>
      </c>
      <c r="N43" t="str">
        <f>HYPERLINK("https://images.diginfra.net/framed3.html?imagesetuuid=9cfa33f1-d711-4626-afe8-d82541dc4b2a&amp;uri=https://images.diginfra.net/iiif/NL-HaNA_1.01.02/3807/NL-HaNA_1.01.02_3807_0223.jpg", "viewer_url")</f>
        <v>viewer_url</v>
      </c>
      <c r="O43" t="str">
        <f>HYPERLINK("https://images.diginfra.net/iiif/NL-HaNA_1.01.02/3807/NL-HaNA_1.01.02_3807_0223.jpg/2580,3092,781,314/full/0/default.jpg", "iiif_url")</f>
        <v>iiif_url</v>
      </c>
      <c r="P43" t="s">
        <v>167</v>
      </c>
      <c r="Q43" t="str">
        <f>HYPERLINK("https://images.diginfra.net/framed3.html?imagesetuuid=9cfa33f1-d711-4626-afe8-d82541dc4b2a&amp;uri=https://images.diginfra.net/iiif/NL-HaNA_1.01.02/3807/NL-HaNA_1.01.02_3807_0224.jpg", "next_meeting_viewer_url")</f>
        <v>next_meeting_viewer_url</v>
      </c>
      <c r="R43" t="str">
        <f>HYPERLINK("https://images.diginfra.net/iiif/NL-HaNA_1.01.02/3807/NL-HaNA_1.01.02_3807_0224.jpg/3568,2684,717,316/full/0/default.jpg", "next_meeting_iiif_url")</f>
        <v>next_meeting_iiif_url</v>
      </c>
      <c r="S43" t="s">
        <v>168</v>
      </c>
      <c r="T43" t="str">
        <f>HYPERLINK("https://images.diginfra.net/framed3.html?imagesetuuid=9cfa33f1-d711-4626-afe8-d82541dc4b2a&amp;uri=https://images.diginfra.net/iiif/NL-HaNA_1.01.02/3807/NL-HaNA_1.01.02_3807_0220.jpg", "prev_meeting_viewer_url")</f>
        <v>prev_meeting_viewer_url</v>
      </c>
      <c r="U43" t="str">
        <f>HYPERLINK("https://images.diginfra.net/iiif/NL-HaNA_1.01.02/3807/NL-HaNA_1.01.02_3807_0220.jpg/3548,2212,764,316/full/0/default.jpg", "prev_meeting_iiif_url")</f>
        <v>prev_meeting_iiif_url</v>
      </c>
    </row>
    <row r="44" spans="1:21" x14ac:dyDescent="0.2">
      <c r="A44" t="s">
        <v>169</v>
      </c>
      <c r="B44" t="s">
        <v>43</v>
      </c>
      <c r="C44" t="s">
        <v>170</v>
      </c>
      <c r="D44" t="b">
        <v>1</v>
      </c>
      <c r="E44" t="b">
        <v>1</v>
      </c>
      <c r="F44">
        <v>1</v>
      </c>
      <c r="G44" t="s">
        <v>171</v>
      </c>
      <c r="H44">
        <v>3798</v>
      </c>
      <c r="I44">
        <v>367</v>
      </c>
      <c r="J44">
        <v>732</v>
      </c>
      <c r="K44">
        <v>0</v>
      </c>
      <c r="L44">
        <v>1</v>
      </c>
      <c r="M44">
        <v>3</v>
      </c>
      <c r="N44" t="str">
        <f>HYPERLINK("https://images.diginfra.net/framed3.html?imagesetuuid=c3e98c27-09b5-46e4-b19a-b811d240b059&amp;uri=https://images.diginfra.net/iiif/NL-HaNA_1.01.02/3798/NL-HaNA_1.01.02_3798_0367.jpg", "viewer_url")</f>
        <v>viewer_url</v>
      </c>
      <c r="O44" t="str">
        <f>HYPERLINK("https://images.diginfra.net/iiif/NL-HaNA_1.01.02/3798/NL-HaNA_1.01.02_3798_0367.jpg/419,1237,809,314/full/0/default.jpg", "iiif_url")</f>
        <v>iiif_url</v>
      </c>
      <c r="P44" t="s">
        <v>172</v>
      </c>
      <c r="Q44" t="str">
        <f>HYPERLINK("https://images.diginfra.net/framed3.html?imagesetuuid=c3e98c27-09b5-46e4-b19a-b811d240b059&amp;uri=https://images.diginfra.net/iiif/NL-HaNA_1.01.02/3798/NL-HaNA_1.01.02_3798_0368.jpg", "next_meeting_viewer_url")</f>
        <v>next_meeting_viewer_url</v>
      </c>
      <c r="R44" t="str">
        <f>HYPERLINK("https://images.diginfra.net/iiif/NL-HaNA_1.01.02/3798/NL-HaNA_1.01.02_3798_0368.jpg/3483,2975,830,311/full/0/default.jpg", "next_meeting_iiif_url")</f>
        <v>next_meeting_iiif_url</v>
      </c>
      <c r="S44" t="s">
        <v>173</v>
      </c>
      <c r="T44" t="str">
        <f>HYPERLINK("https://images.diginfra.net/framed3.html?imagesetuuid=c3e98c27-09b5-46e4-b19a-b811d240b059&amp;uri=https://images.diginfra.net/iiif/NL-HaNA_1.01.02/3798/NL-HaNA_1.01.02_3798_0365.jpg", "prev_meeting_viewer_url")</f>
        <v>prev_meeting_viewer_url</v>
      </c>
      <c r="U44" t="str">
        <f>HYPERLINK("https://images.diginfra.net/iiif/NL-HaNA_1.01.02/3798/NL-HaNA_1.01.02_3798_0365.jpg/3467,367,893,329/full/0/default.jpg", "prev_meeting_iiif_url")</f>
        <v>prev_meeting_iiif_url</v>
      </c>
    </row>
    <row r="45" spans="1:21" x14ac:dyDescent="0.2">
      <c r="A45" t="s">
        <v>174</v>
      </c>
      <c r="B45" t="s">
        <v>63</v>
      </c>
      <c r="C45" t="s">
        <v>175</v>
      </c>
      <c r="D45" t="b">
        <v>1</v>
      </c>
      <c r="E45" t="b">
        <v>1</v>
      </c>
      <c r="F45">
        <v>0</v>
      </c>
      <c r="G45" t="s">
        <v>176</v>
      </c>
      <c r="H45">
        <v>3778</v>
      </c>
      <c r="I45">
        <v>285</v>
      </c>
      <c r="J45">
        <v>568</v>
      </c>
      <c r="K45">
        <v>1</v>
      </c>
      <c r="L45">
        <v>3</v>
      </c>
      <c r="M45">
        <v>0</v>
      </c>
      <c r="N45" t="str">
        <f>HYPERLINK("https://images.diginfra.net/framed3.html?imagesetuuid=c7562dfc-1537-4f53-946e-774c7935b363&amp;uri=https://images.diginfra.net/iiif/NL-HaNA_1.01.02/3778/NL-HaNA_1.01.02_3778_0285.jpg", "viewer_url")</f>
        <v>viewer_url</v>
      </c>
      <c r="O45" t="str">
        <f>HYPERLINK("https://images.diginfra.net/iiif/NL-HaNA_1.01.02/3778/NL-HaNA_1.01.02_3778_0285.jpg/1366,2255,727,314/full/0/default.jpg", "iiif_url")</f>
        <v>iiif_url</v>
      </c>
      <c r="P45" t="s">
        <v>177</v>
      </c>
      <c r="Q45" t="str">
        <f>HYPERLINK("https://images.diginfra.net/framed3.html?imagesetuuid=c7562dfc-1537-4f53-946e-774c7935b363&amp;uri=https://images.diginfra.net/iiif/NL-HaNA_1.01.02/3778/NL-HaNA_1.01.02_3778_0286.jpg", "next_meeting_viewer_url")</f>
        <v>next_meeting_viewer_url</v>
      </c>
      <c r="R45" t="str">
        <f>HYPERLINK("https://images.diginfra.net/iiif/NL-HaNA_1.01.02/3778/NL-HaNA_1.01.02_3778_0286.jpg/2539,2924,761,313/full/0/default.jpg", "next_meeting_iiif_url")</f>
        <v>next_meeting_iiif_url</v>
      </c>
      <c r="S45" t="s">
        <v>178</v>
      </c>
      <c r="T45" t="str">
        <f>HYPERLINK("https://images.diginfra.net/framed3.html?imagesetuuid=c7562dfc-1537-4f53-946e-774c7935b363&amp;uri=https://images.diginfra.net/iiif/NL-HaNA_1.01.02/3778/NL-HaNA_1.01.02_3778_0284.jpg", "prev_meeting_viewer_url")</f>
        <v>prev_meeting_viewer_url</v>
      </c>
      <c r="U45" t="str">
        <f>HYPERLINK("https://images.diginfra.net/iiif/NL-HaNA_1.01.02/3778/NL-HaNA_1.01.02_3778_0284.jpg/2565,676,705,313/full/0/default.jpg", "prev_meeting_iiif_url")</f>
        <v>prev_meeting_iiif_url</v>
      </c>
    </row>
    <row r="46" spans="1:21" x14ac:dyDescent="0.2">
      <c r="A46" t="s">
        <v>179</v>
      </c>
      <c r="B46" t="s">
        <v>63</v>
      </c>
      <c r="C46" t="s">
        <v>180</v>
      </c>
      <c r="D46" t="b">
        <v>1</v>
      </c>
      <c r="E46" t="b">
        <v>1</v>
      </c>
      <c r="F46">
        <v>1</v>
      </c>
      <c r="G46" t="s">
        <v>181</v>
      </c>
      <c r="H46">
        <v>3764</v>
      </c>
      <c r="I46">
        <v>242</v>
      </c>
      <c r="J46">
        <v>482</v>
      </c>
      <c r="K46">
        <v>1</v>
      </c>
      <c r="L46">
        <v>1</v>
      </c>
      <c r="M46">
        <v>0</v>
      </c>
      <c r="N46" t="str">
        <f>HYPERLINK("https://images.diginfra.net/framed3.html?imagesetuuid=111590de-8f08-498e-8bad-f6a289f87065&amp;uri=https://images.diginfra.net/iiif/NL-HaNA_1.01.02/3764/NL-HaNA_1.01.02_3764_0242.jpg", "viewer_url")</f>
        <v>viewer_url</v>
      </c>
      <c r="O46" t="str">
        <f>HYPERLINK("https://images.diginfra.net/iiif/NL-HaNA_1.01.02/3764/NL-HaNA_1.01.02_3764_0242.jpg/1394,2384,756,317/full/0/default.jpg", "iiif_url")</f>
        <v>iiif_url</v>
      </c>
      <c r="P46" t="s">
        <v>182</v>
      </c>
      <c r="Q46" t="str">
        <f>HYPERLINK("https://images.diginfra.net/framed3.html?imagesetuuid=111590de-8f08-498e-8bad-f6a289f87065&amp;uri=https://images.diginfra.net/iiif/NL-HaNA_1.01.02/3764/NL-HaNA_1.01.02_3764_0244.jpg", "next_meeting_viewer_url")</f>
        <v>next_meeting_viewer_url</v>
      </c>
      <c r="R46" t="str">
        <f>HYPERLINK("https://images.diginfra.net/iiif/NL-HaNA_1.01.02/3764/NL-HaNA_1.01.02_3764_0244.jpg/409,1168,720,315/full/0/default.jpg", "next_meeting_iiif_url")</f>
        <v>next_meeting_iiif_url</v>
      </c>
      <c r="S46" t="s">
        <v>183</v>
      </c>
      <c r="T46" t="str">
        <f>HYPERLINK("https://images.diginfra.net/framed3.html?imagesetuuid=111590de-8f08-498e-8bad-f6a289f87065&amp;uri=https://images.diginfra.net/iiif/NL-HaNA_1.01.02/3764/NL-HaNA_1.01.02_3764_0238.jpg", "prev_meeting_viewer_url")</f>
        <v>prev_meeting_viewer_url</v>
      </c>
      <c r="U46" t="str">
        <f>HYPERLINK("https://images.diginfra.net/iiif/NL-HaNA_1.01.02/3764/NL-HaNA_1.01.02_3764_0238.jpg/3643,2166,774,306/full/0/default.jpg", "prev_meeting_iiif_url")</f>
        <v>prev_meeting_iiif_url</v>
      </c>
    </row>
    <row r="47" spans="1:21" x14ac:dyDescent="0.2">
      <c r="A47" t="s">
        <v>184</v>
      </c>
      <c r="B47" t="s">
        <v>21</v>
      </c>
      <c r="D47" t="b">
        <v>1</v>
      </c>
      <c r="E47" t="b">
        <v>0</v>
      </c>
      <c r="F47">
        <v>0</v>
      </c>
    </row>
    <row r="48" spans="1:21" x14ac:dyDescent="0.2">
      <c r="A48" t="s">
        <v>185</v>
      </c>
      <c r="B48" t="s">
        <v>63</v>
      </c>
      <c r="C48" t="s">
        <v>186</v>
      </c>
      <c r="D48" t="b">
        <v>1</v>
      </c>
      <c r="E48" t="b">
        <v>1</v>
      </c>
      <c r="F48">
        <v>1</v>
      </c>
      <c r="G48" t="s">
        <v>187</v>
      </c>
      <c r="H48">
        <v>3782</v>
      </c>
      <c r="I48">
        <v>101</v>
      </c>
      <c r="J48">
        <v>201</v>
      </c>
      <c r="K48">
        <v>0</v>
      </c>
      <c r="L48">
        <v>2</v>
      </c>
      <c r="M48">
        <v>0</v>
      </c>
      <c r="N48" t="str">
        <f>HYPERLINK("https://images.diginfra.net/framed3.html?imagesetuuid=6d3687da-fdc8-4a47-ac98-f85d45f74cb7&amp;uri=https://images.diginfra.net/iiif/NL-HaNA_1.01.02/3782/NL-HaNA_1.01.02_3782_0101.jpg", "viewer_url")</f>
        <v>viewer_url</v>
      </c>
      <c r="O48" t="str">
        <f>HYPERLINK("https://images.diginfra.net/iiif/NL-HaNA_1.01.02/3782/NL-HaNA_1.01.02_3782_0101.jpg/2673,2344,788,310/full/0/default.jpg", "iiif_url")</f>
        <v>iiif_url</v>
      </c>
      <c r="P48" t="s">
        <v>188</v>
      </c>
      <c r="Q48" t="str">
        <f>HYPERLINK("https://images.diginfra.net/framed3.html?imagesetuuid=6d3687da-fdc8-4a47-ac98-f85d45f74cb7&amp;uri=https://images.diginfra.net/iiif/NL-HaNA_1.01.02/3782/NL-HaNA_1.01.02_3782_0103.jpg", "next_meeting_viewer_url")</f>
        <v>next_meeting_viewer_url</v>
      </c>
      <c r="R48" t="str">
        <f>HYPERLINK("https://images.diginfra.net/iiif/NL-HaNA_1.01.02/3782/NL-HaNA_1.01.02_3782_0103.jpg/2747,1890,760,308/full/0/default.jpg", "next_meeting_iiif_url")</f>
        <v>next_meeting_iiif_url</v>
      </c>
      <c r="S48" t="s">
        <v>189</v>
      </c>
      <c r="T48" t="str">
        <f>HYPERLINK("https://images.diginfra.net/framed3.html?imagesetuuid=6d3687da-fdc8-4a47-ac98-f85d45f74cb7&amp;uri=https://images.diginfra.net/iiif/NL-HaNA_1.01.02/3782/NL-HaNA_1.01.02_3782_0099.jpg", "prev_meeting_viewer_url")</f>
        <v>prev_meeting_viewer_url</v>
      </c>
      <c r="U48" t="str">
        <f>HYPERLINK("https://images.diginfra.net/iiif/NL-HaNA_1.01.02/3782/NL-HaNA_1.01.02_3782_0099.jpg/3650,1520,775,308/full/0/default.jpg", "prev_meeting_iiif_url")</f>
        <v>prev_meeting_iiif_url</v>
      </c>
    </row>
    <row r="49" spans="1:21" x14ac:dyDescent="0.2">
      <c r="A49" t="s">
        <v>190</v>
      </c>
      <c r="B49" t="s">
        <v>50</v>
      </c>
      <c r="C49" t="s">
        <v>191</v>
      </c>
      <c r="D49" t="b">
        <v>1</v>
      </c>
      <c r="E49" t="b">
        <v>1</v>
      </c>
      <c r="F49">
        <v>1</v>
      </c>
      <c r="G49" t="s">
        <v>192</v>
      </c>
      <c r="H49">
        <v>3794</v>
      </c>
      <c r="I49">
        <v>390</v>
      </c>
      <c r="J49">
        <v>779</v>
      </c>
      <c r="K49">
        <v>2</v>
      </c>
      <c r="L49">
        <v>3</v>
      </c>
      <c r="M49">
        <v>0</v>
      </c>
      <c r="N49" t="str">
        <f>HYPERLINK("https://images.diginfra.net/framed3.html?imagesetuuid=5debb5c6-ae39-480e-845e-6e10690f8984&amp;uri=https://images.diginfra.net/iiif/NL-HaNA_1.01.02/3794/NL-HaNA_1.01.02_3794_0390.jpg", "viewer_url")</f>
        <v>viewer_url</v>
      </c>
      <c r="O49" t="str">
        <f>HYPERLINK("https://images.diginfra.net/iiif/NL-HaNA_1.01.02/3794/NL-HaNA_1.01.02_3794_0390.jpg/3598,2605,783,313/full/0/default.jpg", "iiif_url")</f>
        <v>iiif_url</v>
      </c>
      <c r="P49" t="s">
        <v>193</v>
      </c>
      <c r="Q49" t="str">
        <f>HYPERLINK("https://images.diginfra.net/framed3.html?imagesetuuid=5debb5c6-ae39-480e-845e-6e10690f8984&amp;uri=https://images.diginfra.net/iiif/NL-HaNA_1.01.02/3794/NL-HaNA_1.01.02_3794_0392.jpg", "next_meeting_viewer_url")</f>
        <v>next_meeting_viewer_url</v>
      </c>
      <c r="R49" t="str">
        <f>HYPERLINK("https://images.diginfra.net/iiif/NL-HaNA_1.01.02/3794/NL-HaNA_1.01.02_3794_0392.jpg/2673,1064,829,315/full/0/default.jpg", "next_meeting_iiif_url")</f>
        <v>next_meeting_iiif_url</v>
      </c>
      <c r="S49" t="s">
        <v>194</v>
      </c>
      <c r="T49" t="str">
        <f>HYPERLINK("https://images.diginfra.net/framed3.html?imagesetuuid=5debb5c6-ae39-480e-845e-6e10690f8984&amp;uri=https://images.diginfra.net/iiif/NL-HaNA_1.01.02/3794/NL-HaNA_1.01.02_3794_0390.jpg", "prev_meeting_viewer_url")</f>
        <v>prev_meeting_viewer_url</v>
      </c>
      <c r="U49" t="str">
        <f>HYPERLINK("https://images.diginfra.net/iiif/NL-HaNA_1.01.02/3794/NL-HaNA_1.01.02_3794_0390.jpg/1401,2023,748,316/full/0/default.jpg", "prev_meeting_iiif_url")</f>
        <v>prev_meeting_iiif_url</v>
      </c>
    </row>
    <row r="50" spans="1:21" x14ac:dyDescent="0.2">
      <c r="A50" t="s">
        <v>195</v>
      </c>
      <c r="B50" t="s">
        <v>21</v>
      </c>
      <c r="C50" t="s">
        <v>196</v>
      </c>
      <c r="D50" t="b">
        <v>1</v>
      </c>
      <c r="E50" t="b">
        <v>1</v>
      </c>
      <c r="F50">
        <v>1</v>
      </c>
      <c r="G50" t="s">
        <v>197</v>
      </c>
      <c r="H50">
        <v>3857</v>
      </c>
      <c r="I50">
        <v>100</v>
      </c>
      <c r="J50">
        <v>198</v>
      </c>
      <c r="K50">
        <v>1</v>
      </c>
      <c r="L50">
        <v>1</v>
      </c>
      <c r="M50">
        <v>0</v>
      </c>
      <c r="N50" t="str">
        <f>HYPERLINK("https://images.diginfra.net/framed3.html?imagesetuuid=bdc1056d-db1f-4bb6-bf02-36bea1fa2f06&amp;uri=https://images.diginfra.net/iiif/NL-HaNA_1.01.02/3857/NL-HaNA_1.01.02_3857_0100.jpg", "viewer_url")</f>
        <v>viewer_url</v>
      </c>
      <c r="O50" t="str">
        <f>HYPERLINK("https://images.diginfra.net/iiif/NL-HaNA_1.01.02/3857/NL-HaNA_1.01.02_3857_0100.jpg/1402,487,845,311/full/0/default.jpg", "iiif_url")</f>
        <v>iiif_url</v>
      </c>
      <c r="P50" t="s">
        <v>198</v>
      </c>
      <c r="Q50" t="str">
        <f>HYPERLINK("https://images.diginfra.net/framed3.html?imagesetuuid=bdc1056d-db1f-4bb6-bf02-36bea1fa2f06&amp;uri=https://images.diginfra.net/iiif/NL-HaNA_1.01.02/3857/NL-HaNA_1.01.02_3857_0100.jpg", "next_meeting_viewer_url")</f>
        <v>next_meeting_viewer_url</v>
      </c>
      <c r="R50" t="str">
        <f>HYPERLINK("https://images.diginfra.net/iiif/NL-HaNA_1.01.02/3857/NL-HaNA_1.01.02_3857_0100.jpg/3506,1612,740,313/full/0/default.jpg", "next_meeting_iiif_url")</f>
        <v>next_meeting_iiif_url</v>
      </c>
      <c r="S50" t="s">
        <v>199</v>
      </c>
      <c r="T50" t="str">
        <f>HYPERLINK("https://images.diginfra.net/framed3.html?imagesetuuid=bdc1056d-db1f-4bb6-bf02-36bea1fa2f06&amp;uri=https://images.diginfra.net/iiif/NL-HaNA_1.01.02/3857/NL-HaNA_1.01.02_3857_0093.jpg", "prev_meeting_viewer_url")</f>
        <v>prev_meeting_viewer_url</v>
      </c>
      <c r="U50" t="str">
        <f>HYPERLINK("https://images.diginfra.net/iiif/NL-HaNA_1.01.02/3857/NL-HaNA_1.01.02_3857_0093.jpg/2503,2856,771,310/full/0/default.jpg", "prev_meeting_iiif_url")</f>
        <v>prev_meeting_iiif_url</v>
      </c>
    </row>
    <row r="51" spans="1:21" x14ac:dyDescent="0.2">
      <c r="A51" t="s">
        <v>200</v>
      </c>
      <c r="B51" t="s">
        <v>142</v>
      </c>
      <c r="C51" t="s">
        <v>201</v>
      </c>
      <c r="D51" t="b">
        <v>1</v>
      </c>
      <c r="E51" t="b">
        <v>1</v>
      </c>
      <c r="F51">
        <v>1</v>
      </c>
      <c r="G51" t="s">
        <v>202</v>
      </c>
      <c r="H51">
        <v>3840</v>
      </c>
      <c r="I51">
        <v>44</v>
      </c>
      <c r="J51">
        <v>86</v>
      </c>
      <c r="K51">
        <v>0</v>
      </c>
      <c r="L51">
        <v>1</v>
      </c>
      <c r="M51">
        <v>0</v>
      </c>
      <c r="N51" t="str">
        <f>HYPERLINK("https://images.diginfra.net/framed3.html?imagesetuuid=139f8e53-59b0-4363-bde8-a631a3d6702a&amp;uri=https://images.diginfra.net/iiif/NL-HaNA_1.01.02/3840/NL-HaNA_1.01.02_3840_0044.jpg", "viewer_url")</f>
        <v>viewer_url</v>
      </c>
      <c r="O51" t="str">
        <f>HYPERLINK("https://images.diginfra.net/iiif/NL-HaNA_1.01.02/3840/NL-HaNA_1.01.02_3840_0044.jpg/441,717,736,314/full/0/default.jpg", "iiif_url")</f>
        <v>iiif_url</v>
      </c>
      <c r="P51" t="s">
        <v>203</v>
      </c>
      <c r="Q51" t="str">
        <f>HYPERLINK("https://images.diginfra.net/framed3.html?imagesetuuid=47881e95-07b9-4c17-8cf4-b55a034c8db2&amp;uri=https://images.diginfra.net/iiif/NL-HaNA_1.01.02/3841/NL-HaNA_1.01.02_3841_0041.jpg", "next_meeting_viewer_url")</f>
        <v>next_meeting_viewer_url</v>
      </c>
      <c r="R51" t="str">
        <f>HYPERLINK("https://images.diginfra.net/iiif/NL-HaNA_1.01.02/3841/NL-HaNA_1.01.02_3841_0041.jpg/3523,726,706,319/full/0/default.jpg", "next_meeting_iiif_url")</f>
        <v>next_meeting_iiif_url</v>
      </c>
      <c r="S51" t="s">
        <v>204</v>
      </c>
      <c r="T51" t="str">
        <f>HYPERLINK("https://images.diginfra.net/framed3.html?imagesetuuid=139f8e53-59b0-4363-bde8-a631a3d6702a&amp;uri=https://images.diginfra.net/iiif/NL-HaNA_1.01.02/3840/NL-HaNA_1.01.02_3840_0041.jpg", "prev_meeting_viewer_url")</f>
        <v>prev_meeting_viewer_url</v>
      </c>
      <c r="U51" t="str">
        <f>HYPERLINK("https://images.diginfra.net/iiif/NL-HaNA_1.01.02/3840/NL-HaNA_1.01.02_3840_0041.jpg/3366,2257,817,318/full/0/default.jpg", "prev_meeting_iiif_url")</f>
        <v>prev_meeting_iiif_url</v>
      </c>
    </row>
    <row r="52" spans="1:21" x14ac:dyDescent="0.2">
      <c r="A52" t="s">
        <v>205</v>
      </c>
      <c r="B52" t="s">
        <v>43</v>
      </c>
      <c r="C52" t="s">
        <v>206</v>
      </c>
      <c r="D52" t="b">
        <v>1</v>
      </c>
      <c r="E52" t="b">
        <v>1</v>
      </c>
      <c r="F52">
        <v>0</v>
      </c>
      <c r="G52" t="s">
        <v>207</v>
      </c>
      <c r="H52">
        <v>3831</v>
      </c>
      <c r="I52">
        <v>249</v>
      </c>
      <c r="J52">
        <v>497</v>
      </c>
      <c r="K52">
        <v>1</v>
      </c>
      <c r="L52">
        <v>1</v>
      </c>
      <c r="M52">
        <v>6</v>
      </c>
      <c r="N52" t="str">
        <f>HYPERLINK("https://images.diginfra.net/framed3.html?imagesetuuid=fbccadee-0831-4262-9b53-6f48467f765a&amp;uri=https://images.diginfra.net/iiif/NL-HaNA_1.01.02/3831/NL-HaNA_1.01.02_3831_0249.jpg", "viewer_url")</f>
        <v>viewer_url</v>
      </c>
      <c r="O52" t="str">
        <f>HYPERLINK("https://images.diginfra.net/iiif/NL-HaNA_1.01.02/3831/NL-HaNA_1.01.02_3831_0249.jpg/3500,1387,655,312/full/0/default.jpg", "iiif_url")</f>
        <v>iiif_url</v>
      </c>
      <c r="P52" t="s">
        <v>208</v>
      </c>
      <c r="Q52" t="str">
        <f>HYPERLINK("https://images.diginfra.net/framed3.html?imagesetuuid=fbccadee-0831-4262-9b53-6f48467f765a&amp;uri=https://images.diginfra.net/iiif/NL-HaNA_1.01.02/3831/NL-HaNA_1.01.02_3831_0251.jpg", "next_meeting_viewer_url")</f>
        <v>next_meeting_viewer_url</v>
      </c>
      <c r="R52" t="str">
        <f>HYPERLINK("https://images.diginfra.net/iiif/NL-HaNA_1.01.02/3831/NL-HaNA_1.01.02_3831_0251.jpg/1406,1344,687,323/full/0/default.jpg", "next_meeting_iiif_url")</f>
        <v>next_meeting_iiif_url</v>
      </c>
      <c r="S52" t="s">
        <v>209</v>
      </c>
      <c r="T52" t="str">
        <f>HYPERLINK("https://images.diginfra.net/framed3.html?imagesetuuid=fbccadee-0831-4262-9b53-6f48467f765a&amp;uri=https://images.diginfra.net/iiif/NL-HaNA_1.01.02/3831/NL-HaNA_1.01.02_3831_0245.jpg", "prev_meeting_viewer_url")</f>
        <v>prev_meeting_viewer_url</v>
      </c>
      <c r="U52" t="str">
        <f>HYPERLINK("https://images.diginfra.net/iiif/NL-HaNA_1.01.02/3831/NL-HaNA_1.01.02_3831_0245.jpg/3487,2681,692,310/full/0/default.jpg", "prev_meeting_iiif_url")</f>
        <v>prev_meeting_iiif_url</v>
      </c>
    </row>
    <row r="53" spans="1:21" x14ac:dyDescent="0.2">
      <c r="A53" t="s">
        <v>210</v>
      </c>
      <c r="B53" t="s">
        <v>25</v>
      </c>
      <c r="D53" t="b">
        <v>0</v>
      </c>
      <c r="E53" t="b">
        <v>0</v>
      </c>
      <c r="F53">
        <v>1</v>
      </c>
    </row>
    <row r="54" spans="1:21" x14ac:dyDescent="0.2">
      <c r="A54" t="s">
        <v>211</v>
      </c>
      <c r="B54" t="s">
        <v>63</v>
      </c>
      <c r="D54" t="b">
        <v>0</v>
      </c>
      <c r="E54" t="b">
        <v>0</v>
      </c>
      <c r="F54">
        <v>1</v>
      </c>
      <c r="P54" t="s">
        <v>212</v>
      </c>
      <c r="Q54" t="str">
        <f>HYPERLINK("https://images.diginfra.net/framed3.html?imagesetuuid=711b4f86-3dbd-47ca-af9d-52eb1c30bc58&amp;uri=https://images.diginfra.net/iiif/NL-HaNA_1.01.02/3819/NL-HaNA_1.01.02_3819_0205.jpg", "next_meeting_viewer_url")</f>
        <v>next_meeting_viewer_url</v>
      </c>
      <c r="R54" t="str">
        <f>HYPERLINK("https://images.diginfra.net/iiif/NL-HaNA_1.01.02/3819/NL-HaNA_1.01.02_3819_0205.jpg/1439,2941,688,313/full/0/default.jpg", "next_meeting_iiif_url")</f>
        <v>next_meeting_iiif_url</v>
      </c>
      <c r="S54" t="s">
        <v>213</v>
      </c>
      <c r="T54" t="str">
        <f>HYPERLINK("https://images.diginfra.net/framed3.html?imagesetuuid=711b4f86-3dbd-47ca-af9d-52eb1c30bc58&amp;uri=https://images.diginfra.net/iiif/NL-HaNA_1.01.02/3819/NL-HaNA_1.01.02_3819_0203.jpg", "prev_meeting_viewer_url")</f>
        <v>prev_meeting_viewer_url</v>
      </c>
      <c r="U54" t="str">
        <f>HYPERLINK("https://images.diginfra.net/iiif/NL-HaNA_1.01.02/3819/NL-HaNA_1.01.02_3819_0203.jpg/3538,2592,731,321/full/0/default.jpg", "prev_meeting_iiif_url")</f>
        <v>prev_meeting_iiif_url</v>
      </c>
    </row>
    <row r="55" spans="1:21" x14ac:dyDescent="0.2">
      <c r="A55" t="s">
        <v>214</v>
      </c>
      <c r="B55" t="s">
        <v>29</v>
      </c>
      <c r="C55" t="s">
        <v>215</v>
      </c>
      <c r="D55" t="b">
        <v>1</v>
      </c>
      <c r="E55" t="b">
        <v>1</v>
      </c>
      <c r="F55">
        <v>1</v>
      </c>
      <c r="G55" t="s">
        <v>216</v>
      </c>
      <c r="H55">
        <v>3828</v>
      </c>
      <c r="I55">
        <v>148</v>
      </c>
      <c r="J55">
        <v>295</v>
      </c>
      <c r="K55">
        <v>1</v>
      </c>
      <c r="L55">
        <v>1</v>
      </c>
      <c r="M55">
        <v>0</v>
      </c>
      <c r="N55" t="str">
        <f>HYPERLINK("https://images.diginfra.net/framed3.html?imagesetuuid=be73aab8-e683-41ef-8f90-2432e0a35eb8&amp;uri=https://images.diginfra.net/iiif/NL-HaNA_1.01.02/3828/NL-HaNA_1.01.02_3828_0148.jpg", "viewer_url")</f>
        <v>viewer_url</v>
      </c>
      <c r="O55" t="str">
        <f>HYPERLINK("https://images.diginfra.net/iiif/NL-HaNA_1.01.02/3828/NL-HaNA_1.01.02_3828_0148.jpg/3416,1753,812,311/full/0/default.jpg", "iiif_url")</f>
        <v>iiif_url</v>
      </c>
      <c r="P55" t="s">
        <v>217</v>
      </c>
      <c r="Q55" t="str">
        <f>HYPERLINK("https://images.diginfra.net/framed3.html?imagesetuuid=be73aab8-e683-41ef-8f90-2432e0a35eb8&amp;uri=https://images.diginfra.net/iiif/NL-HaNA_1.01.02/3828/NL-HaNA_1.01.02_3828_0149.jpg", "next_meeting_viewer_url")</f>
        <v>next_meeting_viewer_url</v>
      </c>
      <c r="R55" t="str">
        <f>HYPERLINK("https://images.diginfra.net/iiif/NL-HaNA_1.01.02/3828/NL-HaNA_1.01.02_3828_0149.jpg/1394,2203,685,321/full/0/default.jpg", "next_meeting_iiif_url")</f>
        <v>next_meeting_iiif_url</v>
      </c>
      <c r="S55" t="s">
        <v>218</v>
      </c>
      <c r="T55" t="str">
        <f>HYPERLINK("https://images.diginfra.net/framed3.html?imagesetuuid=be73aab8-e683-41ef-8f90-2432e0a35eb8&amp;uri=https://images.diginfra.net/iiif/NL-HaNA_1.01.02/3828/NL-HaNA_1.01.02_3828_0147.jpg", "prev_meeting_viewer_url")</f>
        <v>prev_meeting_viewer_url</v>
      </c>
      <c r="U55" t="str">
        <f>HYPERLINK("https://images.diginfra.net/iiif/NL-HaNA_1.01.02/3828/NL-HaNA_1.01.02_3828_0147.jpg/3428,1095,770,320/full/0/default.jpg", "prev_meeting_iiif_url")</f>
        <v>prev_meeting_iiif_url</v>
      </c>
    </row>
    <row r="56" spans="1:21" x14ac:dyDescent="0.2">
      <c r="A56" t="s">
        <v>219</v>
      </c>
      <c r="B56" t="s">
        <v>25</v>
      </c>
      <c r="D56" t="b">
        <v>0</v>
      </c>
      <c r="E56" t="b">
        <v>0</v>
      </c>
      <c r="F56">
        <v>1</v>
      </c>
      <c r="P56" t="s">
        <v>220</v>
      </c>
      <c r="Q56" t="str">
        <f>HYPERLINK("https://images.diginfra.net/framed3.html?imagesetuuid=711b4f86-3dbd-47ca-af9d-52eb1c30bc58&amp;uri=https://images.diginfra.net/iiif/NL-HaNA_1.01.02/3819/NL-HaNA_1.01.02_3819_0249.jpg", "next_meeting_viewer_url")</f>
        <v>next_meeting_viewer_url</v>
      </c>
      <c r="R56" t="str">
        <f>HYPERLINK("https://images.diginfra.net/iiif/NL-HaNA_1.01.02/3819/NL-HaNA_1.01.02_3819_0249.jpg/1571,2944,343,312/full/0/default.jpg", "next_meeting_iiif_url")</f>
        <v>next_meeting_iiif_url</v>
      </c>
    </row>
    <row r="57" spans="1:21" x14ac:dyDescent="0.2">
      <c r="A57" t="s">
        <v>221</v>
      </c>
      <c r="B57" t="s">
        <v>50</v>
      </c>
      <c r="C57" t="s">
        <v>222</v>
      </c>
      <c r="D57" t="b">
        <v>1</v>
      </c>
      <c r="E57" t="b">
        <v>1</v>
      </c>
      <c r="F57">
        <v>1</v>
      </c>
      <c r="G57" t="s">
        <v>223</v>
      </c>
      <c r="H57">
        <v>3815</v>
      </c>
      <c r="I57">
        <v>312</v>
      </c>
      <c r="J57">
        <v>623</v>
      </c>
      <c r="K57">
        <v>1</v>
      </c>
      <c r="L57">
        <v>1</v>
      </c>
      <c r="M57">
        <v>0</v>
      </c>
      <c r="N57" t="str">
        <f>HYPERLINK("https://images.diginfra.net/framed3.html?imagesetuuid=c649f39d-5b94-4d9d-8000-33acd4342c36&amp;uri=https://images.diginfra.net/iiif/NL-HaNA_1.01.02/3815/NL-HaNA_1.01.02_3815_0312.jpg", "viewer_url")</f>
        <v>viewer_url</v>
      </c>
      <c r="O57" t="str">
        <f>HYPERLINK("https://images.diginfra.net/iiif/NL-HaNA_1.01.02/3815/NL-HaNA_1.01.02_3815_0312.jpg/3560,2951,701,311/full/0/default.jpg", "iiif_url")</f>
        <v>iiif_url</v>
      </c>
      <c r="S57" t="s">
        <v>224</v>
      </c>
      <c r="T57" t="str">
        <f>HYPERLINK("https://images.diginfra.net/framed3.html?imagesetuuid=c649f39d-5b94-4d9d-8000-33acd4342c36&amp;uri=https://images.diginfra.net/iiif/NL-HaNA_1.01.02/3815/NL-HaNA_1.01.02_3815_0310.jpg", "prev_meeting_viewer_url")</f>
        <v>prev_meeting_viewer_url</v>
      </c>
      <c r="U57" t="str">
        <f>HYPERLINK("https://images.diginfra.net/iiif/NL-HaNA_1.01.02/3815/NL-HaNA_1.01.02_3815_0310.jpg/1475,289,868,317/full/0/default.jpg", "prev_meeting_iiif_url")</f>
        <v>prev_meeting_iiif_url</v>
      </c>
    </row>
    <row r="58" spans="1:21" x14ac:dyDescent="0.2">
      <c r="A58" t="s">
        <v>225</v>
      </c>
      <c r="B58" t="s">
        <v>63</v>
      </c>
      <c r="D58" t="b">
        <v>1</v>
      </c>
      <c r="E58" t="b">
        <v>0</v>
      </c>
      <c r="F58">
        <v>0</v>
      </c>
    </row>
    <row r="59" spans="1:21" x14ac:dyDescent="0.2">
      <c r="A59" t="s">
        <v>226</v>
      </c>
      <c r="B59" t="s">
        <v>142</v>
      </c>
      <c r="C59" t="s">
        <v>227</v>
      </c>
      <c r="D59" t="b">
        <v>1</v>
      </c>
      <c r="E59" t="b">
        <v>1</v>
      </c>
      <c r="F59">
        <v>1</v>
      </c>
      <c r="G59" t="s">
        <v>228</v>
      </c>
      <c r="H59">
        <v>3807</v>
      </c>
      <c r="I59">
        <v>453</v>
      </c>
      <c r="J59">
        <v>905</v>
      </c>
      <c r="K59">
        <v>1</v>
      </c>
      <c r="L59">
        <v>2</v>
      </c>
      <c r="M59">
        <v>0</v>
      </c>
      <c r="N59" t="str">
        <f>HYPERLINK("https://images.diginfra.net/framed3.html?imagesetuuid=9cfa33f1-d711-4626-afe8-d82541dc4b2a&amp;uri=https://images.diginfra.net/iiif/NL-HaNA_1.01.02/3807/NL-HaNA_1.01.02_3807_0453.jpg", "viewer_url")</f>
        <v>viewer_url</v>
      </c>
      <c r="O59" t="str">
        <f>HYPERLINK("https://images.diginfra.net/iiif/NL-HaNA_1.01.02/3807/NL-HaNA_1.01.02_3807_0453.jpg/2489,1709,832,312/full/0/default.jpg", "iiif_url")</f>
        <v>iiif_url</v>
      </c>
      <c r="P59" t="s">
        <v>229</v>
      </c>
      <c r="Q59" t="str">
        <f>HYPERLINK("https://images.diginfra.net/framed3.html?imagesetuuid=9cfa33f1-d711-4626-afe8-d82541dc4b2a&amp;uri=https://images.diginfra.net/iiif/NL-HaNA_1.01.02/3807/NL-HaNA_1.01.02_3807_0454.jpg", "next_meeting_viewer_url")</f>
        <v>next_meeting_viewer_url</v>
      </c>
      <c r="R59" t="str">
        <f>HYPERLINK("https://images.diginfra.net/iiif/NL-HaNA_1.01.02/3807/NL-HaNA_1.01.02_3807_0454.jpg/2465,400,856,310/full/0/default.jpg", "next_meeting_iiif_url")</f>
        <v>next_meeting_iiif_url</v>
      </c>
      <c r="S59" t="s">
        <v>230</v>
      </c>
      <c r="T59" t="str">
        <f>HYPERLINK("https://images.diginfra.net/framed3.html?imagesetuuid=9cfa33f1-d711-4626-afe8-d82541dc4b2a&amp;uri=https://images.diginfra.net/iiif/NL-HaNA_1.01.02/3807/NL-HaNA_1.01.02_3807_0453.jpg", "prev_meeting_viewer_url")</f>
        <v>prev_meeting_viewer_url</v>
      </c>
      <c r="U59" t="str">
        <f>HYPERLINK("https://images.diginfra.net/iiif/NL-HaNA_1.01.02/3807/NL-HaNA_1.01.02_3807_0453.jpg/1351,753,888,317/full/0/default.jpg", "prev_meeting_iiif_url")</f>
        <v>prev_meeting_iiif_url</v>
      </c>
    </row>
    <row r="60" spans="1:21" x14ac:dyDescent="0.2">
      <c r="A60" t="s">
        <v>231</v>
      </c>
      <c r="B60" t="s">
        <v>25</v>
      </c>
      <c r="D60" t="b">
        <v>0</v>
      </c>
      <c r="E60" t="b">
        <v>0</v>
      </c>
      <c r="F60">
        <v>1</v>
      </c>
      <c r="P60" t="s">
        <v>232</v>
      </c>
      <c r="Q60" t="str">
        <f>HYPERLINK("https://images.diginfra.net/framed3.html?imagesetuuid=1c2c3458-ea9f-4ec5-811c-cef54972a496&amp;uri=https://images.diginfra.net/iiif/NL-HaNA_1.01.02/3816/NL-HaNA_1.01.02_3816_0169.jpg", "next_meeting_viewer_url")</f>
        <v>next_meeting_viewer_url</v>
      </c>
      <c r="R60" t="str">
        <f>HYPERLINK("https://images.diginfra.net/iiif/NL-HaNA_1.01.02/3816/NL-HaNA_1.01.02_3816_0169.jpg/435,1792,705,312/full/0/default.jpg", "next_meeting_iiif_url")</f>
        <v>next_meeting_iiif_url</v>
      </c>
    </row>
    <row r="61" spans="1:21" x14ac:dyDescent="0.2">
      <c r="A61" t="s">
        <v>233</v>
      </c>
      <c r="B61" t="s">
        <v>50</v>
      </c>
      <c r="C61" t="s">
        <v>234</v>
      </c>
      <c r="D61" t="b">
        <v>1</v>
      </c>
      <c r="E61" t="b">
        <v>1</v>
      </c>
      <c r="F61">
        <v>1</v>
      </c>
      <c r="G61" t="s">
        <v>235</v>
      </c>
      <c r="H61">
        <v>3807</v>
      </c>
      <c r="I61">
        <v>147</v>
      </c>
      <c r="J61">
        <v>293</v>
      </c>
      <c r="K61">
        <v>0</v>
      </c>
      <c r="L61">
        <v>1</v>
      </c>
      <c r="M61">
        <v>0</v>
      </c>
      <c r="N61" t="str">
        <f>HYPERLINK("https://images.diginfra.net/framed3.html?imagesetuuid=9cfa33f1-d711-4626-afe8-d82541dc4b2a&amp;uri=https://images.diginfra.net/iiif/NL-HaNA_1.01.02/3807/NL-HaNA_1.01.02_3807_0147.jpg", "viewer_url")</f>
        <v>viewer_url</v>
      </c>
      <c r="O61" t="str">
        <f>HYPERLINK("https://images.diginfra.net/iiif/NL-HaNA_1.01.02/3807/NL-HaNA_1.01.02_3807_0147.jpg/2563,857,841,312/full/0/default.jpg", "iiif_url")</f>
        <v>iiif_url</v>
      </c>
      <c r="P61" t="s">
        <v>236</v>
      </c>
      <c r="Q61" t="str">
        <f>HYPERLINK("https://images.diginfra.net/framed3.html?imagesetuuid=9cfa33f1-d711-4626-afe8-d82541dc4b2a&amp;uri=https://images.diginfra.net/iiif/NL-HaNA_1.01.02/3807/NL-HaNA_1.01.02_3807_0149.jpg", "next_meeting_viewer_url")</f>
        <v>next_meeting_viewer_url</v>
      </c>
      <c r="R61" t="str">
        <f>HYPERLINK("https://images.diginfra.net/iiif/NL-HaNA_1.01.02/3807/NL-HaNA_1.01.02_3807_0149.jpg/405,2328,798,309/full/0/default.jpg", "next_meeting_iiif_url")</f>
        <v>next_meeting_iiif_url</v>
      </c>
      <c r="S61" t="s">
        <v>237</v>
      </c>
      <c r="T61" t="str">
        <f>HYPERLINK("https://images.diginfra.net/framed3.html?imagesetuuid=9cfa33f1-d711-4626-afe8-d82541dc4b2a&amp;uri=https://images.diginfra.net/iiif/NL-HaNA_1.01.02/3807/NL-HaNA_1.01.02_3807_0147.jpg", "prev_meeting_viewer_url")</f>
        <v>prev_meeting_viewer_url</v>
      </c>
      <c r="U61" t="str">
        <f>HYPERLINK("https://images.diginfra.net/iiif/NL-HaNA_1.01.02/3807/NL-HaNA_1.01.02_3807_0147.jpg/415,2562,795,311/full/0/default.jpg", "prev_meeting_iiif_url")</f>
        <v>prev_meeting_iiif_url</v>
      </c>
    </row>
    <row r="62" spans="1:21" x14ac:dyDescent="0.2">
      <c r="A62" t="s">
        <v>238</v>
      </c>
      <c r="B62" t="s">
        <v>63</v>
      </c>
      <c r="C62" t="s">
        <v>239</v>
      </c>
      <c r="D62" t="b">
        <v>1</v>
      </c>
      <c r="E62" t="b">
        <v>1</v>
      </c>
      <c r="F62">
        <v>0</v>
      </c>
      <c r="G62" t="s">
        <v>240</v>
      </c>
      <c r="H62">
        <v>3762</v>
      </c>
      <c r="I62">
        <v>655</v>
      </c>
      <c r="J62">
        <v>1309</v>
      </c>
      <c r="K62">
        <v>1</v>
      </c>
      <c r="L62">
        <v>2</v>
      </c>
      <c r="M62">
        <v>0</v>
      </c>
      <c r="N62" t="str">
        <f>HYPERLINK("https://images.diginfra.net/framed3.html?imagesetuuid=df3dafee-b161-42ae-8ffe-6d7f9dbb63ed&amp;uri=https://images.diginfra.net/iiif/NL-HaNA_1.01.02/3762/NL-HaNA_1.01.02_3762_0655.jpg", "viewer_url")</f>
        <v>viewer_url</v>
      </c>
      <c r="O62" t="str">
        <f>HYPERLINK("https://images.diginfra.net/iiif/NL-HaNA_1.01.02/3762/NL-HaNA_1.01.02_3762_0655.jpg/3448,2140,826,309/full/0/default.jpg", "iiif_url")</f>
        <v>iiif_url</v>
      </c>
      <c r="Q62" t="str">
        <f>HYPERLINK("https://images.diginfra.net/framed3.html?imagesetuuid=df3dafee-b161-42ae-8ffe-6d7f9dbb63ed&amp;uri=https://images.diginfra.net/iiif/NL-HaNA_1.01.02/3762/NL-HaNA_1.01.02_3762_0657.jpg", "next_meeting_viewer_url")</f>
        <v>next_meeting_viewer_url</v>
      </c>
      <c r="R62" t="str">
        <f>HYPERLINK("https://images.diginfra.net/iiif/NL-HaNA_1.01.02/3762/NL-HaNA_1.01.02_3762_0657.jpg/428,411,773,304/full/0/default.jpg", "next_meeting_iiif_url")</f>
        <v>next_meeting_iiif_url</v>
      </c>
      <c r="S62" t="s">
        <v>241</v>
      </c>
      <c r="T62" t="str">
        <f>HYPERLINK("https://images.diginfra.net/framed3.html?imagesetuuid=df3dafee-b161-42ae-8ffe-6d7f9dbb63ed&amp;uri=https://images.diginfra.net/iiif/NL-HaNA_1.01.02/3762/NL-HaNA_1.01.02_3762_0654.jpg", "prev_meeting_viewer_url")</f>
        <v>prev_meeting_viewer_url</v>
      </c>
      <c r="U62" t="str">
        <f>HYPERLINK("https://images.diginfra.net/iiif/NL-HaNA_1.01.02/3762/NL-HaNA_1.01.02_3762_0654.jpg/2536,1034,781,305/full/0/default.jpg", "prev_meeting_iiif_url")</f>
        <v>prev_meeting_iiif_url</v>
      </c>
    </row>
    <row r="63" spans="1:21" x14ac:dyDescent="0.2">
      <c r="A63" t="s">
        <v>242</v>
      </c>
      <c r="B63" t="s">
        <v>142</v>
      </c>
      <c r="C63" t="s">
        <v>243</v>
      </c>
      <c r="D63" t="b">
        <v>1</v>
      </c>
      <c r="E63" t="b">
        <v>1</v>
      </c>
      <c r="F63">
        <v>1</v>
      </c>
      <c r="G63" t="s">
        <v>244</v>
      </c>
      <c r="H63">
        <v>3804</v>
      </c>
      <c r="I63">
        <v>207</v>
      </c>
      <c r="J63">
        <v>412</v>
      </c>
      <c r="K63">
        <v>0</v>
      </c>
      <c r="L63">
        <v>1</v>
      </c>
      <c r="M63">
        <v>0</v>
      </c>
      <c r="N63" t="str">
        <f>HYPERLINK("https://images.diginfra.net/framed3.html?imagesetuuid=278358e3-85df-45df-a4c3-0043ae8e62fa&amp;uri=https://images.diginfra.net/iiif/NL-HaNA_1.01.02/3804/NL-HaNA_1.01.02_3804_0207.jpg", "viewer_url")</f>
        <v>viewer_url</v>
      </c>
      <c r="O63" t="str">
        <f>HYPERLINK("https://images.diginfra.net/iiif/NL-HaNA_1.01.02/3804/NL-HaNA_1.01.02_3804_0207.jpg/571,1388,626,309/full/0/default.jpg", "iiif_url")</f>
        <v>iiif_url</v>
      </c>
      <c r="P63" t="s">
        <v>245</v>
      </c>
      <c r="Q63" t="str">
        <f>HYPERLINK("https://images.diginfra.net/framed3.html?imagesetuuid=278358e3-85df-45df-a4c3-0043ae8e62fa&amp;uri=https://images.diginfra.net/iiif/NL-HaNA_1.01.02/3804/NL-HaNA_1.01.02_3804_0208.jpg", "next_meeting_viewer_url")</f>
        <v>next_meeting_viewer_url</v>
      </c>
      <c r="R63" t="str">
        <f>HYPERLINK("https://images.diginfra.net/iiif/NL-HaNA_1.01.02/3804/NL-HaNA_1.01.02_3804_0208.jpg/3599,735,703,316/full/0/default.jpg", "next_meeting_iiif_url")</f>
        <v>next_meeting_iiif_url</v>
      </c>
      <c r="S63" t="s">
        <v>246</v>
      </c>
      <c r="T63" t="str">
        <f>HYPERLINK("https://images.diginfra.net/framed3.html?imagesetuuid=278358e3-85df-45df-a4c3-0043ae8e62fa&amp;uri=https://images.diginfra.net/iiif/NL-HaNA_1.01.02/3804/NL-HaNA_1.01.02_3804_0205.jpg", "prev_meeting_viewer_url")</f>
        <v>prev_meeting_viewer_url</v>
      </c>
      <c r="U63" t="str">
        <f>HYPERLINK("https://images.diginfra.net/iiif/NL-HaNA_1.01.02/3804/NL-HaNA_1.01.02_3804_0205.jpg/2652,1514,722,309/full/0/default.jpg", "prev_meeting_iiif_url")</f>
        <v>prev_meeting_iiif_url</v>
      </c>
    </row>
    <row r="64" spans="1:21" x14ac:dyDescent="0.2">
      <c r="A64" t="s">
        <v>247</v>
      </c>
      <c r="B64" t="s">
        <v>43</v>
      </c>
      <c r="C64" t="s">
        <v>248</v>
      </c>
      <c r="D64" t="b">
        <v>1</v>
      </c>
      <c r="E64" t="b">
        <v>1</v>
      </c>
      <c r="F64">
        <v>1</v>
      </c>
      <c r="G64" t="s">
        <v>249</v>
      </c>
      <c r="H64">
        <v>3808</v>
      </c>
      <c r="I64">
        <v>493</v>
      </c>
      <c r="J64">
        <v>985</v>
      </c>
      <c r="K64">
        <v>1</v>
      </c>
      <c r="L64">
        <v>0</v>
      </c>
      <c r="M64">
        <v>5</v>
      </c>
      <c r="N64" t="str">
        <f>HYPERLINK("https://images.diginfra.net/framed3.html?imagesetuuid=d7b14369-fedc-4c2f-b4ba-0014f4e297b6&amp;uri=https://images.diginfra.net/iiif/NL-HaNA_1.01.02/3808/NL-HaNA_1.01.02_3808_0493.jpg", "viewer_url")</f>
        <v>viewer_url</v>
      </c>
      <c r="O64" t="str">
        <f>HYPERLINK("https://images.diginfra.net/iiif/NL-HaNA_1.01.02/3808/NL-HaNA_1.01.02_3808_0493.jpg/3416,580,779,320/full/0/default.jpg", "iiif_url")</f>
        <v>iiif_url</v>
      </c>
      <c r="P64" t="s">
        <v>250</v>
      </c>
      <c r="Q64" t="str">
        <f>HYPERLINK("https://images.diginfra.net/framed3.html?imagesetuuid=d7b14369-fedc-4c2f-b4ba-0014f4e297b6&amp;uri=https://images.diginfra.net/iiif/NL-HaNA_1.01.02/3808/NL-HaNA_1.01.02_3808_0495.jpg", "next_meeting_viewer_url")</f>
        <v>next_meeting_viewer_url</v>
      </c>
      <c r="R64" t="str">
        <f>HYPERLINK("https://images.diginfra.net/iiif/NL-HaNA_1.01.02/3808/NL-HaNA_1.01.02_3808_0495.jpg/408,2267,795,309/full/0/default.jpg", "next_meeting_iiif_url")</f>
        <v>next_meeting_iiif_url</v>
      </c>
    </row>
    <row r="65" spans="1:21" x14ac:dyDescent="0.2">
      <c r="A65" t="s">
        <v>251</v>
      </c>
      <c r="B65" t="s">
        <v>21</v>
      </c>
      <c r="C65" t="s">
        <v>252</v>
      </c>
      <c r="D65" t="b">
        <v>1</v>
      </c>
      <c r="E65" t="b">
        <v>1</v>
      </c>
      <c r="F65">
        <v>1</v>
      </c>
      <c r="G65" t="s">
        <v>253</v>
      </c>
      <c r="H65">
        <v>3804</v>
      </c>
      <c r="I65">
        <v>188</v>
      </c>
      <c r="J65">
        <v>374</v>
      </c>
      <c r="K65">
        <v>1</v>
      </c>
      <c r="L65">
        <v>2</v>
      </c>
      <c r="M65">
        <v>0</v>
      </c>
      <c r="N65" t="str">
        <f>HYPERLINK("https://images.diginfra.net/framed3.html?imagesetuuid=278358e3-85df-45df-a4c3-0043ae8e62fa&amp;uri=https://images.diginfra.net/iiif/NL-HaNA_1.01.02/3804/NL-HaNA_1.01.02_3804_0188.jpg", "viewer_url")</f>
        <v>viewer_url</v>
      </c>
      <c r="O65" t="str">
        <f>HYPERLINK("https://images.diginfra.net/iiif/NL-HaNA_1.01.02/3804/NL-HaNA_1.01.02_3804_0188.jpg/1406,2588,790,311/full/0/default.jpg", "iiif_url")</f>
        <v>iiif_url</v>
      </c>
      <c r="P65" t="s">
        <v>254</v>
      </c>
      <c r="Q65" t="str">
        <f>HYPERLINK("https://images.diginfra.net/framed3.html?imagesetuuid=278358e3-85df-45df-a4c3-0043ae8e62fa&amp;uri=https://images.diginfra.net/iiif/NL-HaNA_1.01.02/3804/NL-HaNA_1.01.02_3804_0189.jpg", "next_meeting_viewer_url")</f>
        <v>next_meeting_viewer_url</v>
      </c>
      <c r="R65" t="str">
        <f>HYPERLINK("https://images.diginfra.net/iiif/NL-HaNA_1.01.02/3804/NL-HaNA_1.01.02_3804_0189.jpg/3530,2777,692,310/full/0/default.jpg", "next_meeting_iiif_url")</f>
        <v>next_meeting_iiif_url</v>
      </c>
      <c r="S65" t="s">
        <v>255</v>
      </c>
      <c r="T65" t="str">
        <f>HYPERLINK("https://images.diginfra.net/framed3.html?imagesetuuid=278358e3-85df-45df-a4c3-0043ae8e62fa&amp;uri=https://images.diginfra.net/iiif/NL-HaNA_1.01.02/3804/NL-HaNA_1.01.02_3804_0187.jpg", "prev_meeting_viewer_url")</f>
        <v>prev_meeting_viewer_url</v>
      </c>
      <c r="U65" t="str">
        <f>HYPERLINK("https://images.diginfra.net/iiif/NL-HaNA_1.01.02/3804/NL-HaNA_1.01.02_3804_0187.jpg/1403,2904,756,311/full/0/default.jpg", "prev_meeting_iiif_url")</f>
        <v>prev_meeting_iiif_url</v>
      </c>
    </row>
    <row r="66" spans="1:21" x14ac:dyDescent="0.2">
      <c r="A66" t="s">
        <v>256</v>
      </c>
      <c r="B66" t="s">
        <v>21</v>
      </c>
      <c r="C66" t="s">
        <v>257</v>
      </c>
      <c r="D66" t="b">
        <v>1</v>
      </c>
      <c r="E66" t="b">
        <v>1</v>
      </c>
      <c r="F66">
        <v>1</v>
      </c>
      <c r="G66" t="s">
        <v>258</v>
      </c>
      <c r="H66">
        <v>3783</v>
      </c>
      <c r="I66">
        <v>115</v>
      </c>
      <c r="J66">
        <v>228</v>
      </c>
      <c r="K66">
        <v>0</v>
      </c>
      <c r="L66">
        <v>2</v>
      </c>
      <c r="M66">
        <v>0</v>
      </c>
      <c r="N66" t="str">
        <f>HYPERLINK("https://images.diginfra.net/framed3.html?imagesetuuid=67533019-4ca0-4b08-b87e-fd5590e7a077&amp;uri=https://images.diginfra.net/iiif/NL-HaNA_1.01.02/3783/NL-HaNA_1.01.02_3783_0115.jpg", "viewer_url")</f>
        <v>viewer_url</v>
      </c>
      <c r="O66" t="str">
        <f>HYPERLINK("https://images.diginfra.net/iiif/NL-HaNA_1.01.02/3783/NL-HaNA_1.01.02_3783_0115.jpg/406,2131,822,314/full/0/default.jpg", "iiif_url")</f>
        <v>iiif_url</v>
      </c>
      <c r="P66" t="s">
        <v>259</v>
      </c>
      <c r="Q66" t="str">
        <f>HYPERLINK("https://images.diginfra.net/framed3.html?imagesetuuid=67533019-4ca0-4b08-b87e-fd5590e7a077&amp;uri=https://images.diginfra.net/iiif/NL-HaNA_1.01.02/3783/NL-HaNA_1.01.02_3783_0116.jpg", "next_meeting_viewer_url")</f>
        <v>next_meeting_viewer_url</v>
      </c>
      <c r="R66" t="str">
        <f>HYPERLINK("https://images.diginfra.net/iiif/NL-HaNA_1.01.02/3783/NL-HaNA_1.01.02_3783_0116.jpg/426,2419,747,311/full/0/default.jpg", "next_meeting_iiif_url")</f>
        <v>next_meeting_iiif_url</v>
      </c>
      <c r="S66" t="s">
        <v>260</v>
      </c>
      <c r="T66" t="str">
        <f>HYPERLINK("https://images.diginfra.net/framed3.html?imagesetuuid=67533019-4ca0-4b08-b87e-fd5590e7a077&amp;uri=https://images.diginfra.net/iiif/NL-HaNA_1.01.02/3783/NL-HaNA_1.01.02_3783_0112.jpg", "prev_meeting_viewer_url")</f>
        <v>prev_meeting_viewer_url</v>
      </c>
      <c r="U66" t="str">
        <f>HYPERLINK("https://images.diginfra.net/iiif/NL-HaNA_1.01.02/3783/NL-HaNA_1.01.02_3783_0112.jpg/401,2637,794,317/full/0/default.jpg", "prev_meeting_iiif_url")</f>
        <v>prev_meeting_iiif_url</v>
      </c>
    </row>
    <row r="67" spans="1:21" x14ac:dyDescent="0.2">
      <c r="A67" t="s">
        <v>261</v>
      </c>
      <c r="B67" t="s">
        <v>25</v>
      </c>
      <c r="D67" t="b">
        <v>0</v>
      </c>
      <c r="E67" t="b">
        <v>0</v>
      </c>
      <c r="F67">
        <v>1</v>
      </c>
      <c r="P67" t="s">
        <v>262</v>
      </c>
      <c r="Q67" t="str">
        <f>HYPERLINK("https://images.diginfra.net/framed3.html?imagesetuuid=4a630f3a-34aa-4b1a-92d1-c32d4455e96f&amp;uri=https://images.diginfra.net/iiif/NL-HaNA_1.01.02/3829/NL-HaNA_1.01.02_3829_0314.jpg", "next_meeting_viewer_url")</f>
        <v>next_meeting_viewer_url</v>
      </c>
      <c r="R67" t="str">
        <f>HYPERLINK("https://images.diginfra.net/iiif/NL-HaNA_1.01.02/3829/NL-HaNA_1.01.02_3829_0314.jpg/1373,1027,667,318/full/0/default.jpg", "next_meeting_iiif_url")</f>
        <v>next_meeting_iiif_url</v>
      </c>
    </row>
    <row r="68" spans="1:21" x14ac:dyDescent="0.2">
      <c r="A68" t="s">
        <v>263</v>
      </c>
      <c r="B68" t="s">
        <v>25</v>
      </c>
      <c r="D68" t="b">
        <v>0</v>
      </c>
      <c r="E68" t="b">
        <v>0</v>
      </c>
      <c r="F68">
        <v>1</v>
      </c>
    </row>
    <row r="69" spans="1:21" x14ac:dyDescent="0.2">
      <c r="A69" t="s">
        <v>264</v>
      </c>
      <c r="B69" t="s">
        <v>43</v>
      </c>
      <c r="C69" t="s">
        <v>265</v>
      </c>
      <c r="D69" t="b">
        <v>1</v>
      </c>
      <c r="E69" t="b">
        <v>1</v>
      </c>
      <c r="F69">
        <v>1</v>
      </c>
      <c r="G69" t="s">
        <v>266</v>
      </c>
      <c r="H69">
        <v>3829</v>
      </c>
      <c r="I69">
        <v>335</v>
      </c>
      <c r="J69">
        <v>669</v>
      </c>
      <c r="K69">
        <v>0</v>
      </c>
      <c r="L69">
        <v>4</v>
      </c>
      <c r="M69">
        <v>3</v>
      </c>
      <c r="N69" t="str">
        <f>HYPERLINK("https://images.diginfra.net/framed3.html?imagesetuuid=4a630f3a-34aa-4b1a-92d1-c32d4455e96f&amp;uri=https://images.diginfra.net/iiif/NL-HaNA_1.01.02/3829/NL-HaNA_1.01.02_3829_0335.jpg", "viewer_url")</f>
        <v>viewer_url</v>
      </c>
      <c r="O69" t="str">
        <f>HYPERLINK("https://images.diginfra.net/iiif/NL-HaNA_1.01.02/3829/NL-HaNA_1.01.02_3829_0335.jpg/2513,2873,703,316/full/0/default.jpg", "iiif_url")</f>
        <v>iiif_url</v>
      </c>
      <c r="P69" t="s">
        <v>267</v>
      </c>
      <c r="Q69" t="str">
        <f>HYPERLINK("https://images.diginfra.net/framed3.html?imagesetuuid=4a630f3a-34aa-4b1a-92d1-c32d4455e96f&amp;uri=https://images.diginfra.net/iiif/NL-HaNA_1.01.02/3829/NL-HaNA_1.01.02_3829_0337.jpg", "next_meeting_viewer_url")</f>
        <v>next_meeting_viewer_url</v>
      </c>
      <c r="R69" t="str">
        <f>HYPERLINK("https://images.diginfra.net/iiif/NL-HaNA_1.01.02/3829/NL-HaNA_1.01.02_3829_0337.jpg/1388,1279,732,323/full/0/default.jpg", "next_meeting_iiif_url")</f>
        <v>next_meeting_iiif_url</v>
      </c>
      <c r="S69" t="s">
        <v>268</v>
      </c>
      <c r="T69" t="str">
        <f>HYPERLINK("https://images.diginfra.net/framed3.html?imagesetuuid=4a630f3a-34aa-4b1a-92d1-c32d4455e96f&amp;uri=https://images.diginfra.net/iiif/NL-HaNA_1.01.02/3829/NL-HaNA_1.01.02_3829_0334.jpg", "prev_meeting_viewer_url")</f>
        <v>prev_meeting_viewer_url</v>
      </c>
      <c r="U69" t="str">
        <f>HYPERLINK("https://images.diginfra.net/iiif/NL-HaNA_1.01.02/3829/NL-HaNA_1.01.02_3829_0334.jpg/3430,1877,767,320/full/0/default.jpg", "prev_meeting_iiif_url")</f>
        <v>prev_meeting_iiif_url</v>
      </c>
    </row>
    <row r="70" spans="1:21" x14ac:dyDescent="0.2">
      <c r="A70" t="s">
        <v>269</v>
      </c>
      <c r="B70" t="s">
        <v>142</v>
      </c>
      <c r="C70" t="s">
        <v>270</v>
      </c>
      <c r="D70" t="b">
        <v>1</v>
      </c>
      <c r="E70" t="b">
        <v>1</v>
      </c>
      <c r="F70">
        <v>1</v>
      </c>
      <c r="G70" t="s">
        <v>271</v>
      </c>
      <c r="H70">
        <v>3781</v>
      </c>
      <c r="I70">
        <v>60</v>
      </c>
      <c r="J70">
        <v>118</v>
      </c>
      <c r="K70">
        <v>2</v>
      </c>
      <c r="L70">
        <v>1</v>
      </c>
      <c r="M70">
        <v>0</v>
      </c>
      <c r="N70" t="str">
        <f>HYPERLINK("https://images.diginfra.net/framed3.html?imagesetuuid=7806433b-7f26-4d4e-8e76-37d108a188de&amp;uri=https://images.diginfra.net/iiif/NL-HaNA_1.01.02/3781/NL-HaNA_1.01.02_3781_0060.jpg", "viewer_url")</f>
        <v>viewer_url</v>
      </c>
      <c r="O70" t="str">
        <f>HYPERLINK("https://images.diginfra.net/iiif/NL-HaNA_1.01.02/3781/NL-HaNA_1.01.02_3781_0060.jpg/1431,977,743,322/full/0/default.jpg", "iiif_url")</f>
        <v>iiif_url</v>
      </c>
      <c r="P70" t="s">
        <v>272</v>
      </c>
      <c r="Q70" t="str">
        <f>HYPERLINK("https://images.diginfra.net/framed3.html?imagesetuuid=7806433b-7f26-4d4e-8e76-37d108a188de&amp;uri=https://images.diginfra.net/iiif/NL-HaNA_1.01.02/3781/NL-HaNA_1.01.02_3781_0060.jpg", "next_meeting_viewer_url")</f>
        <v>next_meeting_viewer_url</v>
      </c>
      <c r="R70" t="str">
        <f>HYPERLINK("https://images.diginfra.net/iiif/NL-HaNA_1.01.02/3781/NL-HaNA_1.01.02_3781_0060.jpg/3626,1753,813,318/full/0/default.jpg", "next_meeting_iiif_url")</f>
        <v>next_meeting_iiif_url</v>
      </c>
      <c r="S70" t="s">
        <v>273</v>
      </c>
      <c r="T70" t="str">
        <f>HYPERLINK("https://images.diginfra.net/framed3.html?imagesetuuid=7806433b-7f26-4d4e-8e76-37d108a188de&amp;uri=https://images.diginfra.net/iiif/NL-HaNA_1.01.02/3781/NL-HaNA_1.01.02_3781_0059.jpg", "prev_meeting_viewer_url")</f>
        <v>prev_meeting_viewer_url</v>
      </c>
      <c r="U70" t="str">
        <f>HYPERLINK("https://images.diginfra.net/iiif/NL-HaNA_1.01.02/3781/NL-HaNA_1.01.02_3781_0059.jpg/2718,720,809,316/full/0/default.jpg", "prev_meeting_iiif_url")</f>
        <v>prev_meeting_iiif_url</v>
      </c>
    </row>
    <row r="71" spans="1:21" x14ac:dyDescent="0.2">
      <c r="A71" t="s">
        <v>274</v>
      </c>
      <c r="B71" t="s">
        <v>25</v>
      </c>
      <c r="D71" t="b">
        <v>0</v>
      </c>
      <c r="E71" t="b">
        <v>0</v>
      </c>
      <c r="F71">
        <v>1</v>
      </c>
      <c r="P71" t="s">
        <v>275</v>
      </c>
      <c r="Q71" t="str">
        <f>HYPERLINK("https://images.diginfra.net/framed3.html?imagesetuuid=e344f420-8808-4cb9-bb8a-07944ccb8c18&amp;uri=https://images.diginfra.net/iiif/NL-HaNA_1.01.02/3775/NL-HaNA_1.01.02_3775_0333.jpg", "next_meeting_viewer_url")</f>
        <v>next_meeting_viewer_url</v>
      </c>
      <c r="R71" t="str">
        <f>HYPERLINK("https://images.diginfra.net/iiif/NL-HaNA_1.01.02/3775/NL-HaNA_1.01.02_3775_0333.jpg/1414,1999,728,315/full/0/default.jpg", "next_meeting_iiif_url")</f>
        <v>next_meeting_iiif_url</v>
      </c>
      <c r="S71" t="s">
        <v>276</v>
      </c>
      <c r="T71" t="str">
        <f>HYPERLINK("https://images.diginfra.net/framed3.html?imagesetuuid=e344f420-8808-4cb9-bb8a-07944ccb8c18&amp;uri=https://images.diginfra.net/iiif/NL-HaNA_1.01.02/3775/NL-HaNA_1.01.02_3775_0332.jpg", "prev_meeting_viewer_url")</f>
        <v>prev_meeting_viewer_url</v>
      </c>
      <c r="U71" t="str">
        <f>HYPERLINK("https://images.diginfra.net/iiif/NL-HaNA_1.01.02/3775/NL-HaNA_1.01.02_3775_0332.jpg/355,1240,792,311/full/0/default.jpg", "prev_meeting_iiif_url")</f>
        <v>prev_meeting_iiif_url</v>
      </c>
    </row>
    <row r="72" spans="1:21" x14ac:dyDescent="0.2">
      <c r="A72" t="s">
        <v>277</v>
      </c>
      <c r="B72" t="s">
        <v>50</v>
      </c>
      <c r="C72" t="s">
        <v>278</v>
      </c>
      <c r="D72" t="b">
        <v>1</v>
      </c>
      <c r="E72" t="b">
        <v>1</v>
      </c>
      <c r="F72">
        <v>0</v>
      </c>
      <c r="G72" t="s">
        <v>279</v>
      </c>
      <c r="H72">
        <v>3799</v>
      </c>
      <c r="I72">
        <v>470</v>
      </c>
      <c r="J72">
        <v>939</v>
      </c>
      <c r="K72">
        <v>0</v>
      </c>
      <c r="L72">
        <v>0</v>
      </c>
      <c r="M72">
        <v>0</v>
      </c>
      <c r="N72" t="str">
        <f>HYPERLINK("https://images.diginfra.net/framed3.html?imagesetuuid=4246d97e-5e7a-4171-b55e-14e0b73f61db&amp;uri=https://images.diginfra.net/iiif/NL-HaNA_1.01.02/3799/NL-HaNA_1.01.02_3799_0470.jpg", "viewer_url")</f>
        <v>viewer_url</v>
      </c>
      <c r="O72" t="str">
        <f>HYPERLINK("https://images.diginfra.net/iiif/NL-HaNA_1.01.02/3799/NL-HaNA_1.01.02_3799_0470.jpg/2391,2699,833,312/full/0/default.jpg", "iiif_url")</f>
        <v>iiif_url</v>
      </c>
      <c r="P72" t="s">
        <v>280</v>
      </c>
      <c r="Q72" t="str">
        <f>HYPERLINK("https://images.diginfra.net/framed3.html?imagesetuuid=4246d97e-5e7a-4171-b55e-14e0b73f61db&amp;uri=https://images.diginfra.net/iiif/NL-HaNA_1.01.02/3799/NL-HaNA_1.01.02_3799_0471.jpg", "next_meeting_viewer_url")</f>
        <v>next_meeting_viewer_url</v>
      </c>
      <c r="R72" t="str">
        <f>HYPERLINK("https://images.diginfra.net/iiif/NL-HaNA_1.01.02/3799/NL-HaNA_1.01.02_3799_0471.jpg/1361,2701,877,308/full/0/default.jpg", "next_meeting_iiif_url")</f>
        <v>next_meeting_iiif_url</v>
      </c>
      <c r="S72" t="s">
        <v>281</v>
      </c>
      <c r="T72" t="str">
        <f>HYPERLINK("https://images.diginfra.net/framed3.html?imagesetuuid=4246d97e-5e7a-4171-b55e-14e0b73f61db&amp;uri=https://images.diginfra.net/iiif/NL-HaNA_1.01.02/3799/NL-HaNA_1.01.02_3799_0469.jpg", "prev_meeting_viewer_url")</f>
        <v>prev_meeting_viewer_url</v>
      </c>
      <c r="U72" t="str">
        <f>HYPERLINK("https://images.diginfra.net/iiif/NL-HaNA_1.01.02/3799/NL-HaNA_1.01.02_3799_0469.jpg/1436,1006,825,309/full/0/default.jpg", "prev_meeting_iiif_url")</f>
        <v>prev_meeting_iiif_url</v>
      </c>
    </row>
    <row r="73" spans="1:21" x14ac:dyDescent="0.2">
      <c r="A73" t="s">
        <v>282</v>
      </c>
      <c r="B73" t="s">
        <v>29</v>
      </c>
      <c r="C73" t="s">
        <v>283</v>
      </c>
      <c r="D73" t="b">
        <v>1</v>
      </c>
      <c r="E73" t="b">
        <v>1</v>
      </c>
      <c r="F73">
        <v>1</v>
      </c>
      <c r="G73" t="s">
        <v>284</v>
      </c>
      <c r="H73">
        <v>3862</v>
      </c>
      <c r="I73">
        <v>399</v>
      </c>
      <c r="J73">
        <v>797</v>
      </c>
      <c r="K73">
        <v>0</v>
      </c>
      <c r="L73">
        <v>2</v>
      </c>
      <c r="M73">
        <v>0</v>
      </c>
      <c r="N73" t="str">
        <f>HYPERLINK("https://images.diginfra.net/framed3.html?imagesetuuid=5a5120d1-2872-4244-a382-402d77c3ee84&amp;uri=https://images.diginfra.net/iiif/NL-HaNA_1.01.02/3862/NL-HaNA_1.01.02_3862_0399.jpg", "viewer_url")</f>
        <v>viewer_url</v>
      </c>
      <c r="O73" t="str">
        <f>HYPERLINK("https://images.diginfra.net/iiif/NL-HaNA_1.01.02/3862/NL-HaNA_1.01.02_3862_0399.jpg/3368,1967,748,312/full/0/default.jpg", "iiif_url")</f>
        <v>iiif_url</v>
      </c>
      <c r="Q73" t="str">
        <f>HYPERLINK("https://images.diginfra.net/framed3.html?imagesetuuid=366cb909-8b74-4a4b-a743-8e6af67d9059&amp;uri=https://images.diginfra.net/iiif/NL-HaNA_1.01.02/3863/NL-HaNA_1.01.02_3863_0659.jpg", "next_meeting_viewer_url")</f>
        <v>next_meeting_viewer_url</v>
      </c>
      <c r="R73" t="str">
        <f>HYPERLINK("https://images.diginfra.net/iiif/NL-HaNA_1.01.02/3863/NL-HaNA_1.01.02_3863_0659.jpg/1515,1685,334,311/full/0/default.jpg", "next_meeting_iiif_url")</f>
        <v>next_meeting_iiif_url</v>
      </c>
      <c r="S73" t="s">
        <v>285</v>
      </c>
      <c r="T73" t="str">
        <f>HYPERLINK("https://images.diginfra.net/framed3.html?imagesetuuid=5a5120d1-2872-4244-a382-402d77c3ee84&amp;uri=https://images.diginfra.net/iiif/NL-HaNA_1.01.02/3862/NL-HaNA_1.01.02_3862_0393.jpg", "prev_meeting_viewer_url")</f>
        <v>prev_meeting_viewer_url</v>
      </c>
      <c r="U73" t="str">
        <f>HYPERLINK("https://images.diginfra.net/iiif/NL-HaNA_1.01.02/3862/NL-HaNA_1.01.02_3862_0393.jpg/428,656,697,312/full/0/default.jpg", "prev_meeting_iiif_url")</f>
        <v>prev_meeting_iiif_url</v>
      </c>
    </row>
    <row r="74" spans="1:21" x14ac:dyDescent="0.2">
      <c r="A74" t="s">
        <v>286</v>
      </c>
      <c r="B74" t="s">
        <v>43</v>
      </c>
      <c r="C74" t="s">
        <v>287</v>
      </c>
      <c r="D74" t="b">
        <v>1</v>
      </c>
      <c r="E74" t="b">
        <v>1</v>
      </c>
      <c r="F74">
        <v>1</v>
      </c>
      <c r="G74" t="s">
        <v>288</v>
      </c>
      <c r="H74">
        <v>3813</v>
      </c>
      <c r="I74">
        <v>336</v>
      </c>
      <c r="J74">
        <v>671</v>
      </c>
      <c r="K74">
        <v>1</v>
      </c>
      <c r="L74">
        <v>2</v>
      </c>
      <c r="M74">
        <v>4</v>
      </c>
      <c r="N74" t="str">
        <f>HYPERLINK("https://images.diginfra.net/framed3.html?imagesetuuid=19a3f39b-117a-4ab7-b45b-5e134b099649&amp;uri=https://images.diginfra.net/iiif/NL-HaNA_1.01.02/3813/NL-HaNA_1.01.02_3813_0336.jpg", "viewer_url")</f>
        <v>viewer_url</v>
      </c>
      <c r="O74" t="str">
        <f>HYPERLINK("https://images.diginfra.net/iiif/NL-HaNA_1.01.02/3813/NL-HaNA_1.01.02_3813_0336.jpg/3571,1069,665,316/full/0/default.jpg", "iiif_url")</f>
        <v>iiif_url</v>
      </c>
      <c r="P74" t="s">
        <v>289</v>
      </c>
      <c r="Q74" t="str">
        <f>HYPERLINK("https://images.diginfra.net/framed3.html?imagesetuuid=19a3f39b-117a-4ab7-b45b-5e134b099649&amp;uri=https://images.diginfra.net/iiif/NL-HaNA_1.01.02/3813/NL-HaNA_1.01.02_3813_0337.jpg", "next_meeting_viewer_url")</f>
        <v>next_meeting_viewer_url</v>
      </c>
      <c r="R74" t="str">
        <f>HYPERLINK("https://images.diginfra.net/iiif/NL-HaNA_1.01.02/3813/NL-HaNA_1.01.02_3813_0337.jpg/2546,3088,718,312/full/0/default.jpg", "next_meeting_iiif_url")</f>
        <v>next_meeting_iiif_url</v>
      </c>
      <c r="S74" t="s">
        <v>290</v>
      </c>
      <c r="T74" t="str">
        <f>HYPERLINK("https://images.diginfra.net/framed3.html?imagesetuuid=19a3f39b-117a-4ab7-b45b-5e134b099649&amp;uri=https://images.diginfra.net/iiif/NL-HaNA_1.01.02/3813/NL-HaNA_1.01.02_3813_0335.jpg", "prev_meeting_viewer_url")</f>
        <v>prev_meeting_viewer_url</v>
      </c>
      <c r="U74" t="str">
        <f>HYPERLINK("https://images.diginfra.net/iiif/NL-HaNA_1.01.02/3813/NL-HaNA_1.01.02_3813_0335.jpg/2543,2441,713,318/full/0/default.jpg", "prev_meeting_iiif_url")</f>
        <v>prev_meeting_iiif_url</v>
      </c>
    </row>
    <row r="75" spans="1:21" x14ac:dyDescent="0.2">
      <c r="A75" t="s">
        <v>291</v>
      </c>
      <c r="B75" t="s">
        <v>21</v>
      </c>
      <c r="C75" t="s">
        <v>292</v>
      </c>
      <c r="D75" t="b">
        <v>1</v>
      </c>
      <c r="E75" t="b">
        <v>1</v>
      </c>
      <c r="F75">
        <v>1</v>
      </c>
      <c r="G75" t="s">
        <v>293</v>
      </c>
      <c r="H75">
        <v>3762</v>
      </c>
      <c r="I75">
        <v>76</v>
      </c>
      <c r="J75">
        <v>150</v>
      </c>
      <c r="K75">
        <v>1</v>
      </c>
      <c r="L75">
        <v>0</v>
      </c>
      <c r="M75">
        <v>15</v>
      </c>
      <c r="N75" t="str">
        <f>HYPERLINK("https://images.diginfra.net/framed3.html?imagesetuuid=df3dafee-b161-42ae-8ffe-6d7f9dbb63ed&amp;uri=https://images.diginfra.net/iiif/NL-HaNA_1.01.02/3762/NL-HaNA_1.01.02_3762_0076.jpg", "viewer_url")</f>
        <v>viewer_url</v>
      </c>
      <c r="O75" t="str">
        <f>HYPERLINK("https://images.diginfra.net/iiif/NL-HaNA_1.01.02/3762/NL-HaNA_1.01.02_3762_0076.jpg/1429,872,800,323/full/0/default.jpg", "iiif_url")</f>
        <v>iiif_url</v>
      </c>
      <c r="P75" t="s">
        <v>294</v>
      </c>
      <c r="Q75" t="str">
        <f>HYPERLINK("https://images.diginfra.net/framed3.html?imagesetuuid=df3dafee-b161-42ae-8ffe-6d7f9dbb63ed&amp;uri=https://images.diginfra.net/iiif/NL-HaNA_1.01.02/3762/NL-HaNA_1.01.02_3762_0079.jpg", "next_meeting_viewer_url")</f>
        <v>next_meeting_viewer_url</v>
      </c>
      <c r="R75" t="str">
        <f>HYPERLINK("https://images.diginfra.net/iiif/NL-HaNA_1.01.02/3762/NL-HaNA_1.01.02_3762_0079.jpg/545,1159,714,308/full/0/default.jpg", "next_meeting_iiif_url")</f>
        <v>next_meeting_iiif_url</v>
      </c>
      <c r="S75" t="s">
        <v>295</v>
      </c>
      <c r="T75" t="str">
        <f>HYPERLINK("https://images.diginfra.net/framed3.html?imagesetuuid=df3dafee-b161-42ae-8ffe-6d7f9dbb63ed&amp;uri=https://images.diginfra.net/iiif/NL-HaNA_1.01.02/3762/NL-HaNA_1.01.02_3762_0074.jpg", "prev_meeting_viewer_url")</f>
        <v>prev_meeting_viewer_url</v>
      </c>
      <c r="U75" t="str">
        <f>HYPERLINK("https://images.diginfra.net/iiif/NL-HaNA_1.01.02/3762/NL-HaNA_1.01.02_3762_0074.jpg/1479,1434,735,320/full/0/default.jpg", "prev_meeting_iiif_url")</f>
        <v>prev_meeting_iiif_url</v>
      </c>
    </row>
    <row r="76" spans="1:21" x14ac:dyDescent="0.2">
      <c r="A76" t="s">
        <v>296</v>
      </c>
      <c r="B76" t="s">
        <v>25</v>
      </c>
      <c r="D76" t="b">
        <v>0</v>
      </c>
      <c r="E76" t="b">
        <v>1</v>
      </c>
      <c r="F76">
        <v>0</v>
      </c>
      <c r="G76" t="s">
        <v>297</v>
      </c>
      <c r="H76">
        <v>3814</v>
      </c>
      <c r="I76">
        <v>372</v>
      </c>
      <c r="J76">
        <v>742</v>
      </c>
      <c r="K76">
        <v>0</v>
      </c>
      <c r="L76">
        <v>1</v>
      </c>
      <c r="M76">
        <v>1</v>
      </c>
      <c r="N76" t="str">
        <f>HYPERLINK("https://images.diginfra.net/framed3.html?imagesetuuid=a95427fd-d131-4f1b-a2ee-069d038f458a&amp;uri=https://images.diginfra.net/iiif/NL-HaNA_1.01.02/3814/NL-HaNA_1.01.02_3814_0372.jpg", "viewer_url")</f>
        <v>viewer_url</v>
      </c>
      <c r="O76" t="str">
        <f>HYPERLINK("https://images.diginfra.net/iiif/NL-HaNA_1.01.02/3814/NL-HaNA_1.01.02_3814_0372.jpg/715,597,337,309/full/0/default.jpg", "iiif_url")</f>
        <v>iiif_url</v>
      </c>
      <c r="Q76" t="str">
        <f>HYPERLINK("https://images.diginfra.net/framed3.html?imagesetuuid=a95427fd-d131-4f1b-a2ee-069d038f458a&amp;uri=https://images.diginfra.net/iiif/NL-HaNA_1.01.02/3814/NL-HaNA_1.01.02_3814_0380.jpg", "next_meeting_viewer_url")</f>
        <v>next_meeting_viewer_url</v>
      </c>
      <c r="R76" t="str">
        <f>HYPERLINK("https://images.diginfra.net/iiif/NL-HaNA_1.01.02/3814/NL-HaNA_1.01.02_3814_0380.jpg/3695,1148,344,312/full/0/default.jpg", "next_meeting_iiif_url")</f>
        <v>next_meeting_iiif_url</v>
      </c>
      <c r="T76" t="str">
        <f>HYPERLINK("https://images.diginfra.net/framed3.html?imagesetuuid=a95427fd-d131-4f1b-a2ee-069d038f458a&amp;uri=https://images.diginfra.net/iiif/NL-HaNA_1.01.02/3814/NL-HaNA_1.01.02_3814_0370.jpg", "prev_meeting_viewer_url")</f>
        <v>prev_meeting_viewer_url</v>
      </c>
      <c r="U76" t="str">
        <f>HYPERLINK("https://images.diginfra.net/iiif/NL-HaNA_1.01.02/3814/NL-HaNA_1.01.02_3814_0370.jpg/1687,3025,330,311/full/0/default.jpg", "prev_meeting_iiif_url")</f>
        <v>prev_meeting_iiif_url</v>
      </c>
    </row>
    <row r="77" spans="1:21" x14ac:dyDescent="0.2">
      <c r="A77" t="s">
        <v>298</v>
      </c>
      <c r="B77" t="s">
        <v>50</v>
      </c>
      <c r="D77" t="b">
        <v>1</v>
      </c>
      <c r="E77" t="b">
        <v>0</v>
      </c>
      <c r="F77">
        <v>0</v>
      </c>
    </row>
    <row r="78" spans="1:21" x14ac:dyDescent="0.2">
      <c r="A78" t="s">
        <v>299</v>
      </c>
      <c r="B78" t="s">
        <v>25</v>
      </c>
      <c r="C78" t="s">
        <v>300</v>
      </c>
      <c r="D78" t="b">
        <v>0</v>
      </c>
      <c r="E78" t="b">
        <v>1</v>
      </c>
      <c r="F78">
        <v>0</v>
      </c>
      <c r="G78" t="s">
        <v>301</v>
      </c>
      <c r="H78">
        <v>3778</v>
      </c>
      <c r="I78">
        <v>271</v>
      </c>
      <c r="J78">
        <v>540</v>
      </c>
      <c r="K78">
        <v>0</v>
      </c>
      <c r="L78">
        <v>3</v>
      </c>
      <c r="M78">
        <v>0</v>
      </c>
      <c r="N78" t="str">
        <f>HYPERLINK("https://images.diginfra.net/framed3.html?imagesetuuid=c7562dfc-1537-4f53-946e-774c7935b363&amp;uri=https://images.diginfra.net/iiif/NL-HaNA_1.01.02/3778/NL-HaNA_1.01.02_3778_0271.jpg", "viewer_url")</f>
        <v>viewer_url</v>
      </c>
      <c r="O78" t="str">
        <f>HYPERLINK("https://images.diginfra.net/iiif/NL-HaNA_1.01.02/3778/NL-HaNA_1.01.02_3778_0271.jpg/373,2957,745,315/full/0/default.jpg", "iiif_url")</f>
        <v>iiif_url</v>
      </c>
      <c r="S78" t="s">
        <v>302</v>
      </c>
      <c r="T78" t="str">
        <f>HYPERLINK("https://images.diginfra.net/framed3.html?imagesetuuid=c7562dfc-1537-4f53-946e-774c7935b363&amp;uri=https://images.diginfra.net/iiif/NL-HaNA_1.01.02/3778/NL-HaNA_1.01.02_3778_0270.jpg", "prev_meeting_viewer_url")</f>
        <v>prev_meeting_viewer_url</v>
      </c>
      <c r="U78" t="str">
        <f>HYPERLINK("https://images.diginfra.net/iiif/NL-HaNA_1.01.02/3778/NL-HaNA_1.01.02_3778_0270.jpg/3526,1381,735,311/full/0/default.jpg", "prev_meeting_iiif_url")</f>
        <v>prev_meeting_iiif_url</v>
      </c>
    </row>
    <row r="79" spans="1:21" x14ac:dyDescent="0.2">
      <c r="A79" t="s">
        <v>303</v>
      </c>
      <c r="B79" t="s">
        <v>21</v>
      </c>
      <c r="C79" t="s">
        <v>304</v>
      </c>
      <c r="D79" t="b">
        <v>1</v>
      </c>
      <c r="E79" t="b">
        <v>1</v>
      </c>
      <c r="F79">
        <v>1</v>
      </c>
      <c r="G79" t="s">
        <v>305</v>
      </c>
      <c r="H79">
        <v>3811</v>
      </c>
      <c r="I79">
        <v>191</v>
      </c>
      <c r="J79">
        <v>381</v>
      </c>
      <c r="K79">
        <v>1</v>
      </c>
      <c r="L79">
        <v>1</v>
      </c>
      <c r="M79">
        <v>31</v>
      </c>
      <c r="N79" t="str">
        <f>HYPERLINK("https://images.diginfra.net/framed3.html?imagesetuuid=f707f64c-15ec-4624-ba99-82cb83d16c2c&amp;uri=https://images.diginfra.net/iiif/NL-HaNA_1.01.02/3811/NL-HaNA_1.01.02_3811_0191.jpg", "viewer_url")</f>
        <v>viewer_url</v>
      </c>
      <c r="O79" t="str">
        <f>HYPERLINK("https://images.diginfra.net/iiif/NL-HaNA_1.01.02/3811/NL-HaNA_1.01.02_3811_0191.jpg/3415,1766,941,320/full/0/default.jpg", "iiif_url")</f>
        <v>iiif_url</v>
      </c>
      <c r="P79" t="s">
        <v>306</v>
      </c>
      <c r="Q79" t="str">
        <f>HYPERLINK("https://images.diginfra.net/framed3.html?imagesetuuid=f707f64c-15ec-4624-ba99-82cb83d16c2c&amp;uri=https://images.diginfra.net/iiif/NL-HaNA_1.01.02/3811/NL-HaNA_1.01.02_3811_0193.jpg", "next_meeting_viewer_url")</f>
        <v>next_meeting_viewer_url</v>
      </c>
      <c r="R79" t="str">
        <f>HYPERLINK("https://images.diginfra.net/iiif/NL-HaNA_1.01.02/3811/NL-HaNA_1.01.02_3811_0193.jpg/3547,2277,658,312/full/0/default.jpg", "next_meeting_iiif_url")</f>
        <v>next_meeting_iiif_url</v>
      </c>
      <c r="S79" t="s">
        <v>307</v>
      </c>
      <c r="T79" t="str">
        <f>HYPERLINK("https://images.diginfra.net/framed3.html?imagesetuuid=f707f64c-15ec-4624-ba99-82cb83d16c2c&amp;uri=https://images.diginfra.net/iiif/NL-HaNA_1.01.02/3811/NL-HaNA_1.01.02_3811_0191.jpg", "prev_meeting_viewer_url")</f>
        <v>prev_meeting_viewer_url</v>
      </c>
      <c r="U79" t="str">
        <f>HYPERLINK("https://images.diginfra.net/iiif/NL-HaNA_1.01.02/3811/NL-HaNA_1.01.02_3811_0191.jpg/406,2453,686,314/full/0/default.jpg", "prev_meeting_iiif_url")</f>
        <v>prev_meeting_iiif_url</v>
      </c>
    </row>
    <row r="80" spans="1:21" x14ac:dyDescent="0.2">
      <c r="A80" t="s">
        <v>308</v>
      </c>
      <c r="B80" t="s">
        <v>21</v>
      </c>
      <c r="D80" t="b">
        <v>1</v>
      </c>
      <c r="E80" t="b">
        <v>1</v>
      </c>
      <c r="F80">
        <v>0</v>
      </c>
      <c r="G80" t="s">
        <v>309</v>
      </c>
      <c r="H80">
        <v>3782</v>
      </c>
      <c r="I80">
        <v>208</v>
      </c>
      <c r="J80">
        <v>415</v>
      </c>
      <c r="K80">
        <v>0</v>
      </c>
      <c r="L80">
        <v>0</v>
      </c>
      <c r="M80">
        <v>0</v>
      </c>
      <c r="N80" t="str">
        <f>HYPERLINK("https://images.diginfra.net/framed3.html?imagesetuuid=6d3687da-fdc8-4a47-ac98-f85d45f74cb7&amp;uri=https://images.diginfra.net/iiif/NL-HaNA_1.01.02/3782/NL-HaNA_1.01.02_3782_0208.jpg", "viewer_url")</f>
        <v>viewer_url</v>
      </c>
      <c r="O80" t="str">
        <f>HYPERLINK("https://images.diginfra.net/iiif/NL-HaNA_1.01.02/3782/NL-HaNA_1.01.02_3782_0208.jpg/2896,399,331,308/full/0/default.jpg", "iiif_url")</f>
        <v>iiif_url</v>
      </c>
      <c r="P80" t="s">
        <v>310</v>
      </c>
      <c r="Q80" t="str">
        <f>HYPERLINK("https://images.diginfra.net/framed3.html?imagesetuuid=6d3687da-fdc8-4a47-ac98-f85d45f74cb7&amp;uri=https://images.diginfra.net/iiif/NL-HaNA_1.01.02/3782/NL-HaNA_1.01.02_3782_0210.jpg", "next_meeting_viewer_url")</f>
        <v>next_meeting_viewer_url</v>
      </c>
      <c r="R80" t="str">
        <f>HYPERLINK("https://images.diginfra.net/iiif/NL-HaNA_1.01.02/3782/NL-HaNA_1.01.02_3782_0210.jpg/2743,2018,706,312/full/0/default.jpg", "next_meeting_iiif_url")</f>
        <v>next_meeting_iiif_url</v>
      </c>
      <c r="S80" t="s">
        <v>311</v>
      </c>
      <c r="T80" t="str">
        <f>HYPERLINK("https://images.diginfra.net/framed3.html?imagesetuuid=6d3687da-fdc8-4a47-ac98-f85d45f74cb7&amp;uri=https://images.diginfra.net/iiif/NL-HaNA_1.01.02/3782/NL-HaNA_1.01.02_3782_0206.jpg", "prev_meeting_viewer_url")</f>
        <v>prev_meeting_viewer_url</v>
      </c>
      <c r="U80" t="str">
        <f>HYPERLINK("https://images.diginfra.net/iiif/NL-HaNA_1.01.02/3782/NL-HaNA_1.01.02_3782_0206.jpg/521,542,724,311/full/0/default.jpg", "prev_meeting_iiif_url")</f>
        <v>prev_meeting_iiif_url</v>
      </c>
    </row>
    <row r="81" spans="1:21" x14ac:dyDescent="0.2">
      <c r="A81" t="s">
        <v>312</v>
      </c>
      <c r="B81" t="s">
        <v>142</v>
      </c>
      <c r="D81" t="b">
        <v>1</v>
      </c>
      <c r="E81" t="b">
        <v>0</v>
      </c>
      <c r="F81">
        <v>0</v>
      </c>
    </row>
    <row r="82" spans="1:21" x14ac:dyDescent="0.2">
      <c r="A82" t="s">
        <v>313</v>
      </c>
      <c r="B82" t="s">
        <v>25</v>
      </c>
      <c r="D82" t="b">
        <v>0</v>
      </c>
      <c r="E82" t="b">
        <v>0</v>
      </c>
      <c r="F82">
        <v>1</v>
      </c>
      <c r="P82" t="s">
        <v>314</v>
      </c>
      <c r="Q82" t="str">
        <f>HYPERLINK("https://images.diginfra.net/framed3.html?imagesetuuid=70af21ed-3dea-44e0-a125-396f50f1c89e&amp;uri=https://images.diginfra.net/iiif/NL-HaNA_1.01.02/3853/NL-HaNA_1.01.02_3853_0267.jpg", "next_meeting_viewer_url")</f>
        <v>next_meeting_viewer_url</v>
      </c>
      <c r="R82" t="str">
        <f>HYPERLINK("https://images.diginfra.net/iiif/NL-HaNA_1.01.02/3853/NL-HaNA_1.01.02_3853_0267.jpg/478,3031,651,314/full/0/default.jpg", "next_meeting_iiif_url")</f>
        <v>next_meeting_iiif_url</v>
      </c>
    </row>
    <row r="83" spans="1:21" x14ac:dyDescent="0.2">
      <c r="A83" t="s">
        <v>315</v>
      </c>
      <c r="B83" t="s">
        <v>21</v>
      </c>
      <c r="D83" t="b">
        <v>1</v>
      </c>
      <c r="E83" t="b">
        <v>0</v>
      </c>
      <c r="F83">
        <v>0</v>
      </c>
    </row>
    <row r="84" spans="1:21" x14ac:dyDescent="0.2">
      <c r="A84" t="s">
        <v>316</v>
      </c>
      <c r="B84" t="s">
        <v>50</v>
      </c>
      <c r="C84" t="s">
        <v>317</v>
      </c>
      <c r="D84" t="b">
        <v>1</v>
      </c>
      <c r="E84" t="b">
        <v>1</v>
      </c>
      <c r="F84">
        <v>0</v>
      </c>
      <c r="G84" t="s">
        <v>318</v>
      </c>
      <c r="H84">
        <v>3771</v>
      </c>
      <c r="I84">
        <v>144</v>
      </c>
      <c r="J84">
        <v>287</v>
      </c>
      <c r="K84">
        <v>0</v>
      </c>
      <c r="L84">
        <v>3</v>
      </c>
      <c r="M84">
        <v>0</v>
      </c>
      <c r="N84" t="str">
        <f>HYPERLINK("https://images.diginfra.net/framed3.html?imagesetuuid=16b7bf4c-5e05-4e5e-b109-cf178ead6c3f&amp;uri=https://images.diginfra.net/iiif/NL-HaNA_1.01.02/3771/NL-HaNA_1.01.02_3771_0144.jpg", "viewer_url")</f>
        <v>viewer_url</v>
      </c>
      <c r="O84" t="str">
        <f>HYPERLINK("https://images.diginfra.net/iiif/NL-HaNA_1.01.02/3771/NL-HaNA_1.01.02_3771_0144.jpg/2637,2259,744,325/full/0/default.jpg", "iiif_url")</f>
        <v>iiif_url</v>
      </c>
      <c r="P84" t="s">
        <v>319</v>
      </c>
      <c r="Q84" t="str">
        <f>HYPERLINK("https://images.diginfra.net/framed3.html?imagesetuuid=16b7bf4c-5e05-4e5e-b109-cf178ead6c3f&amp;uri=https://images.diginfra.net/iiif/NL-HaNA_1.01.02/3771/NL-HaNA_1.01.02_3771_0148.jpg", "next_meeting_viewer_url")</f>
        <v>next_meeting_viewer_url</v>
      </c>
      <c r="R84" t="str">
        <f>HYPERLINK("https://images.diginfra.net/iiif/NL-HaNA_1.01.02/3771/NL-HaNA_1.01.02_3771_0148.jpg/1327,1210,773,306/full/0/default.jpg", "next_meeting_iiif_url")</f>
        <v>next_meeting_iiif_url</v>
      </c>
      <c r="S84" t="s">
        <v>320</v>
      </c>
      <c r="T84" t="str">
        <f>HYPERLINK("https://images.diginfra.net/framed3.html?imagesetuuid=16b7bf4c-5e05-4e5e-b109-cf178ead6c3f&amp;uri=https://images.diginfra.net/iiif/NL-HaNA_1.01.02/3771/NL-HaNA_1.01.02_3771_0142.jpg", "prev_meeting_viewer_url")</f>
        <v>prev_meeting_viewer_url</v>
      </c>
      <c r="U84" t="str">
        <f>HYPERLINK("https://images.diginfra.net/iiif/NL-HaNA_1.01.02/3771/NL-HaNA_1.01.02_3771_0142.jpg/1364,2542,719,309/full/0/default.jpg", "prev_meeting_iiif_url")</f>
        <v>prev_meeting_iiif_url</v>
      </c>
    </row>
    <row r="85" spans="1:21" x14ac:dyDescent="0.2">
      <c r="A85" t="s">
        <v>321</v>
      </c>
      <c r="B85" t="s">
        <v>43</v>
      </c>
      <c r="C85" t="s">
        <v>322</v>
      </c>
      <c r="D85" t="b">
        <v>1</v>
      </c>
      <c r="E85" t="b">
        <v>1</v>
      </c>
      <c r="F85">
        <v>0</v>
      </c>
      <c r="G85" t="s">
        <v>323</v>
      </c>
      <c r="H85">
        <v>3805</v>
      </c>
      <c r="I85">
        <v>414</v>
      </c>
      <c r="J85">
        <v>827</v>
      </c>
      <c r="K85">
        <v>1</v>
      </c>
      <c r="L85">
        <v>0</v>
      </c>
      <c r="M85">
        <v>0</v>
      </c>
      <c r="N85" t="str">
        <f>HYPERLINK("https://images.diginfra.net/framed3.html?imagesetuuid=e8c5617e-c060-4d57-a0d9-c22a4796ba85&amp;uri=https://images.diginfra.net/iiif/NL-HaNA_1.01.02/3805/NL-HaNA_1.01.02_3805_0414.jpg", "viewer_url")</f>
        <v>viewer_url</v>
      </c>
      <c r="O85" t="str">
        <f>HYPERLINK("https://images.diginfra.net/iiif/NL-HaNA_1.01.02/3805/NL-HaNA_1.01.02_3805_0414.jpg/2476,338,815,311/full/0/default.jpg", "iiif_url")</f>
        <v>iiif_url</v>
      </c>
    </row>
    <row r="86" spans="1:21" x14ac:dyDescent="0.2">
      <c r="A86" t="s">
        <v>324</v>
      </c>
      <c r="B86" t="s">
        <v>63</v>
      </c>
      <c r="D86" t="b">
        <v>0</v>
      </c>
      <c r="E86" t="b">
        <v>0</v>
      </c>
      <c r="F86">
        <v>1</v>
      </c>
      <c r="P86" t="s">
        <v>325</v>
      </c>
      <c r="Q86" t="str">
        <f>HYPERLINK("https://images.diginfra.net/framed3.html?imagesetuuid=27660c50-4382-4d81-bab3-9b18ce5e4c3c&amp;uri=https://images.diginfra.net/iiif/NL-HaNA_1.01.02/3851/NL-HaNA_1.01.02_3851_0230.jpg", "next_meeting_viewer_url")</f>
        <v>next_meeting_viewer_url</v>
      </c>
      <c r="R86" t="str">
        <f>HYPERLINK("https://images.diginfra.net/iiif/NL-HaNA_1.01.02/3851/NL-HaNA_1.01.02_3851_0230.jpg/3281,1806,822,308/full/0/default.jpg", "next_meeting_iiif_url")</f>
        <v>next_meeting_iiif_url</v>
      </c>
      <c r="S86" t="s">
        <v>326</v>
      </c>
      <c r="T86" t="str">
        <f>HYPERLINK("https://images.diginfra.net/framed3.html?imagesetuuid=27660c50-4382-4d81-bab3-9b18ce5e4c3c&amp;uri=https://images.diginfra.net/iiif/NL-HaNA_1.01.02/3851/NL-HaNA_1.01.02_3851_0011.jpg", "prev_meeting_viewer_url")</f>
        <v>prev_meeting_viewer_url</v>
      </c>
      <c r="U86" t="str">
        <f>HYPERLINK("https://images.diginfra.net/iiif/NL-HaNA_1.01.02/3851/NL-HaNA_1.01.02_3851_0011.jpg/1438,486,666,325/full/0/default.jpg", "prev_meeting_iiif_url")</f>
        <v>prev_meeting_iiif_url</v>
      </c>
    </row>
    <row r="87" spans="1:21" x14ac:dyDescent="0.2">
      <c r="A87" t="s">
        <v>327</v>
      </c>
      <c r="B87" t="s">
        <v>142</v>
      </c>
      <c r="C87" t="s">
        <v>294</v>
      </c>
      <c r="D87" t="b">
        <v>1</v>
      </c>
      <c r="E87" t="b">
        <v>1</v>
      </c>
      <c r="F87">
        <v>1</v>
      </c>
      <c r="G87" t="s">
        <v>328</v>
      </c>
      <c r="H87">
        <v>3779</v>
      </c>
      <c r="I87">
        <v>79</v>
      </c>
      <c r="J87">
        <v>156</v>
      </c>
      <c r="K87">
        <v>1</v>
      </c>
      <c r="L87">
        <v>2</v>
      </c>
      <c r="M87">
        <v>0</v>
      </c>
      <c r="N87" t="str">
        <f>HYPERLINK("https://images.diginfra.net/framed3.html?imagesetuuid=2a6123c7-d902-45f6-87fa-8a3cc39c1043&amp;uri=https://images.diginfra.net/iiif/NL-HaNA_1.01.02/3779/NL-HaNA_1.01.02_3779_0079.jpg", "viewer_url")</f>
        <v>viewer_url</v>
      </c>
      <c r="O87" t="str">
        <f>HYPERLINK("https://images.diginfra.net/iiif/NL-HaNA_1.01.02/3779/NL-HaNA_1.01.02_3779_0079.jpg/1446,2707,737,310/full/0/default.jpg", "iiif_url")</f>
        <v>iiif_url</v>
      </c>
      <c r="P87" t="s">
        <v>329</v>
      </c>
      <c r="Q87" t="str">
        <f>HYPERLINK("https://images.diginfra.net/framed3.html?imagesetuuid=2a6123c7-d902-45f6-87fa-8a3cc39c1043&amp;uri=https://images.diginfra.net/iiif/NL-HaNA_1.01.02/3779/NL-HaNA_1.01.02_3779_0080.jpg", "next_meeting_viewer_url")</f>
        <v>next_meeting_viewer_url</v>
      </c>
      <c r="R87" t="str">
        <f>HYPERLINK("https://images.diginfra.net/iiif/NL-HaNA_1.01.02/3779/NL-HaNA_1.01.02_3779_0080.jpg/452,1689,799,311/full/0/default.jpg", "next_meeting_iiif_url")</f>
        <v>next_meeting_iiif_url</v>
      </c>
      <c r="S87" t="s">
        <v>330</v>
      </c>
      <c r="T87" t="str">
        <f>HYPERLINK("https://images.diginfra.net/framed3.html?imagesetuuid=2a6123c7-d902-45f6-87fa-8a3cc39c1043&amp;uri=https://images.diginfra.net/iiif/NL-HaNA_1.01.02/3779/NL-HaNA_1.01.02_3779_0078.jpg", "prev_meeting_viewer_url")</f>
        <v>prev_meeting_viewer_url</v>
      </c>
      <c r="U87" t="str">
        <f>HYPERLINK("https://images.diginfra.net/iiif/NL-HaNA_1.01.02/3779/NL-HaNA_1.01.02_3779_0078.jpg/3600,1095,833,318/full/0/default.jpg", "prev_meeting_iiif_url")</f>
        <v>prev_meeting_iiif_url</v>
      </c>
    </row>
    <row r="88" spans="1:21" x14ac:dyDescent="0.2">
      <c r="A88" t="s">
        <v>331</v>
      </c>
      <c r="B88" t="s">
        <v>50</v>
      </c>
      <c r="C88" t="s">
        <v>332</v>
      </c>
      <c r="D88" t="b">
        <v>1</v>
      </c>
      <c r="E88" t="b">
        <v>1</v>
      </c>
      <c r="F88">
        <v>1</v>
      </c>
      <c r="G88" t="s">
        <v>333</v>
      </c>
      <c r="H88">
        <v>3796</v>
      </c>
      <c r="I88">
        <v>426</v>
      </c>
      <c r="J88">
        <v>851</v>
      </c>
      <c r="K88">
        <v>0</v>
      </c>
      <c r="L88">
        <v>1</v>
      </c>
      <c r="M88">
        <v>0</v>
      </c>
      <c r="N88" t="str">
        <f>HYPERLINK("https://images.diginfra.net/framed3.html?imagesetuuid=ece8f80b-0549-4e73-82ff-af47ed8525ac&amp;uri=https://images.diginfra.net/iiif/NL-HaNA_1.01.02/3796/NL-HaNA_1.01.02_3796_0426.jpg", "viewer_url")</f>
        <v>viewer_url</v>
      </c>
      <c r="O88" t="str">
        <f>HYPERLINK("https://images.diginfra.net/iiif/NL-HaNA_1.01.02/3796/NL-HaNA_1.01.02_3796_0426.jpg/2621,876,814,316/full/0/default.jpg", "iiif_url")</f>
        <v>iiif_url</v>
      </c>
      <c r="S88" t="s">
        <v>334</v>
      </c>
      <c r="T88" t="str">
        <f>HYPERLINK("https://images.diginfra.net/framed3.html?imagesetuuid=ece8f80b-0549-4e73-82ff-af47ed8525ac&amp;uri=https://images.diginfra.net/iiif/NL-HaNA_1.01.02/3796/NL-HaNA_1.01.02_3796_0425.jpg", "prev_meeting_viewer_url")</f>
        <v>prev_meeting_viewer_url</v>
      </c>
      <c r="U88" t="str">
        <f>HYPERLINK("https://images.diginfra.net/iiif/NL-HaNA_1.01.02/3796/NL-HaNA_1.01.02_3796_0425.jpg/436,1873,773,315/full/0/default.jpg", "prev_meeting_iiif_url")</f>
        <v>prev_meeting_iiif_url</v>
      </c>
    </row>
    <row r="89" spans="1:21" x14ac:dyDescent="0.2">
      <c r="A89" t="s">
        <v>335</v>
      </c>
      <c r="B89" t="s">
        <v>43</v>
      </c>
      <c r="C89" t="s">
        <v>336</v>
      </c>
      <c r="D89" t="b">
        <v>1</v>
      </c>
      <c r="E89" t="b">
        <v>1</v>
      </c>
      <c r="F89">
        <v>1</v>
      </c>
      <c r="G89" t="s">
        <v>337</v>
      </c>
      <c r="H89">
        <v>3783</v>
      </c>
      <c r="I89">
        <v>350</v>
      </c>
      <c r="J89">
        <v>699</v>
      </c>
      <c r="K89">
        <v>0</v>
      </c>
      <c r="L89">
        <v>1</v>
      </c>
      <c r="M89">
        <v>3</v>
      </c>
      <c r="N89" t="str">
        <f>HYPERLINK("https://images.diginfra.net/framed3.html?imagesetuuid=67533019-4ca0-4b08-b87e-fd5590e7a077&amp;uri=https://images.diginfra.net/iiif/NL-HaNA_1.01.02/3783/NL-HaNA_1.01.02_3783_0350.jpg", "viewer_url")</f>
        <v>viewer_url</v>
      </c>
      <c r="O89" t="str">
        <f>HYPERLINK("https://images.diginfra.net/iiif/NL-HaNA_1.01.02/3783/NL-HaNA_1.01.02_3783_0350.jpg/2627,2137,708,319/full/0/default.jpg", "iiif_url")</f>
        <v>iiif_url</v>
      </c>
      <c r="P89" t="s">
        <v>338</v>
      </c>
      <c r="Q89" t="str">
        <f>HYPERLINK("https://images.diginfra.net/framed3.html?imagesetuuid=67533019-4ca0-4b08-b87e-fd5590e7a077&amp;uri=https://images.diginfra.net/iiif/NL-HaNA_1.01.02/3783/NL-HaNA_1.01.02_3783_0351.jpg", "next_meeting_viewer_url")</f>
        <v>next_meeting_viewer_url</v>
      </c>
      <c r="R89" t="str">
        <f>HYPERLINK("https://images.diginfra.net/iiif/NL-HaNA_1.01.02/3783/NL-HaNA_1.01.02_3783_0351.jpg/3535,517,718,311/full/0/default.jpg", "next_meeting_iiif_url")</f>
        <v>next_meeting_iiif_url</v>
      </c>
      <c r="S89" t="s">
        <v>339</v>
      </c>
      <c r="T89" t="str">
        <f>HYPERLINK("https://images.diginfra.net/framed3.html?imagesetuuid=67533019-4ca0-4b08-b87e-fd5590e7a077&amp;uri=https://images.diginfra.net/iiif/NL-HaNA_1.01.02/3783/NL-HaNA_1.01.02_3783_0348.jpg", "prev_meeting_viewer_url")</f>
        <v>prev_meeting_viewer_url</v>
      </c>
      <c r="U89" t="str">
        <f>HYPERLINK("https://images.diginfra.net/iiif/NL-HaNA_1.01.02/3783/NL-HaNA_1.01.02_3783_0348.jpg/3528,1178,708,314/full/0/default.jpg", "prev_meeting_iiif_url")</f>
        <v>prev_meeting_iiif_url</v>
      </c>
    </row>
    <row r="90" spans="1:21" x14ac:dyDescent="0.2">
      <c r="A90" t="s">
        <v>340</v>
      </c>
      <c r="B90" t="s">
        <v>21</v>
      </c>
      <c r="C90" t="s">
        <v>341</v>
      </c>
      <c r="D90" t="b">
        <v>1</v>
      </c>
      <c r="E90" t="b">
        <v>1</v>
      </c>
      <c r="F90">
        <v>1</v>
      </c>
      <c r="G90" t="s">
        <v>342</v>
      </c>
      <c r="H90">
        <v>3792</v>
      </c>
      <c r="I90">
        <v>276</v>
      </c>
      <c r="J90">
        <v>551</v>
      </c>
      <c r="K90">
        <v>0</v>
      </c>
      <c r="L90">
        <v>2</v>
      </c>
      <c r="M90">
        <v>0</v>
      </c>
      <c r="N90" t="str">
        <f>HYPERLINK("https://images.diginfra.net/framed3.html?imagesetuuid=507d79a4-2a42-4e84-afa5-a9ccb1e544fe&amp;uri=https://images.diginfra.net/iiif/NL-HaNA_1.01.02/3792/NL-HaNA_1.01.02_3792_0276.jpg", "viewer_url")</f>
        <v>viewer_url</v>
      </c>
      <c r="O90" t="str">
        <f>HYPERLINK("https://images.diginfra.net/iiif/NL-HaNA_1.01.02/3792/NL-HaNA_1.01.02_3792_0276.jpg/2679,1350,766,309/full/0/default.jpg", "iiif_url")</f>
        <v>iiif_url</v>
      </c>
      <c r="P90" t="s">
        <v>343</v>
      </c>
      <c r="Q90" t="str">
        <f>HYPERLINK("https://images.diginfra.net/framed3.html?imagesetuuid=507d79a4-2a42-4e84-afa5-a9ccb1e544fe&amp;uri=https://images.diginfra.net/iiif/NL-HaNA_1.01.02/3792/NL-HaNA_1.01.02_3792_0277.jpg", "next_meeting_viewer_url")</f>
        <v>next_meeting_viewer_url</v>
      </c>
      <c r="R90" t="str">
        <f>HYPERLINK("https://images.diginfra.net/iiif/NL-HaNA_1.01.02/3792/NL-HaNA_1.01.02_3792_0277.jpg/502,1160,679,319/full/0/default.jpg", "next_meeting_iiif_url")</f>
        <v>next_meeting_iiif_url</v>
      </c>
      <c r="S90" t="s">
        <v>344</v>
      </c>
      <c r="T90" t="str">
        <f>HYPERLINK("https://images.diginfra.net/framed3.html?imagesetuuid=507d79a4-2a42-4e84-afa5-a9ccb1e544fe&amp;uri=https://images.diginfra.net/iiif/NL-HaNA_1.01.02/3792/NL-HaNA_1.01.02_3792_0275.jpg", "prev_meeting_viewer_url")</f>
        <v>prev_meeting_viewer_url</v>
      </c>
      <c r="U90" t="str">
        <f>HYPERLINK("https://images.diginfra.net/iiif/NL-HaNA_1.01.02/3792/NL-HaNA_1.01.02_3792_0275.jpg/413,3018,717,310/full/0/default.jpg", "prev_meeting_iiif_url")</f>
        <v>prev_meeting_iiif_url</v>
      </c>
    </row>
    <row r="91" spans="1:21" x14ac:dyDescent="0.2">
      <c r="A91" t="s">
        <v>345</v>
      </c>
      <c r="B91" t="s">
        <v>50</v>
      </c>
      <c r="C91" t="s">
        <v>346</v>
      </c>
      <c r="D91" t="b">
        <v>1</v>
      </c>
      <c r="E91" t="b">
        <v>1</v>
      </c>
      <c r="F91">
        <v>1</v>
      </c>
      <c r="G91" t="s">
        <v>347</v>
      </c>
      <c r="H91">
        <v>3788</v>
      </c>
      <c r="I91">
        <v>242</v>
      </c>
      <c r="J91">
        <v>483</v>
      </c>
      <c r="K91">
        <v>1</v>
      </c>
      <c r="L91">
        <v>2</v>
      </c>
      <c r="M91">
        <v>0</v>
      </c>
      <c r="N91" t="str">
        <f>HYPERLINK("https://images.diginfra.net/framed3.html?imagesetuuid=0c8f3037-13b3-45f2-b332-cb8940ab7c42&amp;uri=https://images.diginfra.net/iiif/NL-HaNA_1.01.02/3788/NL-HaNA_1.01.02_3788_0242.jpg", "viewer_url")</f>
        <v>viewer_url</v>
      </c>
      <c r="O91" t="str">
        <f>HYPERLINK("https://images.diginfra.net/iiif/NL-HaNA_1.01.02/3788/NL-HaNA_1.01.02_3788_0242.jpg/3418,1384,702,313/full/0/default.jpg", "iiif_url")</f>
        <v>iiif_url</v>
      </c>
      <c r="P91" t="s">
        <v>348</v>
      </c>
      <c r="Q91" t="str">
        <f>HYPERLINK("https://images.diginfra.net/framed3.html?imagesetuuid=0c8f3037-13b3-45f2-b332-cb8940ab7c42&amp;uri=https://images.diginfra.net/iiif/NL-HaNA_1.01.02/3788/NL-HaNA_1.01.02_3788_0244.jpg", "next_meeting_viewer_url")</f>
        <v>next_meeting_viewer_url</v>
      </c>
      <c r="R91" t="str">
        <f>HYPERLINK("https://images.diginfra.net/iiif/NL-HaNA_1.01.02/3788/NL-HaNA_1.01.02_3788_0244.jpg/2493,1674,756,316/full/0/default.jpg", "next_meeting_iiif_url")</f>
        <v>next_meeting_iiif_url</v>
      </c>
      <c r="S91" t="s">
        <v>349</v>
      </c>
      <c r="T91" t="str">
        <f>HYPERLINK("https://images.diginfra.net/framed3.html?imagesetuuid=0c8f3037-13b3-45f2-b332-cb8940ab7c42&amp;uri=https://images.diginfra.net/iiif/NL-HaNA_1.01.02/3788/NL-HaNA_1.01.02_3788_0242.jpg", "prev_meeting_viewer_url")</f>
        <v>prev_meeting_viewer_url</v>
      </c>
      <c r="U91" t="str">
        <f>HYPERLINK("https://images.diginfra.net/iiif/NL-HaNA_1.01.02/3788/NL-HaNA_1.01.02_3788_0242.jpg/1405,869,663,312/full/0/default.jpg", "prev_meeting_iiif_url")</f>
        <v>prev_meeting_iiif_url</v>
      </c>
    </row>
    <row r="92" spans="1:21" x14ac:dyDescent="0.2">
      <c r="A92" t="s">
        <v>350</v>
      </c>
      <c r="B92" t="s">
        <v>21</v>
      </c>
      <c r="D92" t="b">
        <v>1</v>
      </c>
      <c r="E92" t="b">
        <v>0</v>
      </c>
      <c r="F92">
        <v>0</v>
      </c>
    </row>
    <row r="93" spans="1:21" x14ac:dyDescent="0.2">
      <c r="A93" t="s">
        <v>351</v>
      </c>
      <c r="B93" t="s">
        <v>21</v>
      </c>
      <c r="C93" t="s">
        <v>352</v>
      </c>
      <c r="D93" t="b">
        <v>1</v>
      </c>
      <c r="E93" t="b">
        <v>1</v>
      </c>
      <c r="F93">
        <v>1</v>
      </c>
      <c r="G93" t="s">
        <v>353</v>
      </c>
      <c r="H93">
        <v>3793</v>
      </c>
      <c r="I93">
        <v>354</v>
      </c>
      <c r="J93">
        <v>706</v>
      </c>
      <c r="K93">
        <v>1</v>
      </c>
      <c r="L93">
        <v>1</v>
      </c>
      <c r="M93">
        <v>0</v>
      </c>
      <c r="N93" t="str">
        <f>HYPERLINK("https://images.diginfra.net/framed3.html?imagesetuuid=8305a309-5c79-4c0c-a981-7e350c76be32&amp;uri=https://images.diginfra.net/iiif/NL-HaNA_1.01.02/3793/NL-HaNA_1.01.02_3793_0354.jpg", "viewer_url")</f>
        <v>viewer_url</v>
      </c>
      <c r="O93" t="str">
        <f>HYPERLINK("https://images.diginfra.net/iiif/NL-HaNA_1.01.02/3793/NL-HaNA_1.01.02_3793_0354.jpg/1324,2175,840,315/full/0/default.jpg", "iiif_url")</f>
        <v>iiif_url</v>
      </c>
      <c r="P93" t="s">
        <v>354</v>
      </c>
      <c r="Q93" t="str">
        <f>HYPERLINK("https://images.diginfra.net/framed3.html?imagesetuuid=8305a309-5c79-4c0c-a981-7e350c76be32&amp;uri=https://images.diginfra.net/iiif/NL-HaNA_1.01.02/3793/NL-HaNA_1.01.02_3793_0363.jpg", "next_meeting_viewer_url")</f>
        <v>next_meeting_viewer_url</v>
      </c>
      <c r="R93" t="str">
        <f>HYPERLINK("https://images.diginfra.net/iiif/NL-HaNA_1.01.02/3793/NL-HaNA_1.01.02_3793_0363.jpg/3515,683,778,315/full/0/default.jpg", "next_meeting_iiif_url")</f>
        <v>next_meeting_iiif_url</v>
      </c>
      <c r="S93" t="s">
        <v>355</v>
      </c>
      <c r="T93" t="str">
        <f>HYPERLINK("https://images.diginfra.net/framed3.html?imagesetuuid=8305a309-5c79-4c0c-a981-7e350c76be32&amp;uri=https://images.diginfra.net/iiif/NL-HaNA_1.01.02/3793/NL-HaNA_1.01.02_3793_0353.jpg", "prev_meeting_viewer_url")</f>
        <v>prev_meeting_viewer_url</v>
      </c>
      <c r="U93" t="str">
        <f>HYPERLINK("https://images.diginfra.net/iiif/NL-HaNA_1.01.02/3793/NL-HaNA_1.01.02_3793_0353.jpg/3526,972,795,318/full/0/default.jpg", "prev_meeting_iiif_url")</f>
        <v>prev_meeting_iiif_url</v>
      </c>
    </row>
    <row r="94" spans="1:21" x14ac:dyDescent="0.2">
      <c r="A94" t="s">
        <v>356</v>
      </c>
      <c r="B94" t="s">
        <v>21</v>
      </c>
      <c r="C94" t="s">
        <v>357</v>
      </c>
      <c r="D94" t="b">
        <v>1</v>
      </c>
      <c r="E94" t="b">
        <v>1</v>
      </c>
      <c r="F94">
        <v>1</v>
      </c>
      <c r="G94" t="s">
        <v>358</v>
      </c>
      <c r="H94">
        <v>3764</v>
      </c>
      <c r="I94">
        <v>188</v>
      </c>
      <c r="J94">
        <v>375</v>
      </c>
      <c r="K94">
        <v>1</v>
      </c>
      <c r="L94">
        <v>2</v>
      </c>
      <c r="M94">
        <v>0</v>
      </c>
      <c r="N94" t="str">
        <f>HYPERLINK("https://images.diginfra.net/framed3.html?imagesetuuid=111590de-8f08-498e-8bad-f6a289f87065&amp;uri=https://images.diginfra.net/iiif/NL-HaNA_1.01.02/3764/NL-HaNA_1.01.02_3764_0188.jpg", "viewer_url")</f>
        <v>viewer_url</v>
      </c>
      <c r="O94" t="str">
        <f>HYPERLINK("https://images.diginfra.net/iiif/NL-HaNA_1.01.02/3764/NL-HaNA_1.01.02_3764_0188.jpg/3623,1427,725,311/full/0/default.jpg", "iiif_url")</f>
        <v>iiif_url</v>
      </c>
      <c r="P94" t="s">
        <v>359</v>
      </c>
      <c r="Q94" t="str">
        <f>HYPERLINK("https://images.diginfra.net/framed3.html?imagesetuuid=111590de-8f08-498e-8bad-f6a289f87065&amp;uri=https://images.diginfra.net/iiif/NL-HaNA_1.01.02/3764/NL-HaNA_1.01.02_3764_0191.jpg", "next_meeting_viewer_url")</f>
        <v>next_meeting_viewer_url</v>
      </c>
      <c r="R94" t="str">
        <f>HYPERLINK("https://images.diginfra.net/iiif/NL-HaNA_1.01.02/3764/NL-HaNA_1.01.02_3764_0191.jpg/2667,2486,708,308/full/0/default.jpg", "next_meeting_iiif_url")</f>
        <v>next_meeting_iiif_url</v>
      </c>
      <c r="S94" t="s">
        <v>360</v>
      </c>
      <c r="T94" t="str">
        <f>HYPERLINK("https://images.diginfra.net/framed3.html?imagesetuuid=111590de-8f08-498e-8bad-f6a289f87065&amp;uri=https://images.diginfra.net/iiif/NL-HaNA_1.01.02/3764/NL-HaNA_1.01.02_3764_0181.jpg", "prev_meeting_viewer_url")</f>
        <v>prev_meeting_viewer_url</v>
      </c>
      <c r="U94" t="str">
        <f>HYPERLINK("https://images.diginfra.net/iiif/NL-HaNA_1.01.02/3764/NL-HaNA_1.01.02_3764_0181.jpg/3601,1166,698,315/full/0/default.jpg", "prev_meeting_iiif_url")</f>
        <v>prev_meeting_iiif_url</v>
      </c>
    </row>
    <row r="95" spans="1:21" x14ac:dyDescent="0.2">
      <c r="A95" t="s">
        <v>361</v>
      </c>
      <c r="B95" t="s">
        <v>43</v>
      </c>
      <c r="C95" t="s">
        <v>362</v>
      </c>
      <c r="D95" t="b">
        <v>1</v>
      </c>
      <c r="E95" t="b">
        <v>1</v>
      </c>
      <c r="F95">
        <v>1</v>
      </c>
      <c r="G95" t="s">
        <v>363</v>
      </c>
      <c r="H95">
        <v>3770</v>
      </c>
      <c r="I95">
        <v>316</v>
      </c>
      <c r="J95">
        <v>630</v>
      </c>
      <c r="K95">
        <v>0</v>
      </c>
      <c r="L95">
        <v>2</v>
      </c>
      <c r="M95">
        <v>0</v>
      </c>
      <c r="N95" t="str">
        <f>HYPERLINK("https://images.diginfra.net/framed3.html?imagesetuuid=ee423b29-ca44-4ac9-bc3a-01422a0a6240&amp;uri=https://images.diginfra.net/iiif/NL-HaNA_1.01.02/3770/NL-HaNA_1.01.02_3770_0316.jpg", "viewer_url")</f>
        <v>viewer_url</v>
      </c>
      <c r="O95" t="str">
        <f>HYPERLINK("https://images.diginfra.net/iiif/NL-HaNA_1.01.02/3770/NL-HaNA_1.01.02_3770_0316.jpg/487,1590,693,306/full/0/default.jpg", "iiif_url")</f>
        <v>iiif_url</v>
      </c>
      <c r="P95" t="s">
        <v>364</v>
      </c>
      <c r="Q95" t="str">
        <f>HYPERLINK("https://images.diginfra.net/framed3.html?imagesetuuid=ee423b29-ca44-4ac9-bc3a-01422a0a6240&amp;uri=https://images.diginfra.net/iiif/NL-HaNA_1.01.02/3770/NL-HaNA_1.01.02_3770_0318.jpg", "next_meeting_viewer_url")</f>
        <v>next_meeting_viewer_url</v>
      </c>
      <c r="R95" t="str">
        <f>HYPERLINK("https://images.diginfra.net/iiif/NL-HaNA_1.01.02/3770/NL-HaNA_1.01.02_3770_0318.jpg/527,1443,709,307/full/0/default.jpg", "next_meeting_iiif_url")</f>
        <v>next_meeting_iiif_url</v>
      </c>
      <c r="S95" t="s">
        <v>365</v>
      </c>
      <c r="T95" t="str">
        <f>HYPERLINK("https://images.diginfra.net/framed3.html?imagesetuuid=ee423b29-ca44-4ac9-bc3a-01422a0a6240&amp;uri=https://images.diginfra.net/iiif/NL-HaNA_1.01.02/3770/NL-HaNA_1.01.02_3770_0314.jpg", "prev_meeting_viewer_url")</f>
        <v>prev_meeting_viewer_url</v>
      </c>
      <c r="U95" t="str">
        <f>HYPERLINK("https://images.diginfra.net/iiif/NL-HaNA_1.01.02/3770/NL-HaNA_1.01.02_3770_0314.jpg/482,2741,722,306/full/0/default.jpg", "prev_meeting_iiif_url")</f>
        <v>prev_meeting_iiif_url</v>
      </c>
    </row>
    <row r="96" spans="1:21" x14ac:dyDescent="0.2">
      <c r="A96" t="s">
        <v>366</v>
      </c>
      <c r="B96" t="s">
        <v>29</v>
      </c>
      <c r="C96" t="s">
        <v>367</v>
      </c>
      <c r="D96" t="b">
        <v>1</v>
      </c>
      <c r="E96" t="b">
        <v>1</v>
      </c>
      <c r="F96">
        <v>1</v>
      </c>
      <c r="G96" t="s">
        <v>368</v>
      </c>
      <c r="H96">
        <v>3837</v>
      </c>
      <c r="I96">
        <v>95</v>
      </c>
      <c r="J96">
        <v>189</v>
      </c>
      <c r="K96">
        <v>0</v>
      </c>
      <c r="L96">
        <v>1</v>
      </c>
      <c r="M96">
        <v>0</v>
      </c>
      <c r="N96" t="str">
        <f>HYPERLINK("https://images.diginfra.net/framed3.html?imagesetuuid=c65c9f3a-3528-47a0-b883-a61cfb90d089&amp;uri=https://images.diginfra.net/iiif/NL-HaNA_1.01.02/3837/NL-HaNA_1.01.02_3837_0095.jpg", "viewer_url")</f>
        <v>viewer_url</v>
      </c>
      <c r="O96" t="str">
        <f>HYPERLINK("https://images.diginfra.net/iiif/NL-HaNA_1.01.02/3837/NL-HaNA_1.01.02_3837_0095.jpg/2484,705,782,314/full/0/default.jpg", "iiif_url")</f>
        <v>iiif_url</v>
      </c>
      <c r="P96" t="s">
        <v>369</v>
      </c>
      <c r="Q96" t="str">
        <f>HYPERLINK("https://images.diginfra.net/framed3.html?imagesetuuid=c65c9f3a-3528-47a0-b883-a61cfb90d089&amp;uri=https://images.diginfra.net/iiif/NL-HaNA_1.01.02/3837/NL-HaNA_1.01.02_3837_0101.jpg", "next_meeting_viewer_url")</f>
        <v>next_meeting_viewer_url</v>
      </c>
      <c r="R96" t="str">
        <f>HYPERLINK("https://images.diginfra.net/iiif/NL-HaNA_1.01.02/3837/NL-HaNA_1.01.02_3837_0101.jpg/2523,1905,720,315/full/0/default.jpg", "next_meeting_iiif_url")</f>
        <v>next_meeting_iiif_url</v>
      </c>
      <c r="S96" t="s">
        <v>370</v>
      </c>
      <c r="T96" t="str">
        <f>HYPERLINK("https://images.diginfra.net/framed3.html?imagesetuuid=c65c9f3a-3528-47a0-b883-a61cfb90d089&amp;uri=https://images.diginfra.net/iiif/NL-HaNA_1.01.02/3837/NL-HaNA_1.01.02_3837_0093.jpg", "prev_meeting_viewer_url")</f>
        <v>prev_meeting_viewer_url</v>
      </c>
      <c r="U96" t="str">
        <f>HYPERLINK("https://images.diginfra.net/iiif/NL-HaNA_1.01.02/3837/NL-HaNA_1.01.02_3837_0093.jpg/2536,2796,738,317/full/0/default.jpg", "prev_meeting_iiif_url")</f>
        <v>prev_meeting_iiif_url</v>
      </c>
    </row>
    <row r="97" spans="1:21" x14ac:dyDescent="0.2">
      <c r="A97" t="s">
        <v>371</v>
      </c>
      <c r="B97" t="s">
        <v>142</v>
      </c>
      <c r="D97" t="b">
        <v>1</v>
      </c>
      <c r="E97" t="b">
        <v>0</v>
      </c>
      <c r="F97">
        <v>0</v>
      </c>
      <c r="P97" t="s">
        <v>372</v>
      </c>
      <c r="Q97" t="str">
        <f>HYPERLINK("https://images.diginfra.net/framed3.html?imagesetuuid=e5198992-3bac-4cce-bc59-b70724ee426a&amp;uri=https://images.diginfra.net/iiif/NL-HaNA_1.01.02/3791/NL-HaNA_1.01.02_3791_0384.jpg", "next_meeting_viewer_url")</f>
        <v>next_meeting_viewer_url</v>
      </c>
      <c r="R97" t="str">
        <f>HYPERLINK("https://images.diginfra.net/iiif/NL-HaNA_1.01.02/3791/NL-HaNA_1.01.02_3791_0384.jpg/3450,350,792,317/full/0/default.jpg", "next_meeting_iiif_url")</f>
        <v>next_meeting_iiif_url</v>
      </c>
      <c r="S97" t="s">
        <v>373</v>
      </c>
      <c r="T97" t="str">
        <f>HYPERLINK("https://images.diginfra.net/framed3.html?imagesetuuid=e5198992-3bac-4cce-bc59-b70724ee426a&amp;uri=https://images.diginfra.net/iiif/NL-HaNA_1.01.02/3791/NL-HaNA_1.01.02_3791_0383.jpg", "prev_meeting_viewer_url")</f>
        <v>prev_meeting_viewer_url</v>
      </c>
      <c r="U97" t="str">
        <f>HYPERLINK("https://images.diginfra.net/iiif/NL-HaNA_1.01.02/3791/NL-HaNA_1.01.02_3791_0383.jpg/1367,2042,812,311/full/0/default.jpg", "prev_meeting_iiif_url")</f>
        <v>prev_meeting_iiif_url</v>
      </c>
    </row>
    <row r="98" spans="1:21" x14ac:dyDescent="0.2">
      <c r="A98" t="s">
        <v>374</v>
      </c>
      <c r="B98" t="s">
        <v>25</v>
      </c>
      <c r="D98" t="b">
        <v>0</v>
      </c>
      <c r="E98" t="b">
        <v>0</v>
      </c>
      <c r="F98">
        <v>1</v>
      </c>
      <c r="P98" t="s">
        <v>281</v>
      </c>
      <c r="Q98" t="str">
        <f>HYPERLINK("https://images.diginfra.net/framed3.html?imagesetuuid=4246d97e-5e7a-4171-b55e-14e0b73f61db&amp;uri=https://images.diginfra.net/iiif/NL-HaNA_1.01.02/3799/NL-HaNA_1.01.02_3799_0469.jpg", "next_meeting_viewer_url")</f>
        <v>next_meeting_viewer_url</v>
      </c>
      <c r="R98" t="str">
        <f>HYPERLINK("https://images.diginfra.net/iiif/NL-HaNA_1.01.02/3799/NL-HaNA_1.01.02_3799_0469.jpg/1436,1006,825,309/full/0/default.jpg", "next_meeting_iiif_url")</f>
        <v>next_meeting_iiif_url</v>
      </c>
    </row>
    <row r="99" spans="1:21" x14ac:dyDescent="0.2">
      <c r="A99" t="s">
        <v>375</v>
      </c>
      <c r="B99" t="s">
        <v>50</v>
      </c>
      <c r="C99" t="s">
        <v>376</v>
      </c>
      <c r="D99" t="b">
        <v>1</v>
      </c>
      <c r="E99" t="b">
        <v>1</v>
      </c>
      <c r="F99">
        <v>1</v>
      </c>
      <c r="G99" t="s">
        <v>377</v>
      </c>
      <c r="H99">
        <v>3811</v>
      </c>
      <c r="I99">
        <v>438</v>
      </c>
      <c r="J99">
        <v>875</v>
      </c>
      <c r="K99">
        <v>0</v>
      </c>
      <c r="L99">
        <v>0</v>
      </c>
      <c r="M99">
        <v>0</v>
      </c>
      <c r="N99" t="str">
        <f>HYPERLINK("https://images.diginfra.net/framed3.html?imagesetuuid=f707f64c-15ec-4624-ba99-82cb83d16c2c&amp;uri=https://images.diginfra.net/iiif/NL-HaNA_1.01.02/3811/NL-HaNA_1.01.02_3811_0438.jpg", "viewer_url")</f>
        <v>viewer_url</v>
      </c>
      <c r="O99" t="str">
        <f>HYPERLINK("https://images.diginfra.net/iiif/NL-HaNA_1.01.02/3811/NL-HaNA_1.01.02_3811_0438.jpg/2429,295,920,313/full/0/default.jpg", "iiif_url")</f>
        <v>iiif_url</v>
      </c>
      <c r="P99" t="s">
        <v>378</v>
      </c>
      <c r="Q99" t="str">
        <f>HYPERLINK("https://images.diginfra.net/framed3.html?imagesetuuid=f707f64c-15ec-4624-ba99-82cb83d16c2c&amp;uri=https://images.diginfra.net/iiif/NL-HaNA_1.01.02/3811/NL-HaNA_1.01.02_3811_0440.jpg", "next_meeting_viewer_url")</f>
        <v>next_meeting_viewer_url</v>
      </c>
      <c r="R99" t="str">
        <f>HYPERLINK("https://images.diginfra.net/iiif/NL-HaNA_1.01.02/3811/NL-HaNA_1.01.02_3811_0440.jpg/2431,817,852,312/full/0/default.jpg", "next_meeting_iiif_url")</f>
        <v>next_meeting_iiif_url</v>
      </c>
      <c r="S99" t="s">
        <v>130</v>
      </c>
      <c r="T99" t="str">
        <f>HYPERLINK("https://images.diginfra.net/framed3.html?imagesetuuid=f707f64c-15ec-4624-ba99-82cb83d16c2c&amp;uri=https://images.diginfra.net/iiif/NL-HaNA_1.01.02/3811/NL-HaNA_1.01.02_3811_0435.jpg", "prev_meeting_viewer_url")</f>
        <v>prev_meeting_viewer_url</v>
      </c>
      <c r="U99" t="str">
        <f>HYPERLINK("https://images.diginfra.net/iiif/NL-HaNA_1.01.02/3811/NL-HaNA_1.01.02_3811_0435.jpg/1289,910,767,314/full/0/default.jpg", "prev_meeting_iiif_url")</f>
        <v>prev_meeting_iiif_url</v>
      </c>
    </row>
    <row r="100" spans="1:21" x14ac:dyDescent="0.2">
      <c r="A100" t="s">
        <v>379</v>
      </c>
      <c r="B100" t="s">
        <v>142</v>
      </c>
      <c r="D100" t="b">
        <v>1</v>
      </c>
      <c r="E100" t="b">
        <v>1</v>
      </c>
      <c r="F100">
        <v>0</v>
      </c>
      <c r="G100" t="s">
        <v>380</v>
      </c>
      <c r="H100">
        <v>3822</v>
      </c>
      <c r="I100">
        <v>270</v>
      </c>
      <c r="J100">
        <v>538</v>
      </c>
      <c r="K100">
        <v>0</v>
      </c>
      <c r="L100">
        <v>1</v>
      </c>
      <c r="M100">
        <v>1</v>
      </c>
      <c r="N100" t="str">
        <f>HYPERLINK("https://images.diginfra.net/framed3.html?imagesetuuid=e0965315-891d-46c1-9dac-fc6b729921cf&amp;uri=https://images.diginfra.net/iiif/NL-HaNA_1.01.02/3822/NL-HaNA_1.01.02_3822_0270.jpg", "viewer_url")</f>
        <v>viewer_url</v>
      </c>
      <c r="O100" t="str">
        <f>HYPERLINK("https://images.diginfra.net/iiif/NL-HaNA_1.01.02/3822/NL-HaNA_1.01.02_3822_0270.jpg/609,1537,342,315/full/0/default.jpg", "iiif_url")</f>
        <v>iiif_url</v>
      </c>
      <c r="P100" t="s">
        <v>381</v>
      </c>
      <c r="Q100" t="str">
        <f>HYPERLINK("https://images.diginfra.net/framed3.html?imagesetuuid=e0965315-891d-46c1-9dac-fc6b729921cf&amp;uri=https://images.diginfra.net/iiif/NL-HaNA_1.01.02/3822/NL-HaNA_1.01.02_3822_0270.jpg", "next_meeting_viewer_url")</f>
        <v>next_meeting_viewer_url</v>
      </c>
      <c r="R100" t="str">
        <f>HYPERLINK("https://images.diginfra.net/iiif/NL-HaNA_1.01.02/3822/NL-HaNA_1.01.02_3822_0270.jpg/3396,1466,993,327/full/0/default.jpg", "next_meeting_iiif_url")</f>
        <v>next_meeting_iiif_url</v>
      </c>
      <c r="S100" t="s">
        <v>382</v>
      </c>
      <c r="T100" t="str">
        <f>HYPERLINK("https://images.diginfra.net/framed3.html?imagesetuuid=e0965315-891d-46c1-9dac-fc6b729921cf&amp;uri=https://images.diginfra.net/iiif/NL-HaNA_1.01.02/3822/NL-HaNA_1.01.02_3822_0268.jpg", "prev_meeting_viewer_url")</f>
        <v>prev_meeting_viewer_url</v>
      </c>
      <c r="U100" t="str">
        <f>HYPERLINK("https://images.diginfra.net/iiif/NL-HaNA_1.01.02/3822/NL-HaNA_1.01.02_3822_0268.jpg/2445,542,756,311/full/0/default.jpg", "prev_meeting_iiif_url")</f>
        <v>prev_meeting_iiif_url</v>
      </c>
    </row>
    <row r="101" spans="1:21" x14ac:dyDescent="0.2">
      <c r="A101" t="s">
        <v>383</v>
      </c>
      <c r="B101" t="s">
        <v>142</v>
      </c>
      <c r="C101" t="s">
        <v>384</v>
      </c>
      <c r="D101" t="b">
        <v>1</v>
      </c>
      <c r="E101" t="b">
        <v>1</v>
      </c>
      <c r="F101">
        <v>1</v>
      </c>
      <c r="G101" t="s">
        <v>385</v>
      </c>
      <c r="H101">
        <v>3862</v>
      </c>
      <c r="I101">
        <v>220</v>
      </c>
      <c r="J101">
        <v>439</v>
      </c>
      <c r="K101">
        <v>0</v>
      </c>
      <c r="L101">
        <v>0</v>
      </c>
      <c r="M101">
        <v>0</v>
      </c>
      <c r="N101" t="str">
        <f>HYPERLINK("https://images.diginfra.net/framed3.html?imagesetuuid=5a5120d1-2872-4244-a382-402d77c3ee84&amp;uri=https://images.diginfra.net/iiif/NL-HaNA_1.01.02/3862/NL-HaNA_1.01.02_3862_0220.jpg", "viewer_url")</f>
        <v>viewer_url</v>
      </c>
      <c r="O101" t="str">
        <f>HYPERLINK("https://images.diginfra.net/iiif/NL-HaNA_1.01.02/3862/NL-HaNA_1.01.02_3862_0220.jpg/2506,2101,713,311/full/0/default.jpg", "iiif_url")</f>
        <v>iiif_url</v>
      </c>
      <c r="P101" t="s">
        <v>386</v>
      </c>
      <c r="Q101" t="str">
        <f>HYPERLINK("https://images.diginfra.net/framed3.html?imagesetuuid=5a5120d1-2872-4244-a382-402d77c3ee84&amp;uri=https://images.diginfra.net/iiif/NL-HaNA_1.01.02/3862/NL-HaNA_1.01.02_3862_0221.jpg", "next_meeting_viewer_url")</f>
        <v>next_meeting_viewer_url</v>
      </c>
      <c r="R101" t="str">
        <f>HYPERLINK("https://images.diginfra.net/iiif/NL-HaNA_1.01.02/3862/NL-HaNA_1.01.02_3862_0221.jpg/1343,1715,754,319/full/0/default.jpg", "next_meeting_iiif_url")</f>
        <v>next_meeting_iiif_url</v>
      </c>
      <c r="S101" t="s">
        <v>387</v>
      </c>
      <c r="T101" t="str">
        <f>HYPERLINK("https://images.diginfra.net/framed3.html?imagesetuuid=5a5120d1-2872-4244-a382-402d77c3ee84&amp;uri=https://images.diginfra.net/iiif/NL-HaNA_1.01.02/3862/NL-HaNA_1.01.02_3862_0220.jpg", "prev_meeting_viewer_url")</f>
        <v>prev_meeting_viewer_url</v>
      </c>
      <c r="U101" t="str">
        <f>HYPERLINK("https://images.diginfra.net/iiif/NL-HaNA_1.01.02/3862/NL-HaNA_1.01.02_3862_0220.jpg/372,1791,802,315/full/0/default.jpg", "prev_meeting_iiif_url")</f>
        <v>prev_meeting_iiif_url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EB0C-92CF-4B43-A996-886BF9969A93}">
  <dimension ref="A1:H101"/>
  <sheetViews>
    <sheetView tabSelected="1" workbookViewId="0">
      <selection activeCell="D6" sqref="D6:E10"/>
    </sheetView>
  </sheetViews>
  <sheetFormatPr baseColWidth="10" defaultRowHeight="15" x14ac:dyDescent="0.2"/>
  <cols>
    <col min="1" max="2" width="8.83203125"/>
    <col min="4" max="4" width="18" bestFit="1" customWidth="1"/>
    <col min="5" max="5" width="14.83203125" bestFit="1" customWidth="1"/>
    <col min="6" max="6" width="5" bestFit="1" customWidth="1"/>
    <col min="7" max="7" width="6.33203125" bestFit="1" customWidth="1"/>
    <col min="8" max="8" width="10" bestFit="1" customWidth="1"/>
  </cols>
  <sheetData>
    <row r="1" spans="1:8" x14ac:dyDescent="0.2">
      <c r="A1" t="s">
        <v>4</v>
      </c>
      <c r="B1" t="s">
        <v>388</v>
      </c>
    </row>
    <row r="2" spans="1:8" x14ac:dyDescent="0.2">
      <c r="A2" t="b">
        <v>1</v>
      </c>
      <c r="B2">
        <v>0</v>
      </c>
    </row>
    <row r="3" spans="1:8" x14ac:dyDescent="0.2">
      <c r="A3" t="b">
        <v>1</v>
      </c>
      <c r="B3">
        <v>0</v>
      </c>
    </row>
    <row r="4" spans="1:8" x14ac:dyDescent="0.2">
      <c r="A4" t="b">
        <v>1</v>
      </c>
      <c r="B4">
        <v>1</v>
      </c>
    </row>
    <row r="5" spans="1:8" x14ac:dyDescent="0.2">
      <c r="A5" t="b">
        <v>1</v>
      </c>
      <c r="B5">
        <v>1</v>
      </c>
    </row>
    <row r="6" spans="1:8" x14ac:dyDescent="0.2">
      <c r="A6" t="b">
        <v>1</v>
      </c>
      <c r="B6">
        <v>0</v>
      </c>
      <c r="D6" s="2" t="s">
        <v>389</v>
      </c>
      <c r="E6" s="2" t="s">
        <v>393</v>
      </c>
    </row>
    <row r="7" spans="1:8" x14ac:dyDescent="0.2">
      <c r="A7" t="b">
        <v>1</v>
      </c>
      <c r="B7">
        <v>1</v>
      </c>
      <c r="D7" s="2" t="s">
        <v>390</v>
      </c>
      <c r="E7" t="s">
        <v>394</v>
      </c>
      <c r="F7" t="s">
        <v>395</v>
      </c>
      <c r="G7" t="s">
        <v>391</v>
      </c>
      <c r="H7" t="s">
        <v>392</v>
      </c>
    </row>
    <row r="8" spans="1:8" x14ac:dyDescent="0.2">
      <c r="A8" t="b">
        <v>1</v>
      </c>
      <c r="B8">
        <v>0</v>
      </c>
      <c r="D8" s="3">
        <v>0</v>
      </c>
      <c r="E8" s="1">
        <v>16</v>
      </c>
      <c r="F8" s="1">
        <v>15</v>
      </c>
      <c r="G8" s="1"/>
      <c r="H8" s="1">
        <v>31</v>
      </c>
    </row>
    <row r="9" spans="1:8" x14ac:dyDescent="0.2">
      <c r="A9" t="b">
        <v>1</v>
      </c>
      <c r="B9">
        <v>1</v>
      </c>
      <c r="D9" s="3">
        <v>1</v>
      </c>
      <c r="E9" s="1">
        <v>21</v>
      </c>
      <c r="F9" s="1">
        <v>48</v>
      </c>
      <c r="G9" s="1"/>
      <c r="H9" s="1">
        <v>69</v>
      </c>
    </row>
    <row r="10" spans="1:8" x14ac:dyDescent="0.2">
      <c r="A10" t="b">
        <v>1</v>
      </c>
      <c r="B10">
        <v>1</v>
      </c>
      <c r="D10" s="3" t="s">
        <v>391</v>
      </c>
      <c r="E10" s="1"/>
      <c r="F10" s="1"/>
      <c r="G10" s="1"/>
      <c r="H10" s="1"/>
    </row>
    <row r="11" spans="1:8" x14ac:dyDescent="0.2">
      <c r="A11" t="b">
        <v>1</v>
      </c>
      <c r="B11">
        <v>1</v>
      </c>
      <c r="D11" s="3" t="s">
        <v>392</v>
      </c>
      <c r="E11" s="1">
        <v>37</v>
      </c>
      <c r="F11" s="1">
        <v>63</v>
      </c>
      <c r="G11" s="1"/>
      <c r="H11" s="1">
        <v>100</v>
      </c>
    </row>
    <row r="12" spans="1:8" x14ac:dyDescent="0.2">
      <c r="A12" t="b">
        <v>1</v>
      </c>
      <c r="B12">
        <v>1</v>
      </c>
    </row>
    <row r="13" spans="1:8" x14ac:dyDescent="0.2">
      <c r="A13" t="b">
        <v>1</v>
      </c>
      <c r="B13">
        <v>1</v>
      </c>
    </row>
    <row r="14" spans="1:8" x14ac:dyDescent="0.2">
      <c r="A14" t="b">
        <v>1</v>
      </c>
      <c r="B14">
        <v>1</v>
      </c>
    </row>
    <row r="15" spans="1:8" x14ac:dyDescent="0.2">
      <c r="A15" t="b">
        <v>1</v>
      </c>
      <c r="B15">
        <v>0</v>
      </c>
    </row>
    <row r="16" spans="1:8" x14ac:dyDescent="0.2">
      <c r="A16" t="b">
        <v>1</v>
      </c>
      <c r="B16">
        <v>1</v>
      </c>
    </row>
    <row r="17" spans="1:2" x14ac:dyDescent="0.2">
      <c r="A17" t="b">
        <v>1</v>
      </c>
      <c r="B17">
        <v>1</v>
      </c>
    </row>
    <row r="18" spans="1:2" x14ac:dyDescent="0.2">
      <c r="A18" t="b">
        <v>1</v>
      </c>
      <c r="B18">
        <v>1</v>
      </c>
    </row>
    <row r="19" spans="1:2" x14ac:dyDescent="0.2">
      <c r="A19" t="b">
        <v>1</v>
      </c>
      <c r="B19">
        <v>1</v>
      </c>
    </row>
    <row r="20" spans="1:2" x14ac:dyDescent="0.2">
      <c r="A20" t="b">
        <v>1</v>
      </c>
      <c r="B20">
        <v>1</v>
      </c>
    </row>
    <row r="21" spans="1:2" x14ac:dyDescent="0.2">
      <c r="A21" t="b">
        <v>1</v>
      </c>
      <c r="B21">
        <v>1</v>
      </c>
    </row>
    <row r="22" spans="1:2" x14ac:dyDescent="0.2">
      <c r="A22" t="b">
        <v>1</v>
      </c>
      <c r="B22">
        <v>1</v>
      </c>
    </row>
    <row r="23" spans="1:2" x14ac:dyDescent="0.2">
      <c r="A23" t="b">
        <v>1</v>
      </c>
      <c r="B23">
        <v>1</v>
      </c>
    </row>
    <row r="24" spans="1:2" x14ac:dyDescent="0.2">
      <c r="A24" t="b">
        <v>1</v>
      </c>
      <c r="B24">
        <v>1</v>
      </c>
    </row>
    <row r="25" spans="1:2" x14ac:dyDescent="0.2">
      <c r="A25" t="b">
        <v>1</v>
      </c>
      <c r="B25">
        <v>0</v>
      </c>
    </row>
    <row r="26" spans="1:2" x14ac:dyDescent="0.2">
      <c r="A26" t="b">
        <v>1</v>
      </c>
      <c r="B26">
        <v>1</v>
      </c>
    </row>
    <row r="27" spans="1:2" x14ac:dyDescent="0.2">
      <c r="A27" t="b">
        <v>1</v>
      </c>
      <c r="B27">
        <v>1</v>
      </c>
    </row>
    <row r="28" spans="1:2" x14ac:dyDescent="0.2">
      <c r="A28" t="b">
        <v>1</v>
      </c>
      <c r="B28">
        <v>1</v>
      </c>
    </row>
    <row r="29" spans="1:2" x14ac:dyDescent="0.2">
      <c r="A29" t="b">
        <v>1</v>
      </c>
      <c r="B29">
        <v>1</v>
      </c>
    </row>
    <row r="30" spans="1:2" x14ac:dyDescent="0.2">
      <c r="A30" t="b">
        <v>1</v>
      </c>
      <c r="B30">
        <v>1</v>
      </c>
    </row>
    <row r="31" spans="1:2" x14ac:dyDescent="0.2">
      <c r="A31" t="b">
        <v>1</v>
      </c>
      <c r="B31">
        <v>0</v>
      </c>
    </row>
    <row r="32" spans="1:2" x14ac:dyDescent="0.2">
      <c r="A32" t="b">
        <v>1</v>
      </c>
      <c r="B32">
        <v>1</v>
      </c>
    </row>
    <row r="33" spans="1:2" x14ac:dyDescent="0.2">
      <c r="A33" t="b">
        <v>1</v>
      </c>
      <c r="B33">
        <v>1</v>
      </c>
    </row>
    <row r="34" spans="1:2" x14ac:dyDescent="0.2">
      <c r="A34" t="b">
        <v>1</v>
      </c>
      <c r="B34">
        <v>1</v>
      </c>
    </row>
    <row r="35" spans="1:2" x14ac:dyDescent="0.2">
      <c r="A35" t="b">
        <v>1</v>
      </c>
      <c r="B35">
        <v>1</v>
      </c>
    </row>
    <row r="36" spans="1:2" x14ac:dyDescent="0.2">
      <c r="A36" t="b">
        <v>1</v>
      </c>
      <c r="B36">
        <v>0</v>
      </c>
    </row>
    <row r="37" spans="1:2" x14ac:dyDescent="0.2">
      <c r="A37" t="b">
        <v>1</v>
      </c>
      <c r="B37">
        <v>1</v>
      </c>
    </row>
    <row r="38" spans="1:2" x14ac:dyDescent="0.2">
      <c r="A38" t="b">
        <v>1</v>
      </c>
      <c r="B38">
        <v>1</v>
      </c>
    </row>
    <row r="39" spans="1:2" x14ac:dyDescent="0.2">
      <c r="A39" t="b">
        <v>1</v>
      </c>
      <c r="B39">
        <v>1</v>
      </c>
    </row>
    <row r="40" spans="1:2" x14ac:dyDescent="0.2">
      <c r="A40" t="b">
        <v>1</v>
      </c>
      <c r="B40">
        <v>1</v>
      </c>
    </row>
    <row r="41" spans="1:2" x14ac:dyDescent="0.2">
      <c r="A41" t="b">
        <v>1</v>
      </c>
      <c r="B41">
        <v>1</v>
      </c>
    </row>
    <row r="42" spans="1:2" x14ac:dyDescent="0.2">
      <c r="A42" t="b">
        <v>1</v>
      </c>
      <c r="B42">
        <v>1</v>
      </c>
    </row>
    <row r="43" spans="1:2" x14ac:dyDescent="0.2">
      <c r="A43" t="b">
        <v>1</v>
      </c>
      <c r="B43">
        <v>0</v>
      </c>
    </row>
    <row r="44" spans="1:2" x14ac:dyDescent="0.2">
      <c r="A44" t="b">
        <v>1</v>
      </c>
      <c r="B44">
        <v>1</v>
      </c>
    </row>
    <row r="45" spans="1:2" x14ac:dyDescent="0.2">
      <c r="A45" t="b">
        <v>1</v>
      </c>
      <c r="B45">
        <v>1</v>
      </c>
    </row>
    <row r="46" spans="1:2" x14ac:dyDescent="0.2">
      <c r="A46" t="b">
        <v>1</v>
      </c>
      <c r="B46">
        <v>1</v>
      </c>
    </row>
    <row r="47" spans="1:2" x14ac:dyDescent="0.2">
      <c r="A47" t="b">
        <v>1</v>
      </c>
      <c r="B47">
        <v>0</v>
      </c>
    </row>
    <row r="48" spans="1:2" x14ac:dyDescent="0.2">
      <c r="A48" t="b">
        <v>1</v>
      </c>
      <c r="B48">
        <v>0</v>
      </c>
    </row>
    <row r="49" spans="1:2" x14ac:dyDescent="0.2">
      <c r="A49" t="b">
        <v>1</v>
      </c>
      <c r="B49">
        <v>1</v>
      </c>
    </row>
    <row r="50" spans="1:2" x14ac:dyDescent="0.2">
      <c r="A50" t="b">
        <v>1</v>
      </c>
      <c r="B50">
        <v>0</v>
      </c>
    </row>
    <row r="51" spans="1:2" x14ac:dyDescent="0.2">
      <c r="A51" t="b">
        <v>1</v>
      </c>
      <c r="B51">
        <v>0</v>
      </c>
    </row>
    <row r="52" spans="1:2" x14ac:dyDescent="0.2">
      <c r="A52" t="b">
        <v>1</v>
      </c>
      <c r="B52">
        <v>0</v>
      </c>
    </row>
    <row r="53" spans="1:2" x14ac:dyDescent="0.2">
      <c r="A53" t="b">
        <v>1</v>
      </c>
      <c r="B53">
        <v>1</v>
      </c>
    </row>
    <row r="54" spans="1:2" x14ac:dyDescent="0.2">
      <c r="A54" t="b">
        <v>1</v>
      </c>
      <c r="B54">
        <v>1</v>
      </c>
    </row>
    <row r="55" spans="1:2" x14ac:dyDescent="0.2">
      <c r="A55" t="b">
        <v>1</v>
      </c>
      <c r="B55">
        <v>1</v>
      </c>
    </row>
    <row r="56" spans="1:2" x14ac:dyDescent="0.2">
      <c r="A56" t="b">
        <v>1</v>
      </c>
      <c r="B56">
        <v>1</v>
      </c>
    </row>
    <row r="57" spans="1:2" x14ac:dyDescent="0.2">
      <c r="A57" t="b">
        <v>1</v>
      </c>
      <c r="B57">
        <v>1</v>
      </c>
    </row>
    <row r="58" spans="1:2" x14ac:dyDescent="0.2">
      <c r="A58" t="b">
        <v>1</v>
      </c>
      <c r="B58">
        <v>1</v>
      </c>
    </row>
    <row r="59" spans="1:2" x14ac:dyDescent="0.2">
      <c r="A59" t="b">
        <v>1</v>
      </c>
      <c r="B59">
        <v>1</v>
      </c>
    </row>
    <row r="60" spans="1:2" x14ac:dyDescent="0.2">
      <c r="A60" t="b">
        <v>1</v>
      </c>
      <c r="B60">
        <v>1</v>
      </c>
    </row>
    <row r="61" spans="1:2" x14ac:dyDescent="0.2">
      <c r="A61" t="b">
        <v>1</v>
      </c>
      <c r="B61">
        <v>1</v>
      </c>
    </row>
    <row r="62" spans="1:2" x14ac:dyDescent="0.2">
      <c r="A62" t="b">
        <v>1</v>
      </c>
      <c r="B62">
        <v>1</v>
      </c>
    </row>
    <row r="63" spans="1:2" x14ac:dyDescent="0.2">
      <c r="A63" t="b">
        <v>1</v>
      </c>
      <c r="B63">
        <v>0</v>
      </c>
    </row>
    <row r="64" spans="1:2" x14ac:dyDescent="0.2">
      <c r="A64" t="b">
        <v>1</v>
      </c>
      <c r="B64">
        <v>1</v>
      </c>
    </row>
    <row r="65" spans="1:2" x14ac:dyDescent="0.2">
      <c r="A65" t="b">
        <v>0</v>
      </c>
      <c r="B65">
        <v>1</v>
      </c>
    </row>
    <row r="66" spans="1:2" x14ac:dyDescent="0.2">
      <c r="A66" t="b">
        <v>0</v>
      </c>
      <c r="B66">
        <v>0</v>
      </c>
    </row>
    <row r="67" spans="1:2" x14ac:dyDescent="0.2">
      <c r="A67" t="b">
        <v>0</v>
      </c>
      <c r="B67">
        <v>1</v>
      </c>
    </row>
    <row r="68" spans="1:2" x14ac:dyDescent="0.2">
      <c r="A68" t="b">
        <v>0</v>
      </c>
      <c r="B68">
        <v>0</v>
      </c>
    </row>
    <row r="69" spans="1:2" x14ac:dyDescent="0.2">
      <c r="A69" t="b">
        <v>0</v>
      </c>
      <c r="B69">
        <v>1</v>
      </c>
    </row>
    <row r="70" spans="1:2" x14ac:dyDescent="0.2">
      <c r="A70" t="b">
        <v>0</v>
      </c>
      <c r="B70">
        <v>0</v>
      </c>
    </row>
    <row r="71" spans="1:2" x14ac:dyDescent="0.2">
      <c r="A71" t="b">
        <v>0</v>
      </c>
      <c r="B71">
        <v>0</v>
      </c>
    </row>
    <row r="72" spans="1:2" x14ac:dyDescent="0.2">
      <c r="A72" t="b">
        <v>0</v>
      </c>
      <c r="B72">
        <v>0</v>
      </c>
    </row>
    <row r="73" spans="1:2" x14ac:dyDescent="0.2">
      <c r="A73" t="b">
        <v>0</v>
      </c>
      <c r="B73">
        <v>0</v>
      </c>
    </row>
    <row r="74" spans="1:2" x14ac:dyDescent="0.2">
      <c r="A74" t="b">
        <v>0</v>
      </c>
      <c r="B74">
        <v>1</v>
      </c>
    </row>
    <row r="75" spans="1:2" x14ac:dyDescent="0.2">
      <c r="A75" t="b">
        <v>0</v>
      </c>
      <c r="B75">
        <v>1</v>
      </c>
    </row>
    <row r="76" spans="1:2" x14ac:dyDescent="0.2">
      <c r="A76" t="b">
        <v>0</v>
      </c>
      <c r="B76">
        <v>1</v>
      </c>
    </row>
    <row r="77" spans="1:2" x14ac:dyDescent="0.2">
      <c r="A77" t="b">
        <v>0</v>
      </c>
      <c r="B77">
        <v>1</v>
      </c>
    </row>
    <row r="78" spans="1:2" x14ac:dyDescent="0.2">
      <c r="A78" t="b">
        <v>0</v>
      </c>
      <c r="B78">
        <v>1</v>
      </c>
    </row>
    <row r="79" spans="1:2" x14ac:dyDescent="0.2">
      <c r="A79" t="b">
        <v>0</v>
      </c>
      <c r="B79">
        <v>1</v>
      </c>
    </row>
    <row r="80" spans="1:2" x14ac:dyDescent="0.2">
      <c r="A80" t="b">
        <v>0</v>
      </c>
      <c r="B80">
        <v>1</v>
      </c>
    </row>
    <row r="81" spans="1:2" x14ac:dyDescent="0.2">
      <c r="A81" t="b">
        <v>0</v>
      </c>
      <c r="B81">
        <v>0</v>
      </c>
    </row>
    <row r="82" spans="1:2" x14ac:dyDescent="0.2">
      <c r="A82" t="b">
        <v>0</v>
      </c>
      <c r="B82">
        <v>1</v>
      </c>
    </row>
    <row r="83" spans="1:2" x14ac:dyDescent="0.2">
      <c r="A83" t="b">
        <v>0</v>
      </c>
      <c r="B83">
        <v>0</v>
      </c>
    </row>
    <row r="84" spans="1:2" x14ac:dyDescent="0.2">
      <c r="A84" t="b">
        <v>0</v>
      </c>
      <c r="B84">
        <v>0</v>
      </c>
    </row>
    <row r="85" spans="1:2" x14ac:dyDescent="0.2">
      <c r="A85" t="b">
        <v>0</v>
      </c>
      <c r="B85">
        <v>0</v>
      </c>
    </row>
    <row r="86" spans="1:2" x14ac:dyDescent="0.2">
      <c r="A86" t="b">
        <v>0</v>
      </c>
      <c r="B86">
        <v>1</v>
      </c>
    </row>
    <row r="87" spans="1:2" x14ac:dyDescent="0.2">
      <c r="A87" t="b">
        <v>0</v>
      </c>
      <c r="B87">
        <v>1</v>
      </c>
    </row>
    <row r="88" spans="1:2" x14ac:dyDescent="0.2">
      <c r="A88" t="b">
        <v>0</v>
      </c>
      <c r="B88">
        <v>1</v>
      </c>
    </row>
    <row r="89" spans="1:2" x14ac:dyDescent="0.2">
      <c r="A89" t="b">
        <v>0</v>
      </c>
      <c r="B89">
        <v>0</v>
      </c>
    </row>
    <row r="90" spans="1:2" x14ac:dyDescent="0.2">
      <c r="A90" t="b">
        <v>0</v>
      </c>
      <c r="B90">
        <v>1</v>
      </c>
    </row>
    <row r="91" spans="1:2" x14ac:dyDescent="0.2">
      <c r="A91" t="b">
        <v>0</v>
      </c>
      <c r="B91">
        <v>1</v>
      </c>
    </row>
    <row r="92" spans="1:2" x14ac:dyDescent="0.2">
      <c r="A92" t="b">
        <v>0</v>
      </c>
      <c r="B92">
        <v>1</v>
      </c>
    </row>
    <row r="93" spans="1:2" x14ac:dyDescent="0.2">
      <c r="A93" t="b">
        <v>0</v>
      </c>
      <c r="B93">
        <v>1</v>
      </c>
    </row>
    <row r="94" spans="1:2" x14ac:dyDescent="0.2">
      <c r="A94" t="b">
        <v>0</v>
      </c>
      <c r="B94">
        <v>0</v>
      </c>
    </row>
    <row r="95" spans="1:2" x14ac:dyDescent="0.2">
      <c r="A95" t="b">
        <v>0</v>
      </c>
      <c r="B95">
        <v>0</v>
      </c>
    </row>
    <row r="96" spans="1:2" x14ac:dyDescent="0.2">
      <c r="A96" t="b">
        <v>0</v>
      </c>
      <c r="B96">
        <v>1</v>
      </c>
    </row>
    <row r="97" spans="1:2" x14ac:dyDescent="0.2">
      <c r="A97" t="b">
        <v>0</v>
      </c>
      <c r="B97">
        <v>0</v>
      </c>
    </row>
    <row r="98" spans="1:2" x14ac:dyDescent="0.2">
      <c r="A98" t="b">
        <v>0</v>
      </c>
      <c r="B98">
        <v>1</v>
      </c>
    </row>
    <row r="99" spans="1:2" x14ac:dyDescent="0.2">
      <c r="A99" t="b">
        <v>0</v>
      </c>
      <c r="B99">
        <v>0</v>
      </c>
    </row>
    <row r="100" spans="1:2" x14ac:dyDescent="0.2">
      <c r="A100" t="b">
        <v>0</v>
      </c>
      <c r="B100">
        <v>0</v>
      </c>
    </row>
    <row r="101" spans="1:2" x14ac:dyDescent="0.2">
      <c r="A101" t="b">
        <v>0</v>
      </c>
      <c r="B101">
        <v>1</v>
      </c>
    </row>
  </sheetData>
  <sortState ref="A2:B1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2020-03-11T17:02:38Z</dcterms:created>
  <dcterms:modified xsi:type="dcterms:W3CDTF">2020-04-02T09:12:12Z</dcterms:modified>
</cp:coreProperties>
</file>