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hocr-parser/notebooks/"/>
    </mc:Choice>
  </mc:AlternateContent>
  <xr:revisionPtr revIDLastSave="0" documentId="13_ncr:1_{2B958662-67E2-DC45-BFED-3865788F76F0}" xr6:coauthVersionLast="36" xr6:coauthVersionMax="36" xr10:uidLastSave="{00000000-0000-0000-0000-000000000000}"/>
  <bookViews>
    <workbookView xWindow="780" yWindow="460" windowWidth="28020" windowHeight="17540" activeTab="1" xr2:uid="{00000000-000D-0000-FFFF-FFFF00000000}"/>
  </bookViews>
  <sheets>
    <sheet name="Sheet" sheetId="1" r:id="rId1"/>
    <sheet name="Sheet1" sheetId="2" r:id="rId2"/>
  </sheets>
  <calcPr calcId="181029"/>
  <pivotCaches>
    <pivotCache cacheId="7" r:id="rId3"/>
  </pivotCaches>
</workbook>
</file>

<file path=xl/calcChain.xml><?xml version="1.0" encoding="utf-8"?>
<calcChain xmlns="http://schemas.openxmlformats.org/spreadsheetml/2006/main">
  <c r="U101" i="1" l="1"/>
  <c r="T101" i="1"/>
  <c r="R101" i="1"/>
  <c r="Q101" i="1"/>
  <c r="O101" i="1"/>
  <c r="N101" i="1"/>
  <c r="R100" i="1"/>
  <c r="Q100" i="1"/>
  <c r="O100" i="1"/>
  <c r="N100" i="1"/>
  <c r="U99" i="1"/>
  <c r="T99" i="1"/>
  <c r="R99" i="1"/>
  <c r="Q99" i="1"/>
  <c r="O99" i="1"/>
  <c r="N99" i="1"/>
  <c r="U97" i="1"/>
  <c r="T97" i="1"/>
  <c r="R97" i="1"/>
  <c r="Q97" i="1"/>
  <c r="O97" i="1"/>
  <c r="N97" i="1"/>
  <c r="U96" i="1"/>
  <c r="T96" i="1"/>
  <c r="R95" i="1"/>
  <c r="Q95" i="1"/>
  <c r="O95" i="1"/>
  <c r="N95" i="1"/>
  <c r="U94" i="1"/>
  <c r="T94" i="1"/>
  <c r="O94" i="1"/>
  <c r="N94" i="1"/>
  <c r="U93" i="1"/>
  <c r="T93" i="1"/>
  <c r="R93" i="1"/>
  <c r="Q93" i="1"/>
  <c r="O93" i="1"/>
  <c r="N93" i="1"/>
  <c r="U92" i="1"/>
  <c r="T92" i="1"/>
  <c r="R92" i="1"/>
  <c r="Q92" i="1"/>
  <c r="O92" i="1"/>
  <c r="N92" i="1"/>
  <c r="U91" i="1"/>
  <c r="T91" i="1"/>
  <c r="R91" i="1"/>
  <c r="Q91" i="1"/>
  <c r="O91" i="1"/>
  <c r="N91" i="1"/>
  <c r="U90" i="1"/>
  <c r="T90" i="1"/>
  <c r="R90" i="1"/>
  <c r="Q90" i="1"/>
  <c r="O90" i="1"/>
  <c r="N90" i="1"/>
  <c r="U89" i="1"/>
  <c r="T89" i="1"/>
  <c r="R89" i="1"/>
  <c r="Q89" i="1"/>
  <c r="O89" i="1"/>
  <c r="N89" i="1"/>
  <c r="U88" i="1"/>
  <c r="T88" i="1"/>
  <c r="R88" i="1"/>
  <c r="Q88" i="1"/>
  <c r="O88" i="1"/>
  <c r="N88" i="1"/>
  <c r="U87" i="1"/>
  <c r="T87" i="1"/>
  <c r="R87" i="1"/>
  <c r="Q87" i="1"/>
  <c r="U86" i="1"/>
  <c r="T86" i="1"/>
  <c r="R86" i="1"/>
  <c r="Q86" i="1"/>
  <c r="O86" i="1"/>
  <c r="N86" i="1"/>
  <c r="U85" i="1"/>
  <c r="T85" i="1"/>
  <c r="R85" i="1"/>
  <c r="Q85" i="1"/>
  <c r="O85" i="1"/>
  <c r="N85" i="1"/>
  <c r="R84" i="1"/>
  <c r="Q84" i="1"/>
  <c r="O84" i="1"/>
  <c r="N84" i="1"/>
  <c r="U83" i="1"/>
  <c r="T83" i="1"/>
  <c r="R83" i="1"/>
  <c r="Q83" i="1"/>
  <c r="U81" i="1"/>
  <c r="T81" i="1"/>
  <c r="O81" i="1"/>
  <c r="N81" i="1"/>
  <c r="R80" i="1"/>
  <c r="Q80" i="1"/>
  <c r="O80" i="1"/>
  <c r="N80" i="1"/>
  <c r="U79" i="1"/>
  <c r="T79" i="1"/>
  <c r="R79" i="1"/>
  <c r="Q79" i="1"/>
  <c r="O79" i="1"/>
  <c r="N79" i="1"/>
  <c r="U78" i="1"/>
  <c r="T78" i="1"/>
  <c r="R78" i="1"/>
  <c r="Q78" i="1"/>
  <c r="O78" i="1"/>
  <c r="N78" i="1"/>
  <c r="U77" i="1"/>
  <c r="T77" i="1"/>
  <c r="R77" i="1"/>
  <c r="Q77" i="1"/>
  <c r="O77" i="1"/>
  <c r="N77" i="1"/>
  <c r="U76" i="1"/>
  <c r="T76" i="1"/>
  <c r="R76" i="1"/>
  <c r="Q76" i="1"/>
  <c r="O76" i="1"/>
  <c r="N76" i="1"/>
  <c r="U75" i="1"/>
  <c r="T75" i="1"/>
  <c r="R75" i="1"/>
  <c r="Q75" i="1"/>
  <c r="O75" i="1"/>
  <c r="N75" i="1"/>
  <c r="U74" i="1"/>
  <c r="T74" i="1"/>
  <c r="R74" i="1"/>
  <c r="Q74" i="1"/>
  <c r="U73" i="1"/>
  <c r="T73" i="1"/>
  <c r="R73" i="1"/>
  <c r="Q73" i="1"/>
  <c r="O73" i="1"/>
  <c r="N73" i="1"/>
  <c r="U72" i="1"/>
  <c r="T72" i="1"/>
  <c r="R72" i="1"/>
  <c r="Q72" i="1"/>
  <c r="O72" i="1"/>
  <c r="N72" i="1"/>
  <c r="U71" i="1"/>
  <c r="T71" i="1"/>
  <c r="R71" i="1"/>
  <c r="Q71" i="1"/>
  <c r="O71" i="1"/>
  <c r="N71" i="1"/>
  <c r="U70" i="1"/>
  <c r="T70" i="1"/>
  <c r="R70" i="1"/>
  <c r="Q70" i="1"/>
  <c r="O70" i="1"/>
  <c r="N70" i="1"/>
  <c r="U69" i="1"/>
  <c r="T69" i="1"/>
  <c r="R69" i="1"/>
  <c r="Q69" i="1"/>
  <c r="O69" i="1"/>
  <c r="N69" i="1"/>
  <c r="U68" i="1"/>
  <c r="T68" i="1"/>
  <c r="R68" i="1"/>
  <c r="Q68" i="1"/>
  <c r="O68" i="1"/>
  <c r="N68" i="1"/>
  <c r="U66" i="1"/>
  <c r="T66" i="1"/>
  <c r="R66" i="1"/>
  <c r="Q66" i="1"/>
  <c r="O66" i="1"/>
  <c r="N66" i="1"/>
  <c r="U65" i="1"/>
  <c r="T65" i="1"/>
  <c r="R65" i="1"/>
  <c r="Q65" i="1"/>
  <c r="O65" i="1"/>
  <c r="N65" i="1"/>
  <c r="U64" i="1"/>
  <c r="T64" i="1"/>
  <c r="R64" i="1"/>
  <c r="Q64" i="1"/>
  <c r="U63" i="1"/>
  <c r="T63" i="1"/>
  <c r="R63" i="1"/>
  <c r="Q63" i="1"/>
  <c r="U62" i="1"/>
  <c r="T62" i="1"/>
  <c r="R62" i="1"/>
  <c r="Q62" i="1"/>
  <c r="O62" i="1"/>
  <c r="N62" i="1"/>
  <c r="U61" i="1"/>
  <c r="T61" i="1"/>
  <c r="R61" i="1"/>
  <c r="Q61" i="1"/>
  <c r="O61" i="1"/>
  <c r="N61" i="1"/>
  <c r="U60" i="1"/>
  <c r="T60" i="1"/>
  <c r="R60" i="1"/>
  <c r="Q60" i="1"/>
  <c r="O60" i="1"/>
  <c r="N60" i="1"/>
  <c r="U59" i="1"/>
  <c r="T59" i="1"/>
  <c r="R59" i="1"/>
  <c r="Q59" i="1"/>
  <c r="O59" i="1"/>
  <c r="N59" i="1"/>
  <c r="U58" i="1"/>
  <c r="T58" i="1"/>
  <c r="R58" i="1"/>
  <c r="Q58" i="1"/>
  <c r="O58" i="1"/>
  <c r="N58" i="1"/>
  <c r="R57" i="1"/>
  <c r="Q57" i="1"/>
  <c r="O57" i="1"/>
  <c r="N57" i="1"/>
  <c r="R56" i="1"/>
  <c r="Q56" i="1"/>
  <c r="O56" i="1"/>
  <c r="N56" i="1"/>
  <c r="U55" i="1"/>
  <c r="T55" i="1"/>
  <c r="O55" i="1"/>
  <c r="N55" i="1"/>
  <c r="U54" i="1"/>
  <c r="T54" i="1"/>
  <c r="R54" i="1"/>
  <c r="Q54" i="1"/>
  <c r="O54" i="1"/>
  <c r="N54" i="1"/>
  <c r="U53" i="1"/>
  <c r="T53" i="1"/>
  <c r="R53" i="1"/>
  <c r="Q53" i="1"/>
  <c r="O53" i="1"/>
  <c r="N53" i="1"/>
  <c r="U51" i="1"/>
  <c r="T51" i="1"/>
  <c r="R51" i="1"/>
  <c r="Q51" i="1"/>
  <c r="O51" i="1"/>
  <c r="N51" i="1"/>
  <c r="U50" i="1"/>
  <c r="T50" i="1"/>
  <c r="R50" i="1"/>
  <c r="Q50" i="1"/>
  <c r="O50" i="1"/>
  <c r="N50" i="1"/>
  <c r="U49" i="1"/>
  <c r="T49" i="1"/>
  <c r="R49" i="1"/>
  <c r="Q49" i="1"/>
  <c r="O49" i="1"/>
  <c r="N49" i="1"/>
  <c r="U48" i="1"/>
  <c r="T48" i="1"/>
  <c r="R48" i="1"/>
  <c r="Q48" i="1"/>
  <c r="O48" i="1"/>
  <c r="N48" i="1"/>
  <c r="U47" i="1"/>
  <c r="T47" i="1"/>
  <c r="R47" i="1"/>
  <c r="Q47" i="1"/>
  <c r="O47" i="1"/>
  <c r="N47" i="1"/>
  <c r="R46" i="1"/>
  <c r="Q46" i="1"/>
  <c r="U45" i="1"/>
  <c r="T45" i="1"/>
  <c r="R45" i="1"/>
  <c r="Q45" i="1"/>
  <c r="O45" i="1"/>
  <c r="N45" i="1"/>
  <c r="U44" i="1"/>
  <c r="T44" i="1"/>
  <c r="R44" i="1"/>
  <c r="Q44" i="1"/>
  <c r="O44" i="1"/>
  <c r="N44" i="1"/>
  <c r="U43" i="1"/>
  <c r="T43" i="1"/>
  <c r="R43" i="1"/>
  <c r="Q43" i="1"/>
  <c r="O43" i="1"/>
  <c r="N43" i="1"/>
  <c r="U42" i="1"/>
  <c r="T42" i="1"/>
  <c r="R42" i="1"/>
  <c r="Q42" i="1"/>
  <c r="U41" i="1"/>
  <c r="T41" i="1"/>
  <c r="R41" i="1"/>
  <c r="Q41" i="1"/>
  <c r="O41" i="1"/>
  <c r="N41" i="1"/>
  <c r="U40" i="1"/>
  <c r="T40" i="1"/>
  <c r="O40" i="1"/>
  <c r="N40" i="1"/>
  <c r="U39" i="1"/>
  <c r="T39" i="1"/>
  <c r="R39" i="1"/>
  <c r="Q39" i="1"/>
  <c r="O39" i="1"/>
  <c r="N39" i="1"/>
  <c r="U38" i="1"/>
  <c r="T38" i="1"/>
  <c r="R38" i="1"/>
  <c r="Q38" i="1"/>
  <c r="O38" i="1"/>
  <c r="N38" i="1"/>
  <c r="U37" i="1"/>
  <c r="T37" i="1"/>
  <c r="R37" i="1"/>
  <c r="Q37" i="1"/>
  <c r="O37" i="1"/>
  <c r="N37" i="1"/>
  <c r="U35" i="1"/>
  <c r="T35" i="1"/>
  <c r="R35" i="1"/>
  <c r="Q35" i="1"/>
  <c r="U34" i="1"/>
  <c r="T34" i="1"/>
  <c r="R34" i="1"/>
  <c r="Q34" i="1"/>
  <c r="O34" i="1"/>
  <c r="N34" i="1"/>
  <c r="U33" i="1"/>
  <c r="T33" i="1"/>
  <c r="R33" i="1"/>
  <c r="Q33" i="1"/>
  <c r="O33" i="1"/>
  <c r="N33" i="1"/>
  <c r="U32" i="1"/>
  <c r="T32" i="1"/>
  <c r="R32" i="1"/>
  <c r="Q32" i="1"/>
  <c r="O32" i="1"/>
  <c r="N32" i="1"/>
  <c r="U31" i="1"/>
  <c r="T31" i="1"/>
  <c r="R31" i="1"/>
  <c r="Q31" i="1"/>
  <c r="O31" i="1"/>
  <c r="N31" i="1"/>
  <c r="U30" i="1"/>
  <c r="T30" i="1"/>
  <c r="R30" i="1"/>
  <c r="Q30" i="1"/>
  <c r="O30" i="1"/>
  <c r="N30" i="1"/>
  <c r="U29" i="1"/>
  <c r="T29" i="1"/>
  <c r="R29" i="1"/>
  <c r="Q29" i="1"/>
  <c r="O29" i="1"/>
  <c r="N29" i="1"/>
  <c r="U28" i="1"/>
  <c r="T28" i="1"/>
  <c r="R28" i="1"/>
  <c r="Q28" i="1"/>
  <c r="O28" i="1"/>
  <c r="N28" i="1"/>
  <c r="U27" i="1"/>
  <c r="T27" i="1"/>
  <c r="R27" i="1"/>
  <c r="Q27" i="1"/>
  <c r="O27" i="1"/>
  <c r="N27" i="1"/>
  <c r="U26" i="1"/>
  <c r="T26" i="1"/>
  <c r="R26" i="1"/>
  <c r="Q26" i="1"/>
  <c r="O26" i="1"/>
  <c r="N26" i="1"/>
  <c r="U25" i="1"/>
  <c r="T25" i="1"/>
  <c r="R25" i="1"/>
  <c r="Q25" i="1"/>
  <c r="O25" i="1"/>
  <c r="N25" i="1"/>
  <c r="U24" i="1"/>
  <c r="T24" i="1"/>
  <c r="R24" i="1"/>
  <c r="Q24" i="1"/>
  <c r="O24" i="1"/>
  <c r="N24" i="1"/>
  <c r="U23" i="1"/>
  <c r="T23" i="1"/>
  <c r="R23" i="1"/>
  <c r="Q23" i="1"/>
  <c r="O23" i="1"/>
  <c r="N23" i="1"/>
  <c r="U22" i="1"/>
  <c r="T22" i="1"/>
  <c r="R22" i="1"/>
  <c r="Q22" i="1"/>
  <c r="O22" i="1"/>
  <c r="N22" i="1"/>
  <c r="U21" i="1"/>
  <c r="T21" i="1"/>
  <c r="U20" i="1"/>
  <c r="T20" i="1"/>
  <c r="R20" i="1"/>
  <c r="Q20" i="1"/>
  <c r="O20" i="1"/>
  <c r="N20" i="1"/>
  <c r="U19" i="1"/>
  <c r="T19" i="1"/>
  <c r="R19" i="1"/>
  <c r="Q19" i="1"/>
  <c r="O19" i="1"/>
  <c r="N19" i="1"/>
  <c r="U18" i="1"/>
  <c r="T18" i="1"/>
  <c r="R18" i="1"/>
  <c r="Q18" i="1"/>
  <c r="O18" i="1"/>
  <c r="N18" i="1"/>
  <c r="U17" i="1"/>
  <c r="T17" i="1"/>
  <c r="R17" i="1"/>
  <c r="Q17" i="1"/>
  <c r="O17" i="1"/>
  <c r="N17" i="1"/>
  <c r="U16" i="1"/>
  <c r="T16" i="1"/>
  <c r="R16" i="1"/>
  <c r="Q16" i="1"/>
  <c r="O16" i="1"/>
  <c r="N16" i="1"/>
  <c r="U15" i="1"/>
  <c r="T15" i="1"/>
  <c r="R15" i="1"/>
  <c r="Q15" i="1"/>
  <c r="O15" i="1"/>
  <c r="N15" i="1"/>
  <c r="U14" i="1"/>
  <c r="T14" i="1"/>
  <c r="R14" i="1"/>
  <c r="Q14" i="1"/>
  <c r="O14" i="1"/>
  <c r="N14" i="1"/>
  <c r="U13" i="1"/>
  <c r="T13" i="1"/>
  <c r="R13" i="1"/>
  <c r="Q13" i="1"/>
  <c r="O13" i="1"/>
  <c r="N13" i="1"/>
  <c r="U12" i="1"/>
  <c r="T12" i="1"/>
  <c r="U11" i="1"/>
  <c r="T11" i="1"/>
  <c r="R11" i="1"/>
  <c r="Q11" i="1"/>
  <c r="O11" i="1"/>
  <c r="N11" i="1"/>
  <c r="U10" i="1"/>
  <c r="T10" i="1"/>
  <c r="R10" i="1"/>
  <c r="Q10" i="1"/>
  <c r="O10" i="1"/>
  <c r="N10" i="1"/>
  <c r="U8" i="1"/>
  <c r="T8" i="1"/>
  <c r="R8" i="1"/>
  <c r="Q8" i="1"/>
  <c r="U7" i="1"/>
  <c r="T7" i="1"/>
  <c r="R7" i="1"/>
  <c r="Q7" i="1"/>
  <c r="O7" i="1"/>
  <c r="N7" i="1"/>
  <c r="U6" i="1"/>
  <c r="T6" i="1"/>
  <c r="R6" i="1"/>
  <c r="Q6" i="1"/>
  <c r="O6" i="1"/>
  <c r="N6" i="1"/>
  <c r="U5" i="1"/>
  <c r="T5" i="1"/>
  <c r="R5" i="1"/>
  <c r="Q5" i="1"/>
  <c r="O5" i="1"/>
  <c r="N5" i="1"/>
  <c r="U4" i="1"/>
  <c r="T4" i="1"/>
  <c r="R4" i="1"/>
  <c r="Q4" i="1"/>
  <c r="O4" i="1"/>
  <c r="N4" i="1"/>
  <c r="U3" i="1"/>
  <c r="T3" i="1"/>
  <c r="R3" i="1"/>
  <c r="Q3" i="1"/>
  <c r="O3" i="1"/>
  <c r="N3" i="1"/>
  <c r="U2" i="1"/>
  <c r="T2" i="1"/>
  <c r="R2" i="1"/>
  <c r="Q2" i="1"/>
  <c r="O2" i="1"/>
  <c r="N2" i="1"/>
</calcChain>
</file>

<file path=xl/sharedStrings.xml><?xml version="1.0" encoding="utf-8"?>
<sst xmlns="http://schemas.openxmlformats.org/spreadsheetml/2006/main" count="563" uniqueCount="444">
  <si>
    <t>date</t>
  </si>
  <si>
    <t>weeyday</t>
  </si>
  <si>
    <t>match_string</t>
  </si>
  <si>
    <t>is_work_day</t>
  </si>
  <si>
    <t>has_meeting</t>
  </si>
  <si>
    <t>line_id</t>
  </si>
  <si>
    <t>inv_num</t>
  </si>
  <si>
    <t>scan_num</t>
  </si>
  <si>
    <t>page_num</t>
  </si>
  <si>
    <t>col_index</t>
  </si>
  <si>
    <t>tr_index</t>
  </si>
  <si>
    <t>line_num</t>
  </si>
  <si>
    <t>viewer_url</t>
  </si>
  <si>
    <t>iiif_url</t>
  </si>
  <si>
    <t>next_meeting_match_string</t>
  </si>
  <si>
    <t>next_meeting_viewer_url</t>
  </si>
  <si>
    <t>next_meeting_iiif_url</t>
  </si>
  <si>
    <t>prev_meeting_match_string</t>
  </si>
  <si>
    <t>prev_meeting_viewer_url</t>
  </si>
  <si>
    <t>prev_meeting_iiif_url</t>
  </si>
  <si>
    <t>1761-02-13</t>
  </si>
  <si>
    <t>Veneris</t>
  </si>
  <si>
    <t>Veneris den 13 Februárs</t>
  </si>
  <si>
    <t>pagexml-inventory-3816-year-1761-scan-137-page-273-col-1-tr-1-line-0</t>
  </si>
  <si>
    <t>Sabbathi den ta February</t>
  </si>
  <si>
    <t>Vyvis den 11 February</t>
  </si>
  <si>
    <t>1717-03-06</t>
  </si>
  <si>
    <t>Sabbathi</t>
  </si>
  <si>
    <t>Sabbathi den 6. Maar</t>
  </si>
  <si>
    <t>pagexml-inventory-3772-year-1717-scan-124-page-246-col-0-tr-2-line-0</t>
  </si>
  <si>
    <t>Dominica den 7. Maar</t>
  </si>
  <si>
    <t>Veneris den $. Maar</t>
  </si>
  <si>
    <t>1708-08-17</t>
  </si>
  <si>
    <t>Veneris den 17. August</t>
  </si>
  <si>
    <t>pagexml-inventory-3763-year-1708-scan-402-page-803-col-0-tr-1-line-0</t>
  </si>
  <si>
    <t>Sabbathi den 18. Augufl</t>
  </si>
  <si>
    <t>Tovis den 16. Augufl</t>
  </si>
  <si>
    <t>1778-10-20</t>
  </si>
  <si>
    <t>Martis</t>
  </si>
  <si>
    <t>Martis den 20 Ofober</t>
  </si>
  <si>
    <t>pagexml-inventory-3833-year-1778-scan-489-page-976-col-1-tr-1-line-0</t>
  </si>
  <si>
    <t>Mercuri den 21 Oftoler</t>
  </si>
  <si>
    <t>Sabbathi den 17 October</t>
  </si>
  <si>
    <t>1779-12-16</t>
  </si>
  <si>
    <t>Jovis</t>
  </si>
  <si>
    <t>Jovis den 16 December</t>
  </si>
  <si>
    <t>pagexml-inventory-3834-year-1779-scan-582-page-1163-col-0-tr-1-line-0</t>
  </si>
  <si>
    <t>Veneris den 73 December</t>
  </si>
  <si>
    <t>Mercurii den 15 December</t>
  </si>
  <si>
    <t>1782-07-11</t>
  </si>
  <si>
    <t>Jovis den 11 July</t>
  </si>
  <si>
    <t>pagexml-inventory-3839-year-1782-scan-24-page-46-col-0-tr-1-line-0</t>
  </si>
  <si>
    <t>Veneris den 12 July</t>
  </si>
  <si>
    <t>Merturii den to July</t>
  </si>
  <si>
    <t>1772-12-20</t>
  </si>
  <si>
    <t>Dominica</t>
  </si>
  <si>
    <t>Sabbathi den 12 December</t>
  </si>
  <si>
    <t>1795-06-25</t>
  </si>
  <si>
    <t>1743-11-02</t>
  </si>
  <si>
    <t>Sabbathi den 2 November</t>
  </si>
  <si>
    <t>pagexml-inventory-3798-year-1743-scan-328-page-654-col-0-tr-1-line-2</t>
  </si>
  <si>
    <t>Dominica den 3 November</t>
  </si>
  <si>
    <t>Veneris den 1 November</t>
  </si>
  <si>
    <t>1737-08-08</t>
  </si>
  <si>
    <t>Jovis den 8. August</t>
  </si>
  <si>
    <t>pagexml-inventory-3792-year-1737-scan-222-page-443-col-0-tr-1-line-0</t>
  </si>
  <si>
    <t>Veneris den 9, Angift</t>
  </si>
  <si>
    <t>Mercurii den 7. Angust</t>
  </si>
  <si>
    <t>1758-03-25</t>
  </si>
  <si>
    <t>Veneris den 24 Maart</t>
  </si>
  <si>
    <t>1775-10-23</t>
  </si>
  <si>
    <t>Lunae</t>
  </si>
  <si>
    <t>Sabbathi den 21 Oftober</t>
  </si>
  <si>
    <t>pagexml-inventory-3830-year-1775-scan-423-page-844-col-1-tr-1-line-0</t>
  </si>
  <si>
    <t>Martis den 24 Oftober</t>
  </si>
  <si>
    <t>Veneris den 20 Oftober</t>
  </si>
  <si>
    <t>1739-11-01</t>
  </si>
  <si>
    <t>Dominica den 1 November</t>
  </si>
  <si>
    <t>pagexml-inventory-3794-year-1739-scan-355-page-708-col-0-tr-1-line-0</t>
  </si>
  <si>
    <t>Sabbathi den 31 October</t>
  </si>
  <si>
    <t>1718-04-11</t>
  </si>
  <si>
    <t>Lune den 4. April</t>
  </si>
  <si>
    <t>pagexml-inventory-3773-year-1718-scan-187-page-372-col-1-tr-0-line-0</t>
  </si>
  <si>
    <t>Martis den 5. April</t>
  </si>
  <si>
    <t>Sabbathi den 2. Apri</t>
  </si>
  <si>
    <t>1716-01-19</t>
  </si>
  <si>
    <t>Dominica den 19. Januari</t>
  </si>
  <si>
    <t>pagexml-inventory-3771-year-1716-scan-50-page-99-col-1-tr-1-line-0</t>
  </si>
  <si>
    <t>1746-03-22</t>
  </si>
  <si>
    <t>Martis den 22. Maar</t>
  </si>
  <si>
    <t>pagexml-inventory-3801-year-1746-scan-152-page-302-col-0-tr-1-line-0</t>
  </si>
  <si>
    <t>Mercurii den 23 Maart</t>
  </si>
  <si>
    <t>Dominica den 20 Maart</t>
  </si>
  <si>
    <t>1709-11-07</t>
  </si>
  <si>
    <t>Jovis den 7. Novembe</t>
  </si>
  <si>
    <t>pagexml-inventory-3764-year-1709-scan-662-page-1322-col-0-tr-1-line-0</t>
  </si>
  <si>
    <t>Veneris den 8. Novembe</t>
  </si>
  <si>
    <t>Mercurii den 6. Novembe</t>
  </si>
  <si>
    <t>1739-02-14</t>
  </si>
  <si>
    <t>Sabbathi den 14 February</t>
  </si>
  <si>
    <t>pagexml-inventory-3794-year-1739-scan-89-page-177-col-1-tr-1-line-0</t>
  </si>
  <si>
    <t>Dominica den 15. February</t>
  </si>
  <si>
    <t>Veneris den 13 Februars</t>
  </si>
  <si>
    <t>1790-09-01</t>
  </si>
  <si>
    <t>Mercurii</t>
  </si>
  <si>
    <t>Mercurii den 1 September</t>
  </si>
  <si>
    <t>pagexml-inventory-3853-year-1790-scan-395-page-789-col-0-tr-3-line-0</t>
  </si>
  <si>
    <t>Jovis den 2 September</t>
  </si>
  <si>
    <t>Martis den 31 Aúcnfy</t>
  </si>
  <si>
    <t>1721-12-26</t>
  </si>
  <si>
    <t>Jovis den 25. Decembe</t>
  </si>
  <si>
    <t>1759-09-04</t>
  </si>
  <si>
    <t>Martis den 4 September</t>
  </si>
  <si>
    <t>pagexml-inventory-3814-year-1759-scan-388-page-775-col-0-tr-1-line-10</t>
  </si>
  <si>
    <t>Mercurii den 5 September</t>
  </si>
  <si>
    <t>Domina den 2 September</t>
  </si>
  <si>
    <t>1709-02-22</t>
  </si>
  <si>
    <t>Veneris den 22. Februari</t>
  </si>
  <si>
    <t>pagexml-inventory-3764-year-1709-scan-105-page-209-col-1-tr-2-line-0</t>
  </si>
  <si>
    <t>Sabbathi den 23. Februari</t>
  </si>
  <si>
    <t>1736-12-15</t>
  </si>
  <si>
    <t>abbathì den 15, December</t>
  </si>
  <si>
    <t>pagexml-inventory-3791-year-1736-scan-393-page-784-col-0-tr-1-line-0</t>
  </si>
  <si>
    <t>Dominica den 16. Decembe</t>
  </si>
  <si>
    <t>Veneris den 14. Decembe</t>
  </si>
  <si>
    <t>1792-02-04</t>
  </si>
  <si>
    <t>Sabbathi den 28 Fanuary</t>
  </si>
  <si>
    <t>pagexml-inventory-3856-year-1792-scan-138-page-275-col-0-tr-0-line-0</t>
  </si>
  <si>
    <t>Veneris den 27 Fanuary</t>
  </si>
  <si>
    <t>1763-11-28</t>
  </si>
  <si>
    <t>Sabbathi den 26 November</t>
  </si>
  <si>
    <t>pagexml-inventory-3818-year-1763-scan-448-page-895-col-0-tr-1-line-9</t>
  </si>
  <si>
    <t>Martis den 29 November</t>
  </si>
  <si>
    <t>Veneris den 25 November</t>
  </si>
  <si>
    <t>1733-02-17</t>
  </si>
  <si>
    <t>Martis den 17. Februari</t>
  </si>
  <si>
    <t>pagexml-inventory-3788-year-1733-scan-102-page-202-col-0-tr-1-line-0</t>
  </si>
  <si>
    <t>Mercurii den 18, Februari</t>
  </si>
  <si>
    <t>Dominica den 15. Februari</t>
  </si>
  <si>
    <t>1732-12-18</t>
  </si>
  <si>
    <t>Jovis den 11 December</t>
  </si>
  <si>
    <t>pagexml-inventory-3787-year-1732-scan-393-page-785-col-0-tr-3-line-0</t>
  </si>
  <si>
    <t>Veneris den 12. Decembe</t>
  </si>
  <si>
    <t>Mercuri den 10. December</t>
  </si>
  <si>
    <t>1779-04-24</t>
  </si>
  <si>
    <t>Sabbathi den 24 April</t>
  </si>
  <si>
    <t>pagexml-inventory-3834-year-1779-scan-261-page-521-col-0-tr-0-line-9</t>
  </si>
  <si>
    <t>Veneris den 23 April</t>
  </si>
  <si>
    <t>1721-11-13</t>
  </si>
  <si>
    <t>Jovis den 13. Novembe</t>
  </si>
  <si>
    <t>pagexml-inventory-3776-year-1721-scan-444-page-887-col-0-tr-2-line-0</t>
  </si>
  <si>
    <t>Veneris den 14, Novembe</t>
  </si>
  <si>
    <t>Mercurii den 12. Novembe</t>
  </si>
  <si>
    <t>1722-05-30</t>
  </si>
  <si>
    <t>Sabbathi den 30. Me</t>
  </si>
  <si>
    <t>pagexml-inventory-3777-year-1722-scan-238-page-474-col-0-tr-0-line-0</t>
  </si>
  <si>
    <t>Dominica den 31. Me</t>
  </si>
  <si>
    <t>Veneris den 29. Me</t>
  </si>
  <si>
    <t>1748-02-11</t>
  </si>
  <si>
    <t>Dominica den 11 February</t>
  </si>
  <si>
    <t>pagexml-inventory-3803-year-1748-scan-105-page-209-col-0-tr-1-line-0</t>
  </si>
  <si>
    <t>Sabbathi den 10 February</t>
  </si>
  <si>
    <t>1738-11-27</t>
  </si>
  <si>
    <t>Jovis den 27. Novembe</t>
  </si>
  <si>
    <t>pagexml-inventory-3793-year-1738-scan-375-page-749-col-1-tr-3-line-0</t>
  </si>
  <si>
    <t>Veneris den 28. Novembe</t>
  </si>
  <si>
    <t>Mercurii den 26 November</t>
  </si>
  <si>
    <t>1794-11-20</t>
  </si>
  <si>
    <t>Jovis den 20 November</t>
  </si>
  <si>
    <t>pagexml-inventory-3861-year-1794-scan-220-page-439-col-1-tr-3-line-0</t>
  </si>
  <si>
    <t>Veneris den 21 November</t>
  </si>
  <si>
    <t>Mercurii den 19 November</t>
  </si>
  <si>
    <t>1770-02-03</t>
  </si>
  <si>
    <t>Domiiica: den 4 Febthar</t>
  </si>
  <si>
    <t>Veneris den 2 February</t>
  </si>
  <si>
    <t>1740-01-11</t>
  </si>
  <si>
    <t>1782-03-28</t>
  </si>
  <si>
    <t>Tovis den 28 Maart</t>
  </si>
  <si>
    <t>pagexml-inventory-3838-year-1782-scan-128-page-254-col-0-tr-3-line-0</t>
  </si>
  <si>
    <t>Veneris den 19 Maart</t>
  </si>
  <si>
    <t>Mercurii den 27 Maart</t>
  </si>
  <si>
    <t>1787-09-01</t>
  </si>
  <si>
    <t>Sabbathi den 1 September</t>
  </si>
  <si>
    <t>pagexml-inventory-3849-year-1787-scan-153-page-305-col-1-tr-1-line-1</t>
  </si>
  <si>
    <t>Veneris den 31 Augufiy</t>
  </si>
  <si>
    <t>1772-03-13</t>
  </si>
  <si>
    <t>Veneris den 6 Maart</t>
  </si>
  <si>
    <t>pagexml-inventory-3827-year-1772-scan-181-page-361-col-1-tr-1-line-0</t>
  </si>
  <si>
    <t>Sabbathi den 7 Maart</t>
  </si>
  <si>
    <t>Jovis den 5 Maart</t>
  </si>
  <si>
    <t>1769-12-18</t>
  </si>
  <si>
    <t>turäag den 2 December</t>
  </si>
  <si>
    <t>pagexml-inventory-3824-year-1769-scan-532-page-1063-col-1-tr-1-line-0</t>
  </si>
  <si>
    <t>Veneris den 15 December</t>
  </si>
  <si>
    <t>1713-12-01</t>
  </si>
  <si>
    <t>pagexml-inventory-3768-year-1713-scan-770-page-1538-col-1-tr-0-line-0</t>
  </si>
  <si>
    <t>Sabbat hi den 25. Novem</t>
  </si>
  <si>
    <t>Jovis den 23. Novembe</t>
  </si>
  <si>
    <t>1762-10-03</t>
  </si>
  <si>
    <t>Sabbathi den 2 Odtober</t>
  </si>
  <si>
    <t>1741-09-29</t>
  </si>
  <si>
    <t>Veneris den 29 September</t>
  </si>
  <si>
    <t>pagexml-inventory-3796-year-1741-scan-379-page-757-col-1-tr-1-line-0</t>
  </si>
  <si>
    <t>Sábbathi den 30 September</t>
  </si>
  <si>
    <t>Jovis den 28 September</t>
  </si>
  <si>
    <t>1718-02-07</t>
  </si>
  <si>
    <t>Dominica den 6. Februari</t>
  </si>
  <si>
    <t>pagexml-inventory-3773-year-1718-scan-90-page-178-col-1-tr-2-line-0</t>
  </si>
  <si>
    <t>Martis den 8 Februarii</t>
  </si>
  <si>
    <t>1741-06-13</t>
  </si>
  <si>
    <t>Martis den 13 Funy</t>
  </si>
  <si>
    <t>pagexml-inventory-3796-year-1741-scan-258-page-515-col-0-tr-1-line-0</t>
  </si>
  <si>
    <t>Mercurii den 14 Juny</t>
  </si>
  <si>
    <t>Dominica den 11 Juny</t>
  </si>
  <si>
    <t>1792-01-08</t>
  </si>
  <si>
    <t>Den 4 en 5 January</t>
  </si>
  <si>
    <t>1714-03-22</t>
  </si>
  <si>
    <t>Jovis den 22. Maer</t>
  </si>
  <si>
    <t>pagexml-inventory-3769-year-1714-scan-181-page-361-col-1-tr-1-line-0</t>
  </si>
  <si>
    <t>Veneris den 18. Maer</t>
  </si>
  <si>
    <t>Mercurii den 21. Maer</t>
  </si>
  <si>
    <t>1778-10-16</t>
  </si>
  <si>
    <t>Veneris den 16 Oftober</t>
  </si>
  <si>
    <t>pagexml-inventory-3833-year-1778-scan-485-page-969-col-0-tr-0-line-47</t>
  </si>
  <si>
    <t>Jovis den 15 Oftober</t>
  </si>
  <si>
    <t>1794-09-09</t>
  </si>
  <si>
    <t>Martis den 9 September</t>
  </si>
  <si>
    <t>pagexml-inventory-3861-year-1794-scan-128-page-254-col-1-tr-2-line-0</t>
  </si>
  <si>
    <t>Mercurii den 10 September</t>
  </si>
  <si>
    <t>Dominica den 7 September</t>
  </si>
  <si>
    <t>1710-04-05</t>
  </si>
  <si>
    <t>Sabbathi den 5. Apri</t>
  </si>
  <si>
    <t>pagexml-inventory-3765-year-1710-scan-224-page-446-col-0-tr-1-line-0</t>
  </si>
  <si>
    <t>Dominica den 6. Apri</t>
  </si>
  <si>
    <t>Veneris den 4. Apri</t>
  </si>
  <si>
    <t>1709-02-16</t>
  </si>
  <si>
    <t>Sabbathi den 16. Februari</t>
  </si>
  <si>
    <t>pagexml-inventory-3764-year-1709-scan-97-page-193-col-0-tr-1-line-0</t>
  </si>
  <si>
    <t>Dominica den 17. Februari</t>
  </si>
  <si>
    <t>Veneris den 15, Febmarii</t>
  </si>
  <si>
    <t>1733-08-12</t>
  </si>
  <si>
    <t>1708-01-22</t>
  </si>
  <si>
    <t>Dominica den 22. Januarr</t>
  </si>
  <si>
    <t>pagexml-inventory-3763-year-1708-scan-46-page-91-col-0-tr-2-line-3</t>
  </si>
  <si>
    <t>Sabbathi den 21. Januari</t>
  </si>
  <si>
    <t>1744-02-24</t>
  </si>
  <si>
    <t>Dominica den 23 February</t>
  </si>
  <si>
    <t>pagexml-inventory-3799-year-1744-scan-107-page-213-col-0-tr-1-line-0</t>
  </si>
  <si>
    <t>Martis den 2 February</t>
  </si>
  <si>
    <t>1709-11-15</t>
  </si>
  <si>
    <t>Veneris den 15. Novembe</t>
  </si>
  <si>
    <t>pagexml-inventory-3764-year-1709-scan-678-page-1354-col-0-tr-1-line-0</t>
  </si>
  <si>
    <t>Jovis den 14, Novembe</t>
  </si>
  <si>
    <t>1738-04-23</t>
  </si>
  <si>
    <t>Mercurii den 23. Apri</t>
  </si>
  <si>
    <t>pagexml-inventory-3793-year-1738-scan-163-page-324-col-0-tr-3-line-0</t>
  </si>
  <si>
    <t>Jovis den 24. Apri</t>
  </si>
  <si>
    <t>1778-04-08</t>
  </si>
  <si>
    <t>Mercurii den 1 April</t>
  </si>
  <si>
    <t>pagexml-inventory-3833-year-1778-scan-225-page-448-col-1-tr-1-line-0</t>
  </si>
  <si>
    <t>Jovi den 2 April</t>
  </si>
  <si>
    <t>1750-02-02</t>
  </si>
  <si>
    <t>Dominica den 1 February</t>
  </si>
  <si>
    <t>pagexml-inventory-3805-year-1750-scan-77-page-152-col-0-tr-1-line-0</t>
  </si>
  <si>
    <t>Martis den 3 February.</t>
  </si>
  <si>
    <t>1769-11-23</t>
  </si>
  <si>
    <t>Jovis den 23 November</t>
  </si>
  <si>
    <t>pagexml-inventory-3824-year-1769-scan-509-page-1017-col-0-tr-1-line-1</t>
  </si>
  <si>
    <t>Veneris den 24. Novembe</t>
  </si>
  <si>
    <t>Mercuri den 22 November</t>
  </si>
  <si>
    <t>1753-03-07</t>
  </si>
  <si>
    <t>Mercurii den 7 Maart</t>
  </si>
  <si>
    <t>pagexml-inventory-3808-year-1753-scan-129-page-256-col-0-tr-2-line-1</t>
  </si>
  <si>
    <t>Fovis-den $ Maart</t>
  </si>
  <si>
    <t>Martis den 6 Maart</t>
  </si>
  <si>
    <t>1738-01-19</t>
  </si>
  <si>
    <t>Dominica den 19. January</t>
  </si>
  <si>
    <t>pagexml-inventory-3793-year-1738-scan-65-page-129-col-0-tr-1-line-0</t>
  </si>
  <si>
    <t>Sabbathì den 18 January</t>
  </si>
  <si>
    <t>1757-06-14</t>
  </si>
  <si>
    <t>Martis den 14 Jany</t>
  </si>
  <si>
    <t>pagexml-inventory-3812-year-1757-scan-290-page-578-col-0-tr-0-line-0</t>
  </si>
  <si>
    <t>Mercayii den 15 Juny</t>
  </si>
  <si>
    <t>Sabbathi den 11 Jany</t>
  </si>
  <si>
    <t>1713-09-07</t>
  </si>
  <si>
    <t>Veneris den 1. Septembe</t>
  </si>
  <si>
    <t>1767-10-25</t>
  </si>
  <si>
    <t>Sabbathi den 24 Ofober</t>
  </si>
  <si>
    <t>1792-05-07</t>
  </si>
  <si>
    <t>Sabbathi den 28 Ap</t>
  </si>
  <si>
    <t>pagexml-inventory-3856-year-1792-scan-272-page-542-col-0-tr-1-line-0</t>
  </si>
  <si>
    <t>Martis den 1 Mey</t>
  </si>
  <si>
    <t>Veheris den 37 Ap</t>
  </si>
  <si>
    <t>1708-02-08</t>
  </si>
  <si>
    <t>Mercuri den 8. Februarii</t>
  </si>
  <si>
    <t>pagexml-inventory-3763-year-1708-scan-75-page-148-col-1-tr-2-line-0</t>
  </si>
  <si>
    <t>Jovis den 9. Februari</t>
  </si>
  <si>
    <t>Martis den 7. Februari</t>
  </si>
  <si>
    <t>1740-07-07</t>
  </si>
  <si>
    <t>1738-06-26</t>
  </si>
  <si>
    <t>Jovis den 26. TJau</t>
  </si>
  <si>
    <t>pagexml-inventory-3793-year-1738-scan-231-page-460-col-0-tr-2-line-0</t>
  </si>
  <si>
    <t>Veneris den 23. Zuny</t>
  </si>
  <si>
    <t>Mercurii den 25. Jun</t>
  </si>
  <si>
    <t>1707-05-16</t>
  </si>
  <si>
    <t>Dominica den 15. Me</t>
  </si>
  <si>
    <t>pagexml-inventory-3762-year-1707-scan-274-page-547-col-1-tr-1-line-1</t>
  </si>
  <si>
    <t>Martisden 1}. Mey</t>
  </si>
  <si>
    <t>1751-06-18</t>
  </si>
  <si>
    <t>Veneris den 18 Jany</t>
  </si>
  <si>
    <t>pagexml-inventory-3806-year-1751-scan-240-page-478-col-0-tr-1-line-0</t>
  </si>
  <si>
    <t>Sabbatthi den 19 fun</t>
  </si>
  <si>
    <t>Jovis den 17 Jany</t>
  </si>
  <si>
    <t>1746-04-16</t>
  </si>
  <si>
    <t>Sabbathi den 16 April</t>
  </si>
  <si>
    <t>pagexml-inventory-3801-year-1746-scan-186-page-370-col-1-tr-1-line-0</t>
  </si>
  <si>
    <t>Dominica den 17 April</t>
  </si>
  <si>
    <t>1794-03-18</t>
  </si>
  <si>
    <t>Martis den 18 Maart</t>
  </si>
  <si>
    <t>pagexml-inventory-3860-year-1794-scan-120-page-239-col-1-tr-0-line-18</t>
  </si>
  <si>
    <t>Mercurij den 19 Maart</t>
  </si>
  <si>
    <t>Sabbathi den 15 Maart</t>
  </si>
  <si>
    <t>1776-04-06</t>
  </si>
  <si>
    <t>Sabbathi den 6 April</t>
  </si>
  <si>
    <t>pagexml-inventory-3831-year-1776-scan-198-page-394-col-1-tr-0-line-17</t>
  </si>
  <si>
    <t>Veneris den 5 April</t>
  </si>
  <si>
    <t>1787-06-30</t>
  </si>
  <si>
    <t>Dominica den 1 July</t>
  </si>
  <si>
    <t>Veneris den 29 Juny</t>
  </si>
  <si>
    <t>1793-03-18</t>
  </si>
  <si>
    <t>Lune den 18 Maart</t>
  </si>
  <si>
    <t>pagexml-inventory-3858-year-1793-scan-170-page-339-col-1-tr-1-line-0</t>
  </si>
  <si>
    <t>Martis den 19 Maart</t>
  </si>
  <si>
    <t>Dominiea den 17 Maart</t>
  </si>
  <si>
    <t>1791-03-28</t>
  </si>
  <si>
    <t>Sabbathi den 19 Maart</t>
  </si>
  <si>
    <t>pagexml-inventory-3854-year-1791-scan-182-page-362-col-1-tr-1-line-0</t>
  </si>
  <si>
    <t>Martis den 22 Maart</t>
  </si>
  <si>
    <t>Veneris den 18 Maart</t>
  </si>
  <si>
    <t>1747-12-29</t>
  </si>
  <si>
    <t>Veneris den 22 December</t>
  </si>
  <si>
    <t>pagexml-inventory-3802-year-1747-scan-495-page-988-col-1-tr-1-line-0</t>
  </si>
  <si>
    <t>Sabbathi den 23 December</t>
  </si>
  <si>
    <t>Jovis den 21 December</t>
  </si>
  <si>
    <t>1743-06-21</t>
  </si>
  <si>
    <t>Veneris dent JFuny</t>
  </si>
  <si>
    <t>pagexml-inventory-3798-year-1743-scan-204-page-406-col-0-tr-1-line-0</t>
  </si>
  <si>
    <t>Sabbathi den 22 Funy</t>
  </si>
  <si>
    <t>Jovis den 20 Jany</t>
  </si>
  <si>
    <t>1780-09-18</t>
  </si>
  <si>
    <t>Sabbath den 9 September</t>
  </si>
  <si>
    <t>pagexml-inventory-3835-year-1780-scan-463-page-924-col-1-tr-3-line-0</t>
  </si>
  <si>
    <t>Martis den 12 September</t>
  </si>
  <si>
    <t>Veneris den % September</t>
  </si>
  <si>
    <t>1766-04-02</t>
  </si>
  <si>
    <t>Mercurii den 2 April</t>
  </si>
  <si>
    <t>pagexml-inventory-3821-year-1766-scan-179-page-356-col-0-tr-0-line-0</t>
  </si>
  <si>
    <t>Jovis den 3 April</t>
  </si>
  <si>
    <t>1760-12-24</t>
  </si>
  <si>
    <t>Mercuri den 24 December:</t>
  </si>
  <si>
    <t>pagexml-inventory-3815-year-1760-scan-528-page-1055-col-1-tr-0-line-32</t>
  </si>
  <si>
    <t>Martis den 213 Decembe</t>
  </si>
  <si>
    <t>1777-10-25</t>
  </si>
  <si>
    <t>1762-10-25</t>
  </si>
  <si>
    <t>Martis den 26: OBober</t>
  </si>
  <si>
    <t>Veneris den 22 October</t>
  </si>
  <si>
    <t>1747-03-17</t>
  </si>
  <si>
    <t>Veneris den 17 Maart</t>
  </si>
  <si>
    <t>pagexml-inventory-3802-year-1747-scan-146-page-291-col-1-tr-2-line-0</t>
  </si>
  <si>
    <t>Sabbathi den 18 Maart</t>
  </si>
  <si>
    <t>1794-07-04</t>
  </si>
  <si>
    <t>Feneris den 4 July</t>
  </si>
  <si>
    <t>pagexml-inventory-3861-year-1794-scan-10-page-19-col-0-tr-1-line-0</t>
  </si>
  <si>
    <t>Sabbath den 5 July</t>
  </si>
  <si>
    <t>Jovis den 3 July</t>
  </si>
  <si>
    <t>1781-03-28</t>
  </si>
  <si>
    <t>Mercurii den 28 Maart</t>
  </si>
  <si>
    <t>pagexml-inventory-3836-year-1781-scan-307-page-613-col-1-tr-2-line-0</t>
  </si>
  <si>
    <t>Jovis den 29 Maart</t>
  </si>
  <si>
    <t>Martis den 27 Maart</t>
  </si>
  <si>
    <t>1770-06-17</t>
  </si>
  <si>
    <t>Sabbathi den 16 Juny</t>
  </si>
  <si>
    <t>1715-05-14</t>
  </si>
  <si>
    <t>Martis aen 14. Me</t>
  </si>
  <si>
    <t>pagexml-inventory-3770-year-1715-scan-259-page-517-col-1-tr-2-line-0</t>
  </si>
  <si>
    <t>Mercurii den 15. Me</t>
  </si>
  <si>
    <t>Lune den 13. Mey</t>
  </si>
  <si>
    <t>1726-05-21</t>
  </si>
  <si>
    <t>Martis den 21, Me</t>
  </si>
  <si>
    <t>pagexml-inventory-3781-year-1726-scan-220-page-439-col-1-tr-1-line-0</t>
  </si>
  <si>
    <t>Mercurii den 22. Me</t>
  </si>
  <si>
    <t>Dominica den 19. Me</t>
  </si>
  <si>
    <t>1730-11-20</t>
  </si>
  <si>
    <t>Dominica den 12, Novembe</t>
  </si>
  <si>
    <t>pagexml-inventory-3785-year-1730-scan-396-page-791-col-0-tr-3-line-0</t>
  </si>
  <si>
    <t>Martis den 14, Novembe</t>
  </si>
  <si>
    <t>1758-11-03</t>
  </si>
  <si>
    <t>rentis dek 3 November</t>
  </si>
  <si>
    <t>pagexml-inventory-3813-year-1758-scan-451-page-901-col-2-tr-0-line-78</t>
  </si>
  <si>
    <t>Sabbatbider 4 November</t>
  </si>
  <si>
    <t>Jovis den 2 November</t>
  </si>
  <si>
    <t>1739-10-20</t>
  </si>
  <si>
    <t>Martis den 20 Oftober</t>
  </si>
  <si>
    <t>pagexml-inventory-3794-year-1739-scan-345-page-689-col-1-tr-1-line-0</t>
  </si>
  <si>
    <t>Mercurii den 21 Oftober</t>
  </si>
  <si>
    <t>Lune den 19 October</t>
  </si>
  <si>
    <t>1761-11-09</t>
  </si>
  <si>
    <t>u bbathi den 7 November</t>
  </si>
  <si>
    <t>pagexml-inventory-3816-year-1761-scan-447-page-892-col-1-tr-1-line-1</t>
  </si>
  <si>
    <t>Martis den 10 November</t>
  </si>
  <si>
    <t>Veneris den. 6 Novembe</t>
  </si>
  <si>
    <t>1779-10-04</t>
  </si>
  <si>
    <t>pagexml-inventory-3834-year-1779-scan-494-page-986-col-2-tr-0-line-0</t>
  </si>
  <si>
    <t>1711-12-29</t>
  </si>
  <si>
    <t>Martis den 219. Decemb</t>
  </si>
  <si>
    <t>pagexml-inventory-3766-year-1711-scan-791-page-1581-col-1-tr-3-line-0</t>
  </si>
  <si>
    <t>Mercuri den 30. December</t>
  </si>
  <si>
    <t>1795-03-26</t>
  </si>
  <si>
    <t>Mercurij den 25 Maart</t>
  </si>
  <si>
    <t>1764-04-28</t>
  </si>
  <si>
    <t>Sabbathi den 28 April</t>
  </si>
  <si>
    <t>pagexml-inventory-3819-year-1764-scan-205-page-408-col-1-tr-1-line-0</t>
  </si>
  <si>
    <t>Veneris den 27 April</t>
  </si>
  <si>
    <t>1727-08-13</t>
  </si>
  <si>
    <t>1757-09-26</t>
  </si>
  <si>
    <t>Sabbathi den 24 September</t>
  </si>
  <si>
    <t>pagexml-inventory-3812-year-1757-scan-421-page-841-col-0-tr-0-line-33</t>
  </si>
  <si>
    <t>Martis den 27 September</t>
  </si>
  <si>
    <t>Veneris den 23 September</t>
  </si>
  <si>
    <t>1761-05-05</t>
  </si>
  <si>
    <t>Martis den 5 Mey</t>
  </si>
  <si>
    <t>pagexml-inventory-3816-year-1761-scan-235-page-469-col-0-tr-3-line-0</t>
  </si>
  <si>
    <t>Mercurii den 6 Mey</t>
  </si>
  <si>
    <t>1753-09-05</t>
  </si>
  <si>
    <t>pagexml-inventory-3808-year-1753-scan-359-page-717-col-1-tr-1-line-19</t>
  </si>
  <si>
    <t>Jovis den 6 September</t>
  </si>
  <si>
    <t>correct</t>
  </si>
  <si>
    <t>Count of has_meeting</t>
  </si>
  <si>
    <t>Row Labels</t>
  </si>
  <si>
    <t>(blank)</t>
  </si>
  <si>
    <t>Grand Total</t>
  </si>
  <si>
    <t>Column Labels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</si>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</sst>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jn Koolen" refreshedDate="43923.467287037034" createdVersion="6" refreshedVersion="6" minRefreshableVersion="3" recordCount="101" xr:uid="{3F898747-7E55-BB40-AA3B-5348812BAE42}">
  <cacheSource type="worksheet">
    <worksheetSource ref="A1:B1048576" sheet="Sheet1"/>
  </cacheSource>
  <cacheFields count="2">
    <cacheField name="has_meeting" numFmtId="0">
      <sharedItems containsBlank="1" count="3">
        <b v="1"/>
        <b v="0"/>
        <m/>
      </sharedItems>
    </cacheField>
    <cacheField name="corre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26D89-B33B-B54D-A2CD-D48E68CF2F5E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9:H14" firstHeaderRow="1" firstDataRow="2" firstDataCol="1"/>
  <pivotFields count="2">
    <pivotField axis="axisCol" dataField="1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has_mee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workbookViewId="0">
      <selection activeCell="F1" sqref="E1:F1048576"/>
    </sheetView>
  </sheetViews>
  <sheetFormatPr baseColWidth="10" defaultColWidth="8.83203125" defaultRowHeight="15" x14ac:dyDescent="0.2"/>
  <cols>
    <col min="1" max="1" width="17.83203125" customWidth="1"/>
    <col min="3" max="3" width="33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 t="s">
        <v>21</v>
      </c>
      <c r="C2" t="s">
        <v>22</v>
      </c>
      <c r="D2" t="b">
        <v>1</v>
      </c>
      <c r="E2" t="b">
        <v>1</v>
      </c>
      <c r="F2">
        <v>1</v>
      </c>
      <c r="G2" t="s">
        <v>23</v>
      </c>
      <c r="H2">
        <v>3816</v>
      </c>
      <c r="I2">
        <v>137</v>
      </c>
      <c r="J2">
        <v>273</v>
      </c>
      <c r="K2">
        <v>1</v>
      </c>
      <c r="L2">
        <v>1</v>
      </c>
      <c r="M2">
        <v>0</v>
      </c>
      <c r="N2" t="str">
        <f>HYPERLINK("https://images.diginfra.net/framed3.html?imagesetuuid=1c2c3458-ea9f-4ec5-811c-cef54972a496&amp;uri=https://images.diginfra.net/iiif/NL-HaNA_1.01.02/3816/NL-HaNA_1.01.02_3816_0137.jpg", "viewer_url")</f>
        <v>viewer_url</v>
      </c>
      <c r="O2" t="str">
        <f>HYPERLINK("https://images.diginfra.net/iiif/NL-HaNA_1.01.02/3816/NL-HaNA_1.01.02_3816_0137.jpg/3499,772,805,314/full/0/default.jpg", "iiif_url")</f>
        <v>iiif_url</v>
      </c>
      <c r="P2" t="s">
        <v>24</v>
      </c>
      <c r="Q2" t="str">
        <f>HYPERLINK("https://images.diginfra.net/framed3.html?imagesetuuid=1c2c3458-ea9f-4ec5-811c-cef54972a496&amp;uri=https://images.diginfra.net/iiif/NL-HaNA_1.01.02/3816/NL-HaNA_1.01.02_3816_0139.jpg", "next_meeting_viewer_url")</f>
        <v>next_meeting_viewer_url</v>
      </c>
      <c r="R2" t="str">
        <f>HYPERLINK("https://images.diginfra.net/iiif/NL-HaNA_1.01.02/3816/NL-HaNA_1.01.02_3816_0139.jpg/346,552,825,308/full/0/default.jpg", "next_meeting_iiif_url")</f>
        <v>next_meeting_iiif_url</v>
      </c>
      <c r="S2" t="s">
        <v>25</v>
      </c>
      <c r="T2" t="str">
        <f>HYPERLINK("https://images.diginfra.net/framed3.html?imagesetuuid=1c2c3458-ea9f-4ec5-811c-cef54972a496&amp;uri=https://images.diginfra.net/iiif/NL-HaNA_1.01.02/3816/NL-HaNA_1.01.02_3816_0137.jpg", "prev_meeting_viewer_url")</f>
        <v>prev_meeting_viewer_url</v>
      </c>
      <c r="U2" t="str">
        <f>HYPERLINK("https://images.diginfra.net/iiif/NL-HaNA_1.01.02/3816/NL-HaNA_1.01.02_3816_0137.jpg/401,531,751,313/full/0/default.jpg", "prev_meeting_iiif_url")</f>
        <v>prev_meeting_iiif_url</v>
      </c>
    </row>
    <row r="3" spans="1:21" x14ac:dyDescent="0.2">
      <c r="A3" t="s">
        <v>26</v>
      </c>
      <c r="B3" t="s">
        <v>27</v>
      </c>
      <c r="C3" t="s">
        <v>28</v>
      </c>
      <c r="D3" t="b">
        <v>1</v>
      </c>
      <c r="E3" t="b">
        <v>1</v>
      </c>
      <c r="F3">
        <v>1</v>
      </c>
      <c r="G3" t="s">
        <v>29</v>
      </c>
      <c r="H3">
        <v>3772</v>
      </c>
      <c r="I3">
        <v>124</v>
      </c>
      <c r="J3">
        <v>246</v>
      </c>
      <c r="K3">
        <v>0</v>
      </c>
      <c r="L3">
        <v>2</v>
      </c>
      <c r="M3">
        <v>0</v>
      </c>
      <c r="N3" t="str">
        <f>HYPERLINK("https://images.diginfra.net/framed3.html?imagesetuuid=7816564e-398d-48a2-b251-a02a50cc0b59&amp;uri=https://images.diginfra.net/iiif/NL-HaNA_1.01.02/3772/NL-HaNA_1.01.02_3772_0124.jpg", "viewer_url")</f>
        <v>viewer_url</v>
      </c>
      <c r="O3" t="str">
        <f>HYPERLINK("https://images.diginfra.net/iiif/NL-HaNA_1.01.02/3772/NL-HaNA_1.01.02_3772_0124.jpg/401,1695,742,311/full/0/default.jpg", "iiif_url")</f>
        <v>iiif_url</v>
      </c>
      <c r="P3" t="s">
        <v>30</v>
      </c>
      <c r="Q3" t="str">
        <f>HYPERLINK("https://images.diginfra.net/framed3.html?imagesetuuid=7816564e-398d-48a2-b251-a02a50cc0b59&amp;uri=https://images.diginfra.net/iiif/NL-HaNA_1.01.02/3772/NL-HaNA_1.01.02_3772_0125.jpg", "next_meeting_viewer_url")</f>
        <v>next_meeting_viewer_url</v>
      </c>
      <c r="R3" t="str">
        <f>HYPERLINK("https://images.diginfra.net/iiif/NL-HaNA_1.01.02/3772/NL-HaNA_1.01.02_3772_0125.jpg/356,3059,776,322/full/0/default.jpg", "next_meeting_iiif_url")</f>
        <v>next_meeting_iiif_url</v>
      </c>
      <c r="S3" t="s">
        <v>31</v>
      </c>
      <c r="T3" t="str">
        <f>HYPERLINK("https://images.diginfra.net/framed3.html?imagesetuuid=7816564e-398d-48a2-b251-a02a50cc0b59&amp;uri=https://images.diginfra.net/iiif/NL-HaNA_1.01.02/3772/NL-HaNA_1.01.02_3772_0122.jpg", "prev_meeting_viewer_url")</f>
        <v>prev_meeting_viewer_url</v>
      </c>
      <c r="U3" t="str">
        <f>HYPERLINK("https://images.diginfra.net/iiif/NL-HaNA_1.01.02/3772/NL-HaNA_1.01.02_3772_0122.jpg/2634,1963,722,318/full/0/default.jpg", "prev_meeting_iiif_url")</f>
        <v>prev_meeting_iiif_url</v>
      </c>
    </row>
    <row r="4" spans="1:21" x14ac:dyDescent="0.2">
      <c r="A4" t="s">
        <v>32</v>
      </c>
      <c r="B4" t="s">
        <v>21</v>
      </c>
      <c r="C4" t="s">
        <v>33</v>
      </c>
      <c r="D4" t="b">
        <v>1</v>
      </c>
      <c r="E4" t="b">
        <v>1</v>
      </c>
      <c r="F4">
        <v>1</v>
      </c>
      <c r="G4" t="s">
        <v>34</v>
      </c>
      <c r="H4">
        <v>3763</v>
      </c>
      <c r="I4">
        <v>402</v>
      </c>
      <c r="J4">
        <v>803</v>
      </c>
      <c r="K4">
        <v>0</v>
      </c>
      <c r="L4">
        <v>1</v>
      </c>
      <c r="M4">
        <v>0</v>
      </c>
      <c r="N4" t="str">
        <f>HYPERLINK("https://images.diginfra.net/framed3.html?imagesetuuid=168ac05c-00de-43e1-bb35-d8e406b92363&amp;uri=https://images.diginfra.net/iiif/NL-HaNA_1.01.02/3763/NL-HaNA_1.01.02_3763_0402.jpg", "viewer_url")</f>
        <v>viewer_url</v>
      </c>
      <c r="O4" t="str">
        <f>HYPERLINK("https://images.diginfra.net/iiif/NL-HaNA_1.01.02/3763/NL-HaNA_1.01.02_3763_0402.jpg/2556,1444,779,316/full/0/default.jpg", "iiif_url")</f>
        <v>iiif_url</v>
      </c>
      <c r="P4" t="s">
        <v>35</v>
      </c>
      <c r="Q4" t="str">
        <f>HYPERLINK("https://images.diginfra.net/framed3.html?imagesetuuid=168ac05c-00de-43e1-bb35-d8e406b92363&amp;uri=https://images.diginfra.net/iiif/NL-HaNA_1.01.02/3763/NL-HaNA_1.01.02_3763_0404.jpg", "next_meeting_viewer_url")</f>
        <v>next_meeting_viewer_url</v>
      </c>
      <c r="R4" t="str">
        <f>HYPERLINK("https://images.diginfra.net/iiif/NL-HaNA_1.01.02/3763/NL-HaNA_1.01.02_3763_0404.jpg/2572,1951,767,307/full/0/default.jpg", "next_meeting_iiif_url")</f>
        <v>next_meeting_iiif_url</v>
      </c>
      <c r="S4" t="s">
        <v>36</v>
      </c>
      <c r="T4" t="str">
        <f>HYPERLINK("https://images.diginfra.net/framed3.html?imagesetuuid=168ac05c-00de-43e1-bb35-d8e406b92363&amp;uri=https://images.diginfra.net/iiif/NL-HaNA_1.01.02/3763/NL-HaNA_1.01.02_3763_0400.jpg", "prev_meeting_viewer_url")</f>
        <v>prev_meeting_viewer_url</v>
      </c>
      <c r="U4" t="str">
        <f>HYPERLINK("https://images.diginfra.net/iiif/NL-HaNA_1.01.02/3763/NL-HaNA_1.01.02_3763_0400.jpg/3523,2399,719,306/full/0/default.jpg", "prev_meeting_iiif_url")</f>
        <v>prev_meeting_iiif_url</v>
      </c>
    </row>
    <row r="5" spans="1:21" x14ac:dyDescent="0.2">
      <c r="A5" t="s">
        <v>37</v>
      </c>
      <c r="B5" t="s">
        <v>38</v>
      </c>
      <c r="C5" t="s">
        <v>39</v>
      </c>
      <c r="D5" t="b">
        <v>1</v>
      </c>
      <c r="E5" t="b">
        <v>1</v>
      </c>
      <c r="F5">
        <v>1</v>
      </c>
      <c r="G5" t="s">
        <v>40</v>
      </c>
      <c r="H5">
        <v>3833</v>
      </c>
      <c r="I5">
        <v>489</v>
      </c>
      <c r="J5">
        <v>976</v>
      </c>
      <c r="K5">
        <v>1</v>
      </c>
      <c r="L5">
        <v>1</v>
      </c>
      <c r="M5">
        <v>0</v>
      </c>
      <c r="N5" t="str">
        <f>HYPERLINK("https://images.diginfra.net/framed3.html?imagesetuuid=93b95c12-1805-42f5-98c6-c352681b46bb&amp;uri=https://images.diginfra.net/iiif/NL-HaNA_1.01.02/3833/NL-HaNA_1.01.02_3833_0489.jpg", "viewer_url")</f>
        <v>viewer_url</v>
      </c>
      <c r="O5" t="str">
        <f>HYPERLINK("https://images.diginfra.net/iiif/NL-HaNA_1.01.02/3833/NL-HaNA_1.01.02_3833_0489.jpg/1417,931,754,319/full/0/default.jpg", "iiif_url")</f>
        <v>iiif_url</v>
      </c>
      <c r="P5" t="s">
        <v>41</v>
      </c>
      <c r="Q5" t="str">
        <f>HYPERLINK("https://images.diginfra.net/framed3.html?imagesetuuid=93b95c12-1805-42f5-98c6-c352681b46bb&amp;uri=https://images.diginfra.net/iiif/NL-HaNA_1.01.02/3833/NL-HaNA_1.01.02_3833_0491.jpg", "next_meeting_viewer_url")</f>
        <v>next_meeting_viewer_url</v>
      </c>
      <c r="R5" t="str">
        <f>HYPERLINK("https://images.diginfra.net/iiif/NL-HaNA_1.01.02/3833/NL-HaNA_1.01.02_3833_0491.jpg/470,1182,810,311/full/0/default.jpg", "next_meeting_iiif_url")</f>
        <v>next_meeting_iiif_url</v>
      </c>
      <c r="S5" t="s">
        <v>42</v>
      </c>
      <c r="T5" t="str">
        <f>HYPERLINK("https://images.diginfra.net/framed3.html?imagesetuuid=93b95c12-1805-42f5-98c6-c352681b46bb&amp;uri=https://images.diginfra.net/iiif/NL-HaNA_1.01.02/3833/NL-HaNA_1.01.02_3833_0487.jpg", "prev_meeting_viewer_url")</f>
        <v>prev_meeting_viewer_url</v>
      </c>
      <c r="U5" t="str">
        <f>HYPERLINK("https://images.diginfra.net/iiif/NL-HaNA_1.01.02/3833/NL-HaNA_1.01.02_3833_0487.jpg/2485,2950,803,313/full/0/default.jpg", "prev_meeting_iiif_url")</f>
        <v>prev_meeting_iiif_url</v>
      </c>
    </row>
    <row r="6" spans="1:21" x14ac:dyDescent="0.2">
      <c r="A6" t="s">
        <v>43</v>
      </c>
      <c r="B6" t="s">
        <v>44</v>
      </c>
      <c r="C6" t="s">
        <v>45</v>
      </c>
      <c r="D6" t="b">
        <v>1</v>
      </c>
      <c r="E6" t="b">
        <v>1</v>
      </c>
      <c r="F6">
        <v>1</v>
      </c>
      <c r="G6" t="s">
        <v>46</v>
      </c>
      <c r="H6">
        <v>3834</v>
      </c>
      <c r="I6">
        <v>582</v>
      </c>
      <c r="J6">
        <v>1163</v>
      </c>
      <c r="K6">
        <v>0</v>
      </c>
      <c r="L6">
        <v>1</v>
      </c>
      <c r="M6">
        <v>0</v>
      </c>
      <c r="N6" t="str">
        <f>HYPERLINK("https://images.diginfra.net/framed3.html?imagesetuuid=bf11cd8e-e3f4-444c-9caa-dcdfd20137d7&amp;uri=https://images.diginfra.net/iiif/NL-HaNA_1.01.02/3834/NL-HaNA_1.01.02_3834_0582.jpg", "viewer_url")</f>
        <v>viewer_url</v>
      </c>
      <c r="O6" t="str">
        <f>HYPERLINK("https://images.diginfra.net/iiif/NL-HaNA_1.01.02/3834/NL-HaNA_1.01.02_3834_0582.jpg/2548,730,775,311/full/0/default.jpg", "iiif_url")</f>
        <v>iiif_url</v>
      </c>
      <c r="P6" t="s">
        <v>47</v>
      </c>
      <c r="Q6" t="str">
        <f>HYPERLINK("https://images.diginfra.net/framed3.html?imagesetuuid=bf11cd8e-e3f4-444c-9caa-dcdfd20137d7&amp;uri=https://images.diginfra.net/iiif/NL-HaNA_1.01.02/3834/NL-HaNA_1.01.02_3834_0583.jpg", "next_meeting_viewer_url")</f>
        <v>next_meeting_viewer_url</v>
      </c>
      <c r="R6" t="str">
        <f>HYPERLINK("https://images.diginfra.net/iiif/NL-HaNA_1.01.02/3834/NL-HaNA_1.01.02_3834_0583.jpg/409,2429,838,312/full/0/default.jpg", "next_meeting_iiif_url")</f>
        <v>next_meeting_iiif_url</v>
      </c>
      <c r="S6" t="s">
        <v>48</v>
      </c>
      <c r="T6" t="str">
        <f>HYPERLINK("https://images.diginfra.net/framed3.html?imagesetuuid=bf11cd8e-e3f4-444c-9caa-dcdfd20137d7&amp;uri=https://images.diginfra.net/iiif/NL-HaNA_1.01.02/3834/NL-HaNA_1.01.02_3834_0581.jpg", "prev_meeting_viewer_url")</f>
        <v>prev_meeting_viewer_url</v>
      </c>
      <c r="U6" t="str">
        <f>HYPERLINK("https://images.diginfra.net/iiif/NL-HaNA_1.01.02/3834/NL-HaNA_1.01.02_3834_0581.jpg/2453,922,884,314/full/0/default.jpg", "prev_meeting_iiif_url")</f>
        <v>prev_meeting_iiif_url</v>
      </c>
    </row>
    <row r="7" spans="1:21" x14ac:dyDescent="0.2">
      <c r="A7" t="s">
        <v>49</v>
      </c>
      <c r="B7" t="s">
        <v>44</v>
      </c>
      <c r="C7" t="s">
        <v>50</v>
      </c>
      <c r="D7" t="b">
        <v>1</v>
      </c>
      <c r="E7" t="b">
        <v>1</v>
      </c>
      <c r="F7">
        <v>1</v>
      </c>
      <c r="G7" t="s">
        <v>51</v>
      </c>
      <c r="H7">
        <v>3839</v>
      </c>
      <c r="I7">
        <v>24</v>
      </c>
      <c r="J7">
        <v>46</v>
      </c>
      <c r="K7">
        <v>0</v>
      </c>
      <c r="L7">
        <v>1</v>
      </c>
      <c r="M7">
        <v>0</v>
      </c>
      <c r="N7" t="str">
        <f>HYPERLINK("https://images.diginfra.net/framed3.html?imagesetuuid=bd074b51-3206-4dd9-b65b-2a404481d480&amp;uri=https://images.diginfra.net/iiif/NL-HaNA_1.01.02/3839/NL-HaNA_1.01.02_3839_0024.jpg", "viewer_url")</f>
        <v>viewer_url</v>
      </c>
      <c r="O7" t="str">
        <f>HYPERLINK("https://images.diginfra.net/iiif/NL-HaNA_1.01.02/3839/NL-HaNA_1.01.02_3839_0024.jpg/475,1156,657,313/full/0/default.jpg", "iiif_url")</f>
        <v>iiif_url</v>
      </c>
      <c r="P7" t="s">
        <v>52</v>
      </c>
      <c r="Q7" t="str">
        <f>HYPERLINK("https://images.diginfra.net/framed3.html?imagesetuuid=bd074b51-3206-4dd9-b65b-2a404481d480&amp;uri=https://images.diginfra.net/iiif/NL-HaNA_1.01.02/3839/NL-HaNA_1.01.02_3839_0025.jpg", "next_meeting_viewer_url")</f>
        <v>next_meeting_viewer_url</v>
      </c>
      <c r="R7" t="str">
        <f>HYPERLINK("https://images.diginfra.net/iiif/NL-HaNA_1.01.02/3839/NL-HaNA_1.01.02_3839_0025.jpg/1359,1578,718,314/full/0/default.jpg", "next_meeting_iiif_url")</f>
        <v>next_meeting_iiif_url</v>
      </c>
      <c r="S7" t="s">
        <v>53</v>
      </c>
      <c r="T7" t="str">
        <f>HYPERLINK("https://images.diginfra.net/framed3.html?imagesetuuid=bd074b51-3206-4dd9-b65b-2a404481d480&amp;uri=https://images.diginfra.net/iiif/NL-HaNA_1.01.02/3839/NL-HaNA_1.01.02_3839_0023.jpg", "prev_meeting_viewer_url")</f>
        <v>prev_meeting_viewer_url</v>
      </c>
      <c r="U7" t="str">
        <f>HYPERLINK("https://images.diginfra.net/iiif/NL-HaNA_1.01.02/3839/NL-HaNA_1.01.02_3839_0023.jpg/454,1956,729,314/full/0/default.jpg", "prev_meeting_iiif_url")</f>
        <v>prev_meeting_iiif_url</v>
      </c>
    </row>
    <row r="8" spans="1:21" x14ac:dyDescent="0.2">
      <c r="A8" t="s">
        <v>54</v>
      </c>
      <c r="B8" t="s">
        <v>55</v>
      </c>
      <c r="D8" t="b">
        <v>0</v>
      </c>
      <c r="E8" t="b">
        <v>0</v>
      </c>
      <c r="F8">
        <v>1</v>
      </c>
      <c r="P8" t="s">
        <v>56</v>
      </c>
      <c r="Q8" t="str">
        <f>HYPERLINK("https://images.diginfra.net/framed3.html?imagesetuuid=cb4f4e9c-bdd8-4992-9de8-6ddd9348148f&amp;uri=https://images.diginfra.net/iiif/NL-HaNA_1.01.02/3827/NL-HaNA_1.01.02_3827_0481.jpg", "next_meeting_viewer_url")</f>
        <v>next_meeting_viewer_url</v>
      </c>
      <c r="R8" t="str">
        <f>HYPERLINK("https://images.diginfra.net/iiif/NL-HaNA_1.01.02/3827/NL-HaNA_1.01.02_3827_0481.jpg/1282,1250,846,318/full/0/default.jpg", "next_meeting_iiif_url")</f>
        <v>next_meeting_iiif_url</v>
      </c>
      <c r="S8" t="s">
        <v>56</v>
      </c>
      <c r="T8" t="str">
        <f>HYPERLINK("https://images.diginfra.net/framed3.html?imagesetuuid=cb4f4e9c-bdd8-4992-9de8-6ddd9348148f&amp;uri=https://images.diginfra.net/iiif/NL-HaNA_1.01.02/3827/NL-HaNA_1.01.02_3827_0481.jpg", "prev_meeting_viewer_url")</f>
        <v>prev_meeting_viewer_url</v>
      </c>
      <c r="U8" t="str">
        <f>HYPERLINK("https://images.diginfra.net/iiif/NL-HaNA_1.01.02/3827/NL-HaNA_1.01.02_3827_0481.jpg/1282,1250,846,318/full/0/default.jpg", "prev_meeting_iiif_url")</f>
        <v>prev_meeting_iiif_url</v>
      </c>
    </row>
    <row r="9" spans="1:21" x14ac:dyDescent="0.2">
      <c r="A9" t="s">
        <v>57</v>
      </c>
      <c r="B9" t="s">
        <v>44</v>
      </c>
      <c r="D9" t="b">
        <v>1</v>
      </c>
      <c r="E9" t="b">
        <v>0</v>
      </c>
      <c r="F9">
        <v>0</v>
      </c>
    </row>
    <row r="10" spans="1:21" x14ac:dyDescent="0.2">
      <c r="A10" t="s">
        <v>58</v>
      </c>
      <c r="B10" t="s">
        <v>27</v>
      </c>
      <c r="C10" t="s">
        <v>59</v>
      </c>
      <c r="D10" t="b">
        <v>1</v>
      </c>
      <c r="E10" t="b">
        <v>1</v>
      </c>
      <c r="F10">
        <v>1</v>
      </c>
      <c r="G10" t="s">
        <v>60</v>
      </c>
      <c r="H10">
        <v>3798</v>
      </c>
      <c r="I10">
        <v>328</v>
      </c>
      <c r="J10">
        <v>654</v>
      </c>
      <c r="K10">
        <v>0</v>
      </c>
      <c r="L10">
        <v>1</v>
      </c>
      <c r="M10">
        <v>2</v>
      </c>
      <c r="N10" t="str">
        <f>HYPERLINK("https://images.diginfra.net/framed3.html?imagesetuuid=c3e98c27-09b5-46e4-b19a-b811d240b059&amp;uri=https://images.diginfra.net/iiif/NL-HaNA_1.01.02/3798/NL-HaNA_1.01.02_3798_0328.jpg", "viewer_url")</f>
        <v>viewer_url</v>
      </c>
      <c r="O10" t="str">
        <f>HYPERLINK("https://images.diginfra.net/iiif/NL-HaNA_1.01.02/3798/NL-HaNA_1.01.02_3798_0328.jpg/441,2008,954,321/full/0/default.jpg", "iiif_url")</f>
        <v>iiif_url</v>
      </c>
      <c r="P10" t="s">
        <v>61</v>
      </c>
      <c r="Q10" t="str">
        <f>HYPERLINK("https://images.diginfra.net/framed3.html?imagesetuuid=c3e98c27-09b5-46e4-b19a-b811d240b059&amp;uri=https://images.diginfra.net/iiif/NL-HaNA_1.01.02/3798/NL-HaNA_1.01.02_3798_0329.jpg", "next_meeting_viewer_url")</f>
        <v>next_meeting_viewer_url</v>
      </c>
      <c r="R10" t="str">
        <f>HYPERLINK("https://images.diginfra.net/iiif/NL-HaNA_1.01.02/3798/NL-HaNA_1.01.02_3798_0329.jpg/3451,2357,867,310/full/0/default.jpg", "next_meeting_iiif_url")</f>
        <v>next_meeting_iiif_url</v>
      </c>
      <c r="S10" t="s">
        <v>62</v>
      </c>
      <c r="T10" t="str">
        <f>HYPERLINK("https://images.diginfra.net/framed3.html?imagesetuuid=c3e98c27-09b5-46e4-b19a-b811d240b059&amp;uri=https://images.diginfra.net/iiif/NL-HaNA_1.01.02/3798/NL-HaNA_1.01.02_3798_0326.jpg", "prev_meeting_viewer_url")</f>
        <v>prev_meeting_viewer_url</v>
      </c>
      <c r="U10" t="str">
        <f>HYPERLINK("https://images.diginfra.net/iiif/NL-HaNA_1.01.02/3798/NL-HaNA_1.01.02_3798_0326.jpg/3469,2711,844,327/full/0/default.jpg", "prev_meeting_iiif_url")</f>
        <v>prev_meeting_iiif_url</v>
      </c>
    </row>
    <row r="11" spans="1:21" x14ac:dyDescent="0.2">
      <c r="A11" t="s">
        <v>63</v>
      </c>
      <c r="B11" t="s">
        <v>44</v>
      </c>
      <c r="C11" t="s">
        <v>64</v>
      </c>
      <c r="D11" t="b">
        <v>1</v>
      </c>
      <c r="E11" t="b">
        <v>1</v>
      </c>
      <c r="F11">
        <v>1</v>
      </c>
      <c r="G11" t="s">
        <v>65</v>
      </c>
      <c r="H11">
        <v>3792</v>
      </c>
      <c r="I11">
        <v>222</v>
      </c>
      <c r="J11">
        <v>443</v>
      </c>
      <c r="K11">
        <v>0</v>
      </c>
      <c r="L11">
        <v>1</v>
      </c>
      <c r="M11">
        <v>0</v>
      </c>
      <c r="N11" t="str">
        <f>HYPERLINK("https://images.diginfra.net/framed3.html?imagesetuuid=507d79a4-2a42-4e84-afa5-a9ccb1e544fe&amp;uri=https://images.diginfra.net/iiif/NL-HaNA_1.01.02/3792/NL-HaNA_1.01.02_3792_0222.jpg", "viewer_url")</f>
        <v>viewer_url</v>
      </c>
      <c r="O11" t="str">
        <f>HYPERLINK("https://images.diginfra.net/iiif/NL-HaNA_1.01.02/3792/NL-HaNA_1.01.02_3792_0222.jpg/2706,1289,720,314/full/0/default.jpg", "iiif_url")</f>
        <v>iiif_url</v>
      </c>
      <c r="P11" t="s">
        <v>66</v>
      </c>
      <c r="Q11" t="str">
        <f>HYPERLINK("https://images.diginfra.net/framed3.html?imagesetuuid=507d79a4-2a42-4e84-afa5-a9ccb1e544fe&amp;uri=https://images.diginfra.net/iiif/NL-HaNA_1.01.02/3792/NL-HaNA_1.01.02_3792_0223.jpg", "next_meeting_viewer_url")</f>
        <v>next_meeting_viewer_url</v>
      </c>
      <c r="R11" t="str">
        <f>HYPERLINK("https://images.diginfra.net/iiif/NL-HaNA_1.01.02/3792/NL-HaNA_1.01.02_3792_0223.jpg/1403,1719,748,320/full/0/default.jpg", "next_meeting_iiif_url")</f>
        <v>next_meeting_iiif_url</v>
      </c>
      <c r="S11" t="s">
        <v>67</v>
      </c>
      <c r="T11" t="str">
        <f>HYPERLINK("https://images.diginfra.net/framed3.html?imagesetuuid=507d79a4-2a42-4e84-afa5-a9ccb1e544fe&amp;uri=https://images.diginfra.net/iiif/NL-HaNA_1.01.02/3792/NL-HaNA_1.01.02_3792_0222.jpg", "prev_meeting_viewer_url")</f>
        <v>prev_meeting_viewer_url</v>
      </c>
      <c r="U11" t="str">
        <f>HYPERLINK("https://images.diginfra.net/iiif/NL-HaNA_1.01.02/3792/NL-HaNA_1.01.02_3792_0222.jpg/416,1213,764,315/full/0/default.jpg", "prev_meeting_iiif_url")</f>
        <v>prev_meeting_iiif_url</v>
      </c>
    </row>
    <row r="12" spans="1:21" x14ac:dyDescent="0.2">
      <c r="A12" t="s">
        <v>68</v>
      </c>
      <c r="B12" t="s">
        <v>27</v>
      </c>
      <c r="D12" t="b">
        <v>0</v>
      </c>
      <c r="E12" t="b">
        <v>0</v>
      </c>
      <c r="F12">
        <v>1</v>
      </c>
      <c r="S12" t="s">
        <v>69</v>
      </c>
      <c r="T12" t="str">
        <f>HYPERLINK("https://images.diginfra.net/framed3.html?imagesetuuid=19a3f39b-117a-4ab7-b45b-5e134b099649&amp;uri=https://images.diginfra.net/iiif/NL-HaNA_1.01.02/3813/NL-HaNA_1.01.02_3813_0178.jpg", "prev_meeting_viewer_url")</f>
        <v>prev_meeting_viewer_url</v>
      </c>
      <c r="U12" t="str">
        <f>HYPERLINK("https://images.diginfra.net/iiif/NL-HaNA_1.01.02/3813/NL-HaNA_1.01.02_3813_0178.jpg/2554,1376,747,309/full/0/default.jpg", "prev_meeting_iiif_url")</f>
        <v>prev_meeting_iiif_url</v>
      </c>
    </row>
    <row r="13" spans="1:21" x14ac:dyDescent="0.2">
      <c r="A13" t="s">
        <v>70</v>
      </c>
      <c r="B13" t="s">
        <v>71</v>
      </c>
      <c r="C13" t="s">
        <v>72</v>
      </c>
      <c r="D13" t="b">
        <v>1</v>
      </c>
      <c r="E13" t="b">
        <v>1</v>
      </c>
      <c r="F13">
        <v>1</v>
      </c>
      <c r="G13" t="s">
        <v>73</v>
      </c>
      <c r="H13">
        <v>3830</v>
      </c>
      <c r="I13">
        <v>423</v>
      </c>
      <c r="J13">
        <v>844</v>
      </c>
      <c r="K13">
        <v>1</v>
      </c>
      <c r="L13">
        <v>1</v>
      </c>
      <c r="M13">
        <v>0</v>
      </c>
      <c r="N13" t="str">
        <f>HYPERLINK("https://images.diginfra.net/framed3.html?imagesetuuid=c4957ef5-1023-495b-ad5d-bfab5967cb29&amp;uri=https://images.diginfra.net/iiif/NL-HaNA_1.01.02/3830/NL-HaNA_1.01.02_3830_0423.jpg", "viewer_url")</f>
        <v>viewer_url</v>
      </c>
      <c r="O13" t="str">
        <f>HYPERLINK("https://images.diginfra.net/iiif/NL-HaNA_1.01.02/3830/NL-HaNA_1.01.02_3830_0423.jpg/1288,2790,799,315/full/0/default.jpg", "iiif_url")</f>
        <v>iiif_url</v>
      </c>
      <c r="P13" t="s">
        <v>74</v>
      </c>
      <c r="Q13" t="str">
        <f>HYPERLINK("https://images.diginfra.net/framed3.html?imagesetuuid=c4957ef5-1023-495b-ad5d-bfab5967cb29&amp;uri=https://images.diginfra.net/iiif/NL-HaNA_1.01.02/3830/NL-HaNA_1.01.02_3830_0424.jpg", "next_meeting_viewer_url")</f>
        <v>next_meeting_viewer_url</v>
      </c>
      <c r="R13" t="str">
        <f>HYPERLINK("https://images.diginfra.net/iiif/NL-HaNA_1.01.02/3830/NL-HaNA_1.01.02_3830_0424.jpg/3452,2066,768,329/full/0/default.jpg", "next_meeting_iiif_url")</f>
        <v>next_meeting_iiif_url</v>
      </c>
      <c r="S13" t="s">
        <v>75</v>
      </c>
      <c r="T13" t="str">
        <f>HYPERLINK("https://images.diginfra.net/framed3.html?imagesetuuid=c4957ef5-1023-495b-ad5d-bfab5967cb29&amp;uri=https://images.diginfra.net/iiif/NL-HaNA_1.01.02/3830/NL-HaNA_1.01.02_3830_0422.jpg", "prev_meeting_viewer_url")</f>
        <v>prev_meeting_viewer_url</v>
      </c>
      <c r="U13" t="str">
        <f>HYPERLINK("https://images.diginfra.net/iiif/NL-HaNA_1.01.02/3830/NL-HaNA_1.01.02_3830_0422.jpg/382,2832,777,310/full/0/default.jpg", "prev_meeting_iiif_url")</f>
        <v>prev_meeting_iiif_url</v>
      </c>
    </row>
    <row r="14" spans="1:21" x14ac:dyDescent="0.2">
      <c r="A14" t="s">
        <v>76</v>
      </c>
      <c r="B14" t="s">
        <v>55</v>
      </c>
      <c r="C14" t="s">
        <v>77</v>
      </c>
      <c r="D14" t="b">
        <v>0</v>
      </c>
      <c r="E14" t="b">
        <v>1</v>
      </c>
      <c r="F14">
        <v>1</v>
      </c>
      <c r="G14" t="s">
        <v>78</v>
      </c>
      <c r="H14">
        <v>3794</v>
      </c>
      <c r="I14">
        <v>355</v>
      </c>
      <c r="J14">
        <v>708</v>
      </c>
      <c r="K14">
        <v>0</v>
      </c>
      <c r="L14">
        <v>1</v>
      </c>
      <c r="M14">
        <v>0</v>
      </c>
      <c r="N14" t="str">
        <f>HYPERLINK("https://images.diginfra.net/framed3.html?imagesetuuid=5debb5c6-ae39-480e-845e-6e10690f8984&amp;uri=https://images.diginfra.net/iiif/NL-HaNA_1.01.02/3794/NL-HaNA_1.01.02_3794_0355.jpg", "viewer_url")</f>
        <v>viewer_url</v>
      </c>
      <c r="O14" t="str">
        <f>HYPERLINK("https://images.diginfra.net/iiif/NL-HaNA_1.01.02/3794/NL-HaNA_1.01.02_3794_0355.jpg/424,1340,819,308/full/0/default.jpg", "iiif_url")</f>
        <v>iiif_url</v>
      </c>
      <c r="P14" t="s">
        <v>77</v>
      </c>
      <c r="Q14" t="str">
        <f>HYPERLINK("https://images.diginfra.net/framed3.html?imagesetuuid=5debb5c6-ae39-480e-845e-6e10690f8984&amp;uri=https://images.diginfra.net/iiif/NL-HaNA_1.01.02/3794/NL-HaNA_1.01.02_3794_0355.jpg", "next_meeting_viewer_url")</f>
        <v>next_meeting_viewer_url</v>
      </c>
      <c r="R14" t="str">
        <f>HYPERLINK("https://images.diginfra.net/iiif/NL-HaNA_1.01.02/3794/NL-HaNA_1.01.02_3794_0355.jpg/424,1340,819,308/full/0/default.jpg", "next_meeting_iiif_url")</f>
        <v>next_meeting_iiif_url</v>
      </c>
      <c r="S14" t="s">
        <v>79</v>
      </c>
      <c r="T14" t="str">
        <f>HYPERLINK("https://images.diginfra.net/framed3.html?imagesetuuid=5debb5c6-ae39-480e-845e-6e10690f8984&amp;uri=https://images.diginfra.net/iiif/NL-HaNA_1.01.02/3794/NL-HaNA_1.01.02_3794_0354.jpg", "prev_meeting_viewer_url")</f>
        <v>prev_meeting_viewer_url</v>
      </c>
      <c r="U14" t="str">
        <f>HYPERLINK("https://images.diginfra.net/iiif/NL-HaNA_1.01.02/3794/NL-HaNA_1.01.02_3794_0354.jpg/427,1713,780,313/full/0/default.jpg", "prev_meeting_iiif_url")</f>
        <v>prev_meeting_iiif_url</v>
      </c>
    </row>
    <row r="15" spans="1:21" x14ac:dyDescent="0.2">
      <c r="A15" t="s">
        <v>80</v>
      </c>
      <c r="B15" t="s">
        <v>71</v>
      </c>
      <c r="C15" t="s">
        <v>81</v>
      </c>
      <c r="D15" t="b">
        <v>1</v>
      </c>
      <c r="E15" t="b">
        <v>1</v>
      </c>
      <c r="F15">
        <v>0</v>
      </c>
      <c r="G15" t="s">
        <v>82</v>
      </c>
      <c r="H15">
        <v>3773</v>
      </c>
      <c r="I15">
        <v>187</v>
      </c>
      <c r="J15">
        <v>372</v>
      </c>
      <c r="K15">
        <v>1</v>
      </c>
      <c r="L15">
        <v>0</v>
      </c>
      <c r="M15">
        <v>0</v>
      </c>
      <c r="N15" t="str">
        <f>HYPERLINK("https://images.diginfra.net/framed3.html?imagesetuuid=0d0ede5e-a7f6-4a03-b996-493e50528c24&amp;uri=https://images.diginfra.net/iiif/NL-HaNA_1.01.02/3773/NL-HaNA_1.01.02_3773_0187.jpg", "viewer_url")</f>
        <v>viewer_url</v>
      </c>
      <c r="O15" t="str">
        <f>HYPERLINK("https://images.diginfra.net/iiif/NL-HaNA_1.01.02/3773/NL-HaNA_1.01.02_3773_0187.jpg/1438,473,668,312/full/0/default.jpg", "iiif_url")</f>
        <v>iiif_url</v>
      </c>
      <c r="P15" t="s">
        <v>83</v>
      </c>
      <c r="Q15" t="str">
        <f>HYPERLINK("https://images.diginfra.net/framed3.html?imagesetuuid=0d0ede5e-a7f6-4a03-b996-493e50528c24&amp;uri=https://images.diginfra.net/iiif/NL-HaNA_1.01.02/3773/NL-HaNA_1.01.02_3773_0189.jpg", "next_meeting_viewer_url")</f>
        <v>next_meeting_viewer_url</v>
      </c>
      <c r="R15" t="str">
        <f>HYPERLINK("https://images.diginfra.net/iiif/NL-HaNA_1.01.02/3773/NL-HaNA_1.01.02_3773_0189.jpg/1447,2396,690,315/full/0/default.jpg", "next_meeting_iiif_url")</f>
        <v>next_meeting_iiif_url</v>
      </c>
      <c r="S15" t="s">
        <v>84</v>
      </c>
      <c r="T15" t="str">
        <f>HYPERLINK("https://images.diginfra.net/framed3.html?imagesetuuid=0d0ede5e-a7f6-4a03-b996-493e50528c24&amp;uri=https://images.diginfra.net/iiif/NL-HaNA_1.01.02/3773/NL-HaNA_1.01.02_3773_0185.jpg", "prev_meeting_viewer_url")</f>
        <v>prev_meeting_viewer_url</v>
      </c>
      <c r="U15" t="str">
        <f>HYPERLINK("https://images.diginfra.net/iiif/NL-HaNA_1.01.02/3773/NL-HaNA_1.01.02_3773_0185.jpg/1388,1019,722,311/full/0/default.jpg", "prev_meeting_iiif_url")</f>
        <v>prev_meeting_iiif_url</v>
      </c>
    </row>
    <row r="16" spans="1:21" x14ac:dyDescent="0.2">
      <c r="A16" t="s">
        <v>85</v>
      </c>
      <c r="B16" t="s">
        <v>55</v>
      </c>
      <c r="C16" t="s">
        <v>86</v>
      </c>
      <c r="D16" t="b">
        <v>0</v>
      </c>
      <c r="E16" t="b">
        <v>1</v>
      </c>
      <c r="F16">
        <v>1</v>
      </c>
      <c r="G16" t="s">
        <v>87</v>
      </c>
      <c r="H16">
        <v>3771</v>
      </c>
      <c r="I16">
        <v>50</v>
      </c>
      <c r="J16">
        <v>99</v>
      </c>
      <c r="K16">
        <v>1</v>
      </c>
      <c r="L16">
        <v>1</v>
      </c>
      <c r="M16">
        <v>0</v>
      </c>
      <c r="N16" t="str">
        <f>HYPERLINK("https://images.diginfra.net/framed3.html?imagesetuuid=16b7bf4c-5e05-4e5e-b109-cf178ead6c3f&amp;uri=https://images.diginfra.net/iiif/NL-HaNA_1.01.02/3771/NL-HaNA_1.01.02_3771_0050.jpg", "viewer_url")</f>
        <v>viewer_url</v>
      </c>
      <c r="O16" t="str">
        <f>HYPERLINK("https://images.diginfra.net/iiif/NL-HaNA_1.01.02/3771/NL-HaNA_1.01.02_3771_0050.jpg/3578,2428,840,316/full/0/default.jpg", "iiif_url")</f>
        <v>iiif_url</v>
      </c>
      <c r="P16" t="s">
        <v>86</v>
      </c>
      <c r="Q16" t="str">
        <f>HYPERLINK("https://images.diginfra.net/framed3.html?imagesetuuid=16b7bf4c-5e05-4e5e-b109-cf178ead6c3f&amp;uri=https://images.diginfra.net/iiif/NL-HaNA_1.01.02/3771/NL-HaNA_1.01.02_3771_0050.jpg", "next_meeting_viewer_url")</f>
        <v>next_meeting_viewer_url</v>
      </c>
      <c r="R16" t="str">
        <f>HYPERLINK("https://images.diginfra.net/iiif/NL-HaNA_1.01.02/3771/NL-HaNA_1.01.02_3771_0050.jpg/3578,2428,840,316/full/0/default.jpg", "next_meeting_iiif_url")</f>
        <v>next_meeting_iiif_url</v>
      </c>
      <c r="T16" t="str">
        <f>HYPERLINK("https://images.diginfra.net/framed3.html?imagesetuuid=16b7bf4c-5e05-4e5e-b109-cf178ead6c3f&amp;uri=https://images.diginfra.net/iiif/NL-HaNA_1.01.02/3771/NL-HaNA_1.01.02_3771_0050.jpg", "prev_meeting_viewer_url")</f>
        <v>prev_meeting_viewer_url</v>
      </c>
      <c r="U16" t="str">
        <f>HYPERLINK("https://images.diginfra.net/iiif/NL-HaNA_1.01.02/3771/NL-HaNA_1.01.02_3771_0050.jpg/616,2155,332,305/full/0/default.jpg", "prev_meeting_iiif_url")</f>
        <v>prev_meeting_iiif_url</v>
      </c>
    </row>
    <row r="17" spans="1:21" x14ac:dyDescent="0.2">
      <c r="A17" t="s">
        <v>88</v>
      </c>
      <c r="B17" t="s">
        <v>38</v>
      </c>
      <c r="C17" t="s">
        <v>89</v>
      </c>
      <c r="D17" t="b">
        <v>1</v>
      </c>
      <c r="E17" t="b">
        <v>1</v>
      </c>
      <c r="F17">
        <v>1</v>
      </c>
      <c r="G17" t="s">
        <v>90</v>
      </c>
      <c r="H17">
        <v>3801</v>
      </c>
      <c r="I17">
        <v>152</v>
      </c>
      <c r="J17">
        <v>302</v>
      </c>
      <c r="K17">
        <v>0</v>
      </c>
      <c r="L17">
        <v>1</v>
      </c>
      <c r="M17">
        <v>0</v>
      </c>
      <c r="N17" t="str">
        <f>HYPERLINK("https://images.diginfra.net/framed3.html?imagesetuuid=f36c8416-59a8-4b1a-a82a-ef225cbd1971&amp;uri=https://images.diginfra.net/iiif/NL-HaNA_1.01.02/3801/NL-HaNA_1.01.02_3801_0152.jpg", "viewer_url")</f>
        <v>viewer_url</v>
      </c>
      <c r="O17" t="str">
        <f>HYPERLINK("https://images.diginfra.net/iiif/NL-HaNA_1.01.02/3801/NL-HaNA_1.01.02_3801_0152.jpg/582,677,735,311/full/0/default.jpg", "iiif_url")</f>
        <v>iiif_url</v>
      </c>
      <c r="P17" t="s">
        <v>91</v>
      </c>
      <c r="Q17" t="str">
        <f>HYPERLINK("https://images.diginfra.net/framed3.html?imagesetuuid=f36c8416-59a8-4b1a-a82a-ef225cbd1971&amp;uri=https://images.diginfra.net/iiif/NL-HaNA_1.01.02/3801/NL-HaNA_1.01.02_3801_0153.jpg", "next_meeting_viewer_url")</f>
        <v>next_meeting_viewer_url</v>
      </c>
      <c r="R17" t="str">
        <f>HYPERLINK("https://images.diginfra.net/iiif/NL-HaNA_1.01.02/3801/NL-HaNA_1.01.02_3801_0153.jpg/2592,2929,820,308/full/0/default.jpg", "next_meeting_iiif_url")</f>
        <v>next_meeting_iiif_url</v>
      </c>
      <c r="S17" t="s">
        <v>92</v>
      </c>
      <c r="T17" t="str">
        <f>HYPERLINK("https://images.diginfra.net/framed3.html?imagesetuuid=f36c8416-59a8-4b1a-a82a-ef225cbd1971&amp;uri=https://images.diginfra.net/iiif/NL-HaNA_1.01.02/3801/NL-HaNA_1.01.02_3801_0150.jpg", "prev_meeting_viewer_url")</f>
        <v>prev_meeting_viewer_url</v>
      </c>
      <c r="U17" t="str">
        <f>HYPERLINK("https://images.diginfra.net/iiif/NL-HaNA_1.01.02/3801/NL-HaNA_1.01.02_3801_0150.jpg/1472,2196,800,314/full/0/default.jpg", "prev_meeting_iiif_url")</f>
        <v>prev_meeting_iiif_url</v>
      </c>
    </row>
    <row r="18" spans="1:21" x14ac:dyDescent="0.2">
      <c r="A18" t="s">
        <v>93</v>
      </c>
      <c r="B18" t="s">
        <v>44</v>
      </c>
      <c r="C18" t="s">
        <v>94</v>
      </c>
      <c r="D18" t="b">
        <v>1</v>
      </c>
      <c r="E18" t="b">
        <v>1</v>
      </c>
      <c r="F18">
        <v>1</v>
      </c>
      <c r="G18" t="s">
        <v>95</v>
      </c>
      <c r="H18">
        <v>3764</v>
      </c>
      <c r="I18">
        <v>662</v>
      </c>
      <c r="J18">
        <v>1322</v>
      </c>
      <c r="K18">
        <v>0</v>
      </c>
      <c r="L18">
        <v>1</v>
      </c>
      <c r="M18">
        <v>0</v>
      </c>
      <c r="N18" t="str">
        <f>HYPERLINK("https://images.diginfra.net/framed3.html?imagesetuuid=111590de-8f08-498e-8bad-f6a289f87065&amp;uri=https://images.diginfra.net/iiif/NL-HaNA_1.01.02/3764/NL-HaNA_1.01.02_3764_0662.jpg", "viewer_url")</f>
        <v>viewer_url</v>
      </c>
      <c r="O18" t="str">
        <f>HYPERLINK("https://images.diginfra.net/iiif/NL-HaNA_1.01.02/3764/NL-HaNA_1.01.02_3764_0662.jpg/441,1639,759,316/full/0/default.jpg", "iiif_url")</f>
        <v>iiif_url</v>
      </c>
      <c r="P18" t="s">
        <v>96</v>
      </c>
      <c r="Q18" t="str">
        <f>HYPERLINK("https://images.diginfra.net/framed3.html?imagesetuuid=111590de-8f08-498e-8bad-f6a289f87065&amp;uri=https://images.diginfra.net/iiif/NL-HaNA_1.01.02/3764/NL-HaNA_1.01.02_3764_0664.jpg", "next_meeting_viewer_url")</f>
        <v>next_meeting_viewer_url</v>
      </c>
      <c r="R18" t="str">
        <f>HYPERLINK("https://images.diginfra.net/iiif/NL-HaNA_1.01.02/3764/NL-HaNA_1.01.02_3764_0664.jpg/2589,3017,796,307/full/0/default.jpg", "next_meeting_iiif_url")</f>
        <v>next_meeting_iiif_url</v>
      </c>
      <c r="S18" t="s">
        <v>97</v>
      </c>
      <c r="T18" t="str">
        <f>HYPERLINK("https://images.diginfra.net/framed3.html?imagesetuuid=111590de-8f08-498e-8bad-f6a289f87065&amp;uri=https://images.diginfra.net/iiif/NL-HaNA_1.01.02/3764/NL-HaNA_1.01.02_3764_0661.jpg", "prev_meeting_viewer_url")</f>
        <v>prev_meeting_viewer_url</v>
      </c>
      <c r="U18" t="str">
        <f>HYPERLINK("https://images.diginfra.net/iiif/NL-HaNA_1.01.02/3764/NL-HaNA_1.01.02_3764_0661.jpg/359,2200,847,318/full/0/default.jpg", "prev_meeting_iiif_url")</f>
        <v>prev_meeting_iiif_url</v>
      </c>
    </row>
    <row r="19" spans="1:21" x14ac:dyDescent="0.2">
      <c r="A19" t="s">
        <v>98</v>
      </c>
      <c r="B19" t="s">
        <v>27</v>
      </c>
      <c r="C19" t="s">
        <v>99</v>
      </c>
      <c r="D19" t="b">
        <v>1</v>
      </c>
      <c r="E19" t="b">
        <v>1</v>
      </c>
      <c r="F19">
        <v>1</v>
      </c>
      <c r="G19" t="s">
        <v>100</v>
      </c>
      <c r="H19">
        <v>3794</v>
      </c>
      <c r="I19">
        <v>89</v>
      </c>
      <c r="J19">
        <v>177</v>
      </c>
      <c r="K19">
        <v>1</v>
      </c>
      <c r="L19">
        <v>1</v>
      </c>
      <c r="M19">
        <v>0</v>
      </c>
      <c r="N19" t="str">
        <f>HYPERLINK("https://images.diginfra.net/framed3.html?imagesetuuid=5debb5c6-ae39-480e-845e-6e10690f8984&amp;uri=https://images.diginfra.net/iiif/NL-HaNA_1.01.02/3794/NL-HaNA_1.01.02_3794_0089.jpg", "viewer_url")</f>
        <v>viewer_url</v>
      </c>
      <c r="O19" t="str">
        <f>HYPERLINK("https://images.diginfra.net/iiif/NL-HaNA_1.01.02/3794/NL-HaNA_1.01.02_3794_0089.jpg/3545,511,819,322/full/0/default.jpg", "iiif_url")</f>
        <v>iiif_url</v>
      </c>
      <c r="P19" t="s">
        <v>101</v>
      </c>
      <c r="Q19" t="str">
        <f>HYPERLINK("https://images.diginfra.net/framed3.html?imagesetuuid=5debb5c6-ae39-480e-845e-6e10690f8984&amp;uri=https://images.diginfra.net/iiif/NL-HaNA_1.01.02/3794/NL-HaNA_1.01.02_3794_0091.jpg", "next_meeting_viewer_url")</f>
        <v>next_meeting_viewer_url</v>
      </c>
      <c r="R19" t="str">
        <f>HYPERLINK("https://images.diginfra.net/iiif/NL-HaNA_1.01.02/3794/NL-HaNA_1.01.02_3794_0091.jpg/1370,2440,848,312/full/0/default.jpg", "next_meeting_iiif_url")</f>
        <v>next_meeting_iiif_url</v>
      </c>
      <c r="S19" t="s">
        <v>102</v>
      </c>
      <c r="T19" t="str">
        <f>HYPERLINK("https://images.diginfra.net/framed3.html?imagesetuuid=5debb5c6-ae39-480e-845e-6e10690f8984&amp;uri=https://images.diginfra.net/iiif/NL-HaNA_1.01.02/3794/NL-HaNA_1.01.02_3794_0088.jpg", "prev_meeting_viewer_url")</f>
        <v>prev_meeting_viewer_url</v>
      </c>
      <c r="U19" t="str">
        <f>HYPERLINK("https://images.diginfra.net/iiif/NL-HaNA_1.01.02/3794/NL-HaNA_1.01.02_3794_0088.jpg/3552,764,801,310/full/0/default.jpg", "prev_meeting_iiif_url")</f>
        <v>prev_meeting_iiif_url</v>
      </c>
    </row>
    <row r="20" spans="1:21" x14ac:dyDescent="0.2">
      <c r="A20" t="s">
        <v>103</v>
      </c>
      <c r="B20" t="s">
        <v>104</v>
      </c>
      <c r="C20" t="s">
        <v>105</v>
      </c>
      <c r="D20" t="b">
        <v>1</v>
      </c>
      <c r="E20" t="b">
        <v>1</v>
      </c>
      <c r="F20">
        <v>1</v>
      </c>
      <c r="G20" t="s">
        <v>106</v>
      </c>
      <c r="H20">
        <v>3853</v>
      </c>
      <c r="I20">
        <v>395</v>
      </c>
      <c r="J20">
        <v>789</v>
      </c>
      <c r="K20">
        <v>0</v>
      </c>
      <c r="L20">
        <v>3</v>
      </c>
      <c r="M20">
        <v>0</v>
      </c>
      <c r="N20" t="str">
        <f>HYPERLINK("https://images.diginfra.net/framed3.html?imagesetuuid=70af21ed-3dea-44e0-a125-396f50f1c89e&amp;uri=https://images.diginfra.net/iiif/NL-HaNA_1.01.02/3853/NL-HaNA_1.01.02_3853_0395.jpg", "viewer_url")</f>
        <v>viewer_url</v>
      </c>
      <c r="O20" t="str">
        <f>HYPERLINK("https://images.diginfra.net/iiif/NL-HaNA_1.01.02/3853/NL-HaNA_1.01.02_3853_0395.jpg/2555,2313,840,311/full/0/default.jpg", "iiif_url")</f>
        <v>iiif_url</v>
      </c>
      <c r="P20" t="s">
        <v>107</v>
      </c>
      <c r="Q20" t="str">
        <f>HYPERLINK("https://images.diginfra.net/framed3.html?imagesetuuid=70af21ed-3dea-44e0-a125-396f50f1c89e&amp;uri=https://images.diginfra.net/iiif/NL-HaNA_1.01.02/3853/NL-HaNA_1.01.02_3853_0395.jpg", "next_meeting_viewer_url")</f>
        <v>next_meeting_viewer_url</v>
      </c>
      <c r="R20" t="str">
        <f>HYPERLINK("https://images.diginfra.net/iiif/NL-HaNA_1.01.02/3853/NL-HaNA_1.01.02_3853_0395.jpg/3555,1497,754,311/full/0/default.jpg", "next_meeting_iiif_url")</f>
        <v>next_meeting_iiif_url</v>
      </c>
      <c r="S20" t="s">
        <v>108</v>
      </c>
      <c r="T20" t="str">
        <f>HYPERLINK("https://images.diginfra.net/framed3.html?imagesetuuid=70af21ed-3dea-44e0-a125-396f50f1c89e&amp;uri=https://images.diginfra.net/iiif/NL-HaNA_1.01.02/3853/NL-HaNA_1.01.02_3853_0394.jpg", "prev_meeting_viewer_url")</f>
        <v>prev_meeting_viewer_url</v>
      </c>
      <c r="U20" t="str">
        <f>HYPERLINK("https://images.diginfra.net/iiif/NL-HaNA_1.01.02/3853/NL-HaNA_1.01.02_3853_0394.jpg/2615,2176,769,309/full/0/default.jpg", "prev_meeting_iiif_url")</f>
        <v>prev_meeting_iiif_url</v>
      </c>
    </row>
    <row r="21" spans="1:21" x14ac:dyDescent="0.2">
      <c r="A21" t="s">
        <v>109</v>
      </c>
      <c r="B21" t="s">
        <v>21</v>
      </c>
      <c r="D21" t="b">
        <v>0</v>
      </c>
      <c r="E21" t="b">
        <v>0</v>
      </c>
      <c r="F21">
        <v>1</v>
      </c>
      <c r="S21" t="s">
        <v>110</v>
      </c>
      <c r="T21" t="str">
        <f>HYPERLINK("https://images.diginfra.net/framed3.html?imagesetuuid=cce3dc39-04f4-4d57-b3db-fdf0a2653e66&amp;uri=https://images.diginfra.net/iiif/NL-HaNA_1.01.02/3776/NL-HaNA_1.01.02_3776_0497.jpg", "prev_meeting_viewer_url")</f>
        <v>prev_meeting_viewer_url</v>
      </c>
      <c r="U21" t="str">
        <f>HYPERLINK("https://images.diginfra.net/iiif/NL-HaNA_1.01.02/3776/NL-HaNA_1.01.02_3776_0497.jpg/1422,474,767,326/full/0/default.jpg", "prev_meeting_iiif_url")</f>
        <v>prev_meeting_iiif_url</v>
      </c>
    </row>
    <row r="22" spans="1:21" x14ac:dyDescent="0.2">
      <c r="A22" t="s">
        <v>111</v>
      </c>
      <c r="B22" t="s">
        <v>38</v>
      </c>
      <c r="C22" t="s">
        <v>112</v>
      </c>
      <c r="D22" t="b">
        <v>1</v>
      </c>
      <c r="E22" t="b">
        <v>1</v>
      </c>
      <c r="F22">
        <v>1</v>
      </c>
      <c r="G22" t="s">
        <v>113</v>
      </c>
      <c r="H22">
        <v>3814</v>
      </c>
      <c r="I22">
        <v>388</v>
      </c>
      <c r="J22">
        <v>775</v>
      </c>
      <c r="K22">
        <v>0</v>
      </c>
      <c r="L22">
        <v>1</v>
      </c>
      <c r="M22">
        <v>10</v>
      </c>
      <c r="N22" t="str">
        <f>HYPERLINK("https://images.diginfra.net/framed3.html?imagesetuuid=a95427fd-d131-4f1b-a2ee-069d038f458a&amp;uri=https://images.diginfra.net/iiif/NL-HaNA_1.01.02/3814/NL-HaNA_1.01.02_3814_0388.jpg", "viewer_url")</f>
        <v>viewer_url</v>
      </c>
      <c r="O22" t="str">
        <f>HYPERLINK("https://images.diginfra.net/iiif/NL-HaNA_1.01.02/3814/NL-HaNA_1.01.02_3814_0388.jpg/2525,2262,776,308/full/0/default.jpg", "iiif_url")</f>
        <v>iiif_url</v>
      </c>
      <c r="P22" t="s">
        <v>114</v>
      </c>
      <c r="Q22" t="str">
        <f>HYPERLINK("https://images.diginfra.net/framed3.html?imagesetuuid=a95427fd-d131-4f1b-a2ee-069d038f458a&amp;uri=https://images.diginfra.net/iiif/NL-HaNA_1.01.02/3814/NL-HaNA_1.01.02_3814_0390.jpg", "next_meeting_viewer_url")</f>
        <v>next_meeting_viewer_url</v>
      </c>
      <c r="R22" t="str">
        <f>HYPERLINK("https://images.diginfra.net/iiif/NL-HaNA_1.01.02/3814/NL-HaNA_1.01.02_3814_0390.jpg/428,1909,839,312/full/0/default.jpg", "next_meeting_iiif_url")</f>
        <v>next_meeting_iiif_url</v>
      </c>
      <c r="S22" t="s">
        <v>115</v>
      </c>
      <c r="T22" t="str">
        <f>HYPERLINK("https://images.diginfra.net/framed3.html?imagesetuuid=a95427fd-d131-4f1b-a2ee-069d038f458a&amp;uri=https://images.diginfra.net/iiif/NL-HaNA_1.01.02/3814/NL-HaNA_1.01.02_3814_0385.jpg", "prev_meeting_viewer_url")</f>
        <v>prev_meeting_viewer_url</v>
      </c>
      <c r="U22" t="str">
        <f>HYPERLINK("https://images.diginfra.net/iiif/NL-HaNA_1.01.02/3814/NL-HaNA_1.01.02_3814_0385.jpg/1352,2615,836,315/full/0/default.jpg", "prev_meeting_iiif_url")</f>
        <v>prev_meeting_iiif_url</v>
      </c>
    </row>
    <row r="23" spans="1:21" x14ac:dyDescent="0.2">
      <c r="A23" t="s">
        <v>116</v>
      </c>
      <c r="B23" t="s">
        <v>21</v>
      </c>
      <c r="C23" t="s">
        <v>117</v>
      </c>
      <c r="D23" t="b">
        <v>1</v>
      </c>
      <c r="E23" t="b">
        <v>1</v>
      </c>
      <c r="F23">
        <v>1</v>
      </c>
      <c r="G23" t="s">
        <v>118</v>
      </c>
      <c r="H23">
        <v>3764</v>
      </c>
      <c r="I23">
        <v>105</v>
      </c>
      <c r="J23">
        <v>209</v>
      </c>
      <c r="K23">
        <v>1</v>
      </c>
      <c r="L23">
        <v>2</v>
      </c>
      <c r="M23">
        <v>0</v>
      </c>
      <c r="N23" t="str">
        <f>HYPERLINK("https://images.diginfra.net/framed3.html?imagesetuuid=111590de-8f08-498e-8bad-f6a289f87065&amp;uri=https://images.diginfra.net/iiif/NL-HaNA_1.01.02/3764/NL-HaNA_1.01.02_3764_0105.jpg", "viewer_url")</f>
        <v>viewer_url</v>
      </c>
      <c r="O23" t="str">
        <f>HYPERLINK("https://images.diginfra.net/iiif/NL-HaNA_1.01.02/3764/NL-HaNA_1.01.02_3764_0105.jpg/3613,497,783,305/full/0/default.jpg", "iiif_url")</f>
        <v>iiif_url</v>
      </c>
      <c r="P23" t="s">
        <v>119</v>
      </c>
      <c r="Q23" t="str">
        <f>HYPERLINK("https://images.diginfra.net/framed3.html?imagesetuuid=111590de-8f08-498e-8bad-f6a289f87065&amp;uri=https://images.diginfra.net/iiif/NL-HaNA_1.01.02/3764/NL-HaNA_1.01.02_3764_0108.jpg", "next_meeting_viewer_url")</f>
        <v>next_meeting_viewer_url</v>
      </c>
      <c r="R23" t="str">
        <f>HYPERLINK("https://images.diginfra.net/iiif/NL-HaNA_1.01.02/3764/NL-HaNA_1.01.02_3764_0108.jpg/526,683,795,312/full/0/default.jpg", "next_meeting_iiif_url")</f>
        <v>next_meeting_iiif_url</v>
      </c>
      <c r="T23" t="str">
        <f>HYPERLINK("https://images.diginfra.net/framed3.html?imagesetuuid=111590de-8f08-498e-8bad-f6a289f87065&amp;uri=https://images.diginfra.net/iiif/NL-HaNA_1.01.02/3764/NL-HaNA_1.01.02_3764_0104.jpg", "prev_meeting_viewer_url")</f>
        <v>prev_meeting_viewer_url</v>
      </c>
      <c r="U23" t="str">
        <f>HYPERLINK("https://images.diginfra.net/iiif/NL-HaNA_1.01.02/3764/NL-HaNA_1.01.02_3764_0104.jpg/2737,333,591,307/full/0/default.jpg", "prev_meeting_iiif_url")</f>
        <v>prev_meeting_iiif_url</v>
      </c>
    </row>
    <row r="24" spans="1:21" x14ac:dyDescent="0.2">
      <c r="A24" t="s">
        <v>120</v>
      </c>
      <c r="B24" t="s">
        <v>27</v>
      </c>
      <c r="C24" t="s">
        <v>121</v>
      </c>
      <c r="D24" t="b">
        <v>1</v>
      </c>
      <c r="E24" t="b">
        <v>1</v>
      </c>
      <c r="F24">
        <v>1</v>
      </c>
      <c r="G24" t="s">
        <v>122</v>
      </c>
      <c r="H24">
        <v>3791</v>
      </c>
      <c r="I24">
        <v>393</v>
      </c>
      <c r="J24">
        <v>784</v>
      </c>
      <c r="K24">
        <v>0</v>
      </c>
      <c r="L24">
        <v>1</v>
      </c>
      <c r="M24">
        <v>0</v>
      </c>
      <c r="N24" t="str">
        <f>HYPERLINK("https://images.diginfra.net/framed3.html?imagesetuuid=e5198992-3bac-4cce-bc59-b70724ee426a&amp;uri=https://images.diginfra.net/iiif/NL-HaNA_1.01.02/3791/NL-HaNA_1.01.02_3791_0393.jpg", "viewer_url")</f>
        <v>viewer_url</v>
      </c>
      <c r="O24" t="str">
        <f>HYPERLINK("https://images.diginfra.net/iiif/NL-HaNA_1.01.02/3791/NL-HaNA_1.01.02_3791_0393.jpg/352,667,833,311/full/0/default.jpg", "iiif_url")</f>
        <v>iiif_url</v>
      </c>
      <c r="P24" t="s">
        <v>123</v>
      </c>
      <c r="Q24" t="str">
        <f>HYPERLINK("https://images.diginfra.net/framed3.html?imagesetuuid=e5198992-3bac-4cce-bc59-b70724ee426a&amp;uri=https://images.diginfra.net/iiif/NL-HaNA_1.01.02/3791/NL-HaNA_1.01.02_3791_0393.jpg", "next_meeting_viewer_url")</f>
        <v>next_meeting_viewer_url</v>
      </c>
      <c r="R24" t="str">
        <f>HYPERLINK("https://images.diginfra.net/iiif/NL-HaNA_1.01.02/3791/NL-HaNA_1.01.02_3791_0393.jpg/358,2301,845,315/full/0/default.jpg", "next_meeting_iiif_url")</f>
        <v>next_meeting_iiif_url</v>
      </c>
      <c r="S24" t="s">
        <v>124</v>
      </c>
      <c r="T24" t="str">
        <f>HYPERLINK("https://images.diginfra.net/framed3.html?imagesetuuid=e5198992-3bac-4cce-bc59-b70724ee426a&amp;uri=https://images.diginfra.net/iiif/NL-HaNA_1.01.02/3791/NL-HaNA_1.01.02_3791_0392.jpg", "prev_meeting_viewer_url")</f>
        <v>prev_meeting_viewer_url</v>
      </c>
      <c r="U24" t="str">
        <f>HYPERLINK("https://images.diginfra.net/iiif/NL-HaNA_1.01.02/3791/NL-HaNA_1.01.02_3791_0392.jpg/1328,1358,797,313/full/0/default.jpg", "prev_meeting_iiif_url")</f>
        <v>prev_meeting_iiif_url</v>
      </c>
    </row>
    <row r="25" spans="1:21" x14ac:dyDescent="0.2">
      <c r="A25" t="s">
        <v>125</v>
      </c>
      <c r="B25" t="s">
        <v>27</v>
      </c>
      <c r="C25" t="s">
        <v>126</v>
      </c>
      <c r="D25" t="b">
        <v>0</v>
      </c>
      <c r="E25" t="b">
        <v>1</v>
      </c>
      <c r="F25">
        <v>0</v>
      </c>
      <c r="G25" t="s">
        <v>127</v>
      </c>
      <c r="H25">
        <v>3856</v>
      </c>
      <c r="I25">
        <v>138</v>
      </c>
      <c r="J25">
        <v>275</v>
      </c>
      <c r="K25">
        <v>0</v>
      </c>
      <c r="L25">
        <v>0</v>
      </c>
      <c r="M25">
        <v>0</v>
      </c>
      <c r="N25" t="str">
        <f>HYPERLINK("https://images.diginfra.net/framed3.html?imagesetuuid=eefad0ef-c5b6-4672-8a4e-c123198eddbf&amp;uri=https://images.diginfra.net/iiif/NL-HaNA_1.01.02/3856/NL-HaNA_1.01.02_3856_0138.jpg", "viewer_url")</f>
        <v>viewer_url</v>
      </c>
      <c r="O25" t="str">
        <f>HYPERLINK("https://images.diginfra.net/iiif/NL-HaNA_1.01.02/3856/NL-HaNA_1.01.02_3856_0138.jpg/2432,554,797,311/full/0/default.jpg", "iiif_url")</f>
        <v>iiif_url</v>
      </c>
      <c r="P25" t="s">
        <v>126</v>
      </c>
      <c r="Q25" t="str">
        <f>HYPERLINK("https://images.diginfra.net/framed3.html?imagesetuuid=eefad0ef-c5b6-4672-8a4e-c123198eddbf&amp;uri=https://images.diginfra.net/iiif/NL-HaNA_1.01.02/3856/NL-HaNA_1.01.02_3856_0138.jpg", "next_meeting_viewer_url")</f>
        <v>next_meeting_viewer_url</v>
      </c>
      <c r="R25" t="str">
        <f>HYPERLINK("https://images.diginfra.net/iiif/NL-HaNA_1.01.02/3856/NL-HaNA_1.01.02_3856_0138.jpg/2432,554,797,311/full/0/default.jpg", "next_meeting_iiif_url")</f>
        <v>next_meeting_iiif_url</v>
      </c>
      <c r="S25" t="s">
        <v>128</v>
      </c>
      <c r="T25" t="str">
        <f>HYPERLINK("https://images.diginfra.net/framed3.html?imagesetuuid=eefad0ef-c5b6-4672-8a4e-c123198eddbf&amp;uri=https://images.diginfra.net/iiif/NL-HaNA_1.01.02/3856/NL-HaNA_1.01.02_3856_0138.jpg", "prev_meeting_viewer_url")</f>
        <v>prev_meeting_viewer_url</v>
      </c>
      <c r="U25" t="str">
        <f>HYPERLINK("https://images.diginfra.net/iiif/NL-HaNA_1.01.02/3856/NL-HaNA_1.01.02_3856_0138.jpg/482,336,778,311/full/0/default.jpg", "prev_meeting_iiif_url")</f>
        <v>prev_meeting_iiif_url</v>
      </c>
    </row>
    <row r="26" spans="1:21" x14ac:dyDescent="0.2">
      <c r="A26" t="s">
        <v>129</v>
      </c>
      <c r="B26" t="s">
        <v>71</v>
      </c>
      <c r="C26" t="s">
        <v>130</v>
      </c>
      <c r="D26" t="b">
        <v>1</v>
      </c>
      <c r="E26" t="b">
        <v>1</v>
      </c>
      <c r="F26">
        <v>1</v>
      </c>
      <c r="G26" t="s">
        <v>131</v>
      </c>
      <c r="H26">
        <v>3818</v>
      </c>
      <c r="I26">
        <v>448</v>
      </c>
      <c r="J26">
        <v>895</v>
      </c>
      <c r="K26">
        <v>0</v>
      </c>
      <c r="L26">
        <v>1</v>
      </c>
      <c r="M26">
        <v>9</v>
      </c>
      <c r="N26" t="str">
        <f>HYPERLINK("https://images.diginfra.net/framed3.html?imagesetuuid=0a2b2b00-4d8f-4694-bcd4-866d49afa989&amp;uri=https://images.diginfra.net/iiif/NL-HaNA_1.01.02/3818/NL-HaNA_1.01.02_3818_0448.jpg", "viewer_url")</f>
        <v>viewer_url</v>
      </c>
      <c r="O26" t="str">
        <f>HYPERLINK("https://images.diginfra.net/iiif/NL-HaNA_1.01.02/3818/NL-HaNA_1.01.02_3818_0448.jpg/3372,747,844,309/full/0/default.jpg", "iiif_url")</f>
        <v>iiif_url</v>
      </c>
      <c r="P26" t="s">
        <v>132</v>
      </c>
      <c r="Q26" t="str">
        <f>HYPERLINK("https://images.diginfra.net/framed3.html?imagesetuuid=0a2b2b00-4d8f-4694-bcd4-866d49afa989&amp;uri=https://images.diginfra.net/iiif/NL-HaNA_1.01.02/3818/NL-HaNA_1.01.02_3818_0450.jpg", "next_meeting_viewer_url")</f>
        <v>next_meeting_viewer_url</v>
      </c>
      <c r="R26" t="str">
        <f>HYPERLINK("https://images.diginfra.net/iiif/NL-HaNA_1.01.02/3818/NL-HaNA_1.01.02_3818_0450.jpg/3368,864,820,311/full/0/default.jpg", "next_meeting_iiif_url")</f>
        <v>next_meeting_iiif_url</v>
      </c>
      <c r="S26" t="s">
        <v>133</v>
      </c>
      <c r="T26" t="str">
        <f>HYPERLINK("https://images.diginfra.net/framed3.html?imagesetuuid=0a2b2b00-4d8f-4694-bcd4-866d49afa989&amp;uri=https://images.diginfra.net/iiif/NL-HaNA_1.01.02/3818/NL-HaNA_1.01.02_3818_0447.jpg", "prev_meeting_viewer_url")</f>
        <v>prev_meeting_viewer_url</v>
      </c>
      <c r="U26" t="str">
        <f>HYPERLINK("https://images.diginfra.net/iiif/NL-HaNA_1.01.02/3818/NL-HaNA_1.01.02_3818_0447.jpg/3362,255,821,310/full/0/default.jpg", "prev_meeting_iiif_url")</f>
        <v>prev_meeting_iiif_url</v>
      </c>
    </row>
    <row r="27" spans="1:21" x14ac:dyDescent="0.2">
      <c r="A27" t="s">
        <v>134</v>
      </c>
      <c r="B27" t="s">
        <v>38</v>
      </c>
      <c r="C27" t="s">
        <v>135</v>
      </c>
      <c r="D27" t="b">
        <v>1</v>
      </c>
      <c r="E27" t="b">
        <v>1</v>
      </c>
      <c r="F27">
        <v>1</v>
      </c>
      <c r="G27" t="s">
        <v>136</v>
      </c>
      <c r="H27">
        <v>3788</v>
      </c>
      <c r="I27">
        <v>102</v>
      </c>
      <c r="J27">
        <v>202</v>
      </c>
      <c r="K27">
        <v>0</v>
      </c>
      <c r="L27">
        <v>1</v>
      </c>
      <c r="M27">
        <v>0</v>
      </c>
      <c r="N27" t="str">
        <f>HYPERLINK("https://images.diginfra.net/framed3.html?imagesetuuid=0c8f3037-13b3-45f2-b332-cb8940ab7c42&amp;uri=https://images.diginfra.net/iiif/NL-HaNA_1.01.02/3788/NL-HaNA_1.01.02_3788_0102.jpg", "viewer_url")</f>
        <v>viewer_url</v>
      </c>
      <c r="O27" t="str">
        <f>HYPERLINK("https://images.diginfra.net/iiif/NL-HaNA_1.01.02/3788/NL-HaNA_1.01.02_3788_0102.jpg/450,761,795,313/full/0/default.jpg", "iiif_url")</f>
        <v>iiif_url</v>
      </c>
      <c r="P27" t="s">
        <v>137</v>
      </c>
      <c r="Q27" t="str">
        <f>HYPERLINK("https://images.diginfra.net/framed3.html?imagesetuuid=0c8f3037-13b3-45f2-b332-cb8940ab7c42&amp;uri=https://images.diginfra.net/iiif/NL-HaNA_1.01.02/3788/NL-HaNA_1.01.02_3788_0103.jpg", "next_meeting_viewer_url")</f>
        <v>next_meeting_viewer_url</v>
      </c>
      <c r="R27" t="str">
        <f>HYPERLINK("https://images.diginfra.net/iiif/NL-HaNA_1.01.02/3788/NL-HaNA_1.01.02_3788_0103.jpg/3414,1816,826,317/full/0/default.jpg", "next_meeting_iiif_url")</f>
        <v>next_meeting_iiif_url</v>
      </c>
      <c r="S27" t="s">
        <v>138</v>
      </c>
      <c r="T27" t="str">
        <f>HYPERLINK("https://images.diginfra.net/framed3.html?imagesetuuid=0c8f3037-13b3-45f2-b332-cb8940ab7c42&amp;uri=https://images.diginfra.net/iiif/NL-HaNA_1.01.02/3788/NL-HaNA_1.01.02_3788_0100.jpg", "prev_meeting_viewer_url")</f>
        <v>prev_meeting_viewer_url</v>
      </c>
      <c r="U27" t="str">
        <f>HYPERLINK("https://images.diginfra.net/iiif/NL-HaNA_1.01.02/3788/NL-HaNA_1.01.02_3788_0100.jpg/3376,351,872,325/full/0/default.jpg", "prev_meeting_iiif_url")</f>
        <v>prev_meeting_iiif_url</v>
      </c>
    </row>
    <row r="28" spans="1:21" x14ac:dyDescent="0.2">
      <c r="A28" t="s">
        <v>139</v>
      </c>
      <c r="B28" t="s">
        <v>44</v>
      </c>
      <c r="C28" t="s">
        <v>140</v>
      </c>
      <c r="D28" t="b">
        <v>1</v>
      </c>
      <c r="E28" t="b">
        <v>1</v>
      </c>
      <c r="F28">
        <v>0</v>
      </c>
      <c r="G28" t="s">
        <v>141</v>
      </c>
      <c r="H28">
        <v>3787</v>
      </c>
      <c r="I28">
        <v>393</v>
      </c>
      <c r="J28">
        <v>785</v>
      </c>
      <c r="K28">
        <v>0</v>
      </c>
      <c r="L28">
        <v>3</v>
      </c>
      <c r="M28">
        <v>0</v>
      </c>
      <c r="N28" t="str">
        <f>HYPERLINK("https://images.diginfra.net/framed3.html?imagesetuuid=db7b00f7-0cd1-4078-9123-41ccf17bd821&amp;uri=https://images.diginfra.net/iiif/NL-HaNA_1.01.02/3787/NL-HaNA_1.01.02_3787_0393.jpg", "viewer_url")</f>
        <v>viewer_url</v>
      </c>
      <c r="O28" t="str">
        <f>HYPERLINK("https://images.diginfra.net/iiif/NL-HaNA_1.01.02/3787/NL-HaNA_1.01.02_3787_0393.jpg/2586,2885,759,313/full/0/default.jpg", "iiif_url")</f>
        <v>iiif_url</v>
      </c>
      <c r="P28" t="s">
        <v>142</v>
      </c>
      <c r="Q28" t="str">
        <f>HYPERLINK("https://images.diginfra.net/framed3.html?imagesetuuid=db7b00f7-0cd1-4078-9123-41ccf17bd821&amp;uri=https://images.diginfra.net/iiif/NL-HaNA_1.01.02/3787/NL-HaNA_1.01.02_3787_0394.jpg", "next_meeting_viewer_url")</f>
        <v>next_meeting_viewer_url</v>
      </c>
      <c r="R28" t="str">
        <f>HYPERLINK("https://images.diginfra.net/iiif/NL-HaNA_1.01.02/3787/NL-HaNA_1.01.02_3787_0394.jpg/1262,2062,801,308/full/0/default.jpg", "next_meeting_iiif_url")</f>
        <v>next_meeting_iiif_url</v>
      </c>
      <c r="S28" t="s">
        <v>143</v>
      </c>
      <c r="T28" t="str">
        <f>HYPERLINK("https://images.diginfra.net/framed3.html?imagesetuuid=db7b00f7-0cd1-4078-9123-41ccf17bd821&amp;uri=https://images.diginfra.net/iiif/NL-HaNA_1.01.02/3787/NL-HaNA_1.01.02_3787_0392.jpg", "prev_meeting_viewer_url")</f>
        <v>prev_meeting_viewer_url</v>
      </c>
      <c r="U28" t="str">
        <f>HYPERLINK("https://images.diginfra.net/iiif/NL-HaNA_1.01.02/3787/NL-HaNA_1.01.02_3787_0392.jpg/362,2200,821,309/full/0/default.jpg", "prev_meeting_iiif_url")</f>
        <v>prev_meeting_iiif_url</v>
      </c>
    </row>
    <row r="29" spans="1:21" x14ac:dyDescent="0.2">
      <c r="A29" t="s">
        <v>144</v>
      </c>
      <c r="B29" t="s">
        <v>27</v>
      </c>
      <c r="C29" t="s">
        <v>145</v>
      </c>
      <c r="D29" t="b">
        <v>0</v>
      </c>
      <c r="E29" t="b">
        <v>1</v>
      </c>
      <c r="F29">
        <v>1</v>
      </c>
      <c r="G29" t="s">
        <v>146</v>
      </c>
      <c r="H29">
        <v>3834</v>
      </c>
      <c r="I29">
        <v>261</v>
      </c>
      <c r="J29">
        <v>521</v>
      </c>
      <c r="K29">
        <v>0</v>
      </c>
      <c r="L29">
        <v>0</v>
      </c>
      <c r="M29">
        <v>9</v>
      </c>
      <c r="N29" t="str">
        <f>HYPERLINK("https://images.diginfra.net/framed3.html?imagesetuuid=bf11cd8e-e3f4-444c-9caa-dcdfd20137d7&amp;uri=https://images.diginfra.net/iiif/NL-HaNA_1.01.02/3834/NL-HaNA_1.01.02_3834_0261.jpg", "viewer_url")</f>
        <v>viewer_url</v>
      </c>
      <c r="O29" t="str">
        <f>HYPERLINK("https://images.diginfra.net/iiif/NL-HaNA_1.01.02/3834/NL-HaNA_1.01.02_3834_0261.jpg/2419,562,959,316/full/0/default.jpg", "iiif_url")</f>
        <v>iiif_url</v>
      </c>
      <c r="P29" t="s">
        <v>145</v>
      </c>
      <c r="Q29" t="str">
        <f>HYPERLINK("https://images.diginfra.net/framed3.html?imagesetuuid=bf11cd8e-e3f4-444c-9caa-dcdfd20137d7&amp;uri=https://images.diginfra.net/iiif/NL-HaNA_1.01.02/3834/NL-HaNA_1.01.02_3834_0261.jpg", "next_meeting_viewer_url")</f>
        <v>next_meeting_viewer_url</v>
      </c>
      <c r="R29" t="str">
        <f>HYPERLINK("https://images.diginfra.net/iiif/NL-HaNA_1.01.02/3834/NL-HaNA_1.01.02_3834_0261.jpg/2419,562,959,316/full/0/default.jpg", "next_meeting_iiif_url")</f>
        <v>next_meeting_iiif_url</v>
      </c>
      <c r="S29" t="s">
        <v>147</v>
      </c>
      <c r="T29" t="str">
        <f>HYPERLINK("https://images.diginfra.net/framed3.html?imagesetuuid=bf11cd8e-e3f4-444c-9caa-dcdfd20137d7&amp;uri=https://images.diginfra.net/iiif/NL-HaNA_1.01.02/3834/NL-HaNA_1.01.02_3834_0261.jpg", "prev_meeting_viewer_url")</f>
        <v>prev_meeting_viewer_url</v>
      </c>
      <c r="U29" t="str">
        <f>HYPERLINK("https://images.diginfra.net/iiif/NL-HaNA_1.01.02/3834/NL-HaNA_1.01.02_3834_0261.jpg/552,2400,733,316/full/0/default.jpg", "prev_meeting_iiif_url")</f>
        <v>prev_meeting_iiif_url</v>
      </c>
    </row>
    <row r="30" spans="1:21" x14ac:dyDescent="0.2">
      <c r="A30" t="s">
        <v>148</v>
      </c>
      <c r="B30" t="s">
        <v>44</v>
      </c>
      <c r="C30" t="s">
        <v>149</v>
      </c>
      <c r="D30" t="b">
        <v>1</v>
      </c>
      <c r="E30" t="b">
        <v>1</v>
      </c>
      <c r="F30">
        <v>1</v>
      </c>
      <c r="G30" t="s">
        <v>150</v>
      </c>
      <c r="H30">
        <v>3776</v>
      </c>
      <c r="I30">
        <v>444</v>
      </c>
      <c r="J30">
        <v>887</v>
      </c>
      <c r="K30">
        <v>0</v>
      </c>
      <c r="L30">
        <v>2</v>
      </c>
      <c r="M30">
        <v>0</v>
      </c>
      <c r="N30" t="str">
        <f>HYPERLINK("https://images.diginfra.net/framed3.html?imagesetuuid=cce3dc39-04f4-4d57-b3db-fdf0a2653e66&amp;uri=https://images.diginfra.net/iiif/NL-HaNA_1.01.02/3776/NL-HaNA_1.01.02_3776_0444.jpg", "viewer_url")</f>
        <v>viewer_url</v>
      </c>
      <c r="O30" t="str">
        <f>HYPERLINK("https://images.diginfra.net/iiif/NL-HaNA_1.01.02/3776/NL-HaNA_1.01.02_3776_0444.jpg/2669,2100,782,314/full/0/default.jpg", "iiif_url")</f>
        <v>iiif_url</v>
      </c>
      <c r="P30" t="s">
        <v>151</v>
      </c>
      <c r="Q30" t="str">
        <f>HYPERLINK("https://images.diginfra.net/framed3.html?imagesetuuid=cce3dc39-04f4-4d57-b3db-fdf0a2653e66&amp;uri=https://images.diginfra.net/iiif/NL-HaNA_1.01.02/3776/NL-HaNA_1.01.02_3776_0445.jpg", "next_meeting_viewer_url")</f>
        <v>next_meeting_viewer_url</v>
      </c>
      <c r="R30" t="str">
        <f>HYPERLINK("https://images.diginfra.net/iiif/NL-HaNA_1.01.02/3776/NL-HaNA_1.01.02_3776_0445.jpg/414,2556,808,317/full/0/default.jpg", "next_meeting_iiif_url")</f>
        <v>next_meeting_iiif_url</v>
      </c>
      <c r="S30" t="s">
        <v>152</v>
      </c>
      <c r="T30" t="str">
        <f>HYPERLINK("https://images.diginfra.net/framed3.html?imagesetuuid=cce3dc39-04f4-4d57-b3db-fdf0a2653e66&amp;uri=https://images.diginfra.net/iiif/NL-HaNA_1.01.02/3776/NL-HaNA_1.01.02_3776_0443.jpg", "prev_meeting_viewer_url")</f>
        <v>prev_meeting_viewer_url</v>
      </c>
      <c r="U30" t="str">
        <f>HYPERLINK("https://images.diginfra.net/iiif/NL-HaNA_1.01.02/3776/NL-HaNA_1.01.02_3776_0443.jpg/387,2935,843,322/full/0/default.jpg", "prev_meeting_iiif_url")</f>
        <v>prev_meeting_iiif_url</v>
      </c>
    </row>
    <row r="31" spans="1:21" x14ac:dyDescent="0.2">
      <c r="A31" t="s">
        <v>153</v>
      </c>
      <c r="B31" t="s">
        <v>27</v>
      </c>
      <c r="C31" t="s">
        <v>154</v>
      </c>
      <c r="D31" t="b">
        <v>1</v>
      </c>
      <c r="E31" t="b">
        <v>1</v>
      </c>
      <c r="F31">
        <v>1</v>
      </c>
      <c r="G31" t="s">
        <v>155</v>
      </c>
      <c r="H31">
        <v>3777</v>
      </c>
      <c r="I31">
        <v>238</v>
      </c>
      <c r="J31">
        <v>474</v>
      </c>
      <c r="K31">
        <v>0</v>
      </c>
      <c r="L31">
        <v>0</v>
      </c>
      <c r="M31">
        <v>0</v>
      </c>
      <c r="N31" t="str">
        <f>HYPERLINK("https://images.diginfra.net/framed3.html?imagesetuuid=d79a5b0f-25ac-4440-9b23-adc237614d07&amp;uri=https://images.diginfra.net/iiif/NL-HaNA_1.01.02/3777/NL-HaNA_1.01.02_3777_0238.jpg", "viewer_url")</f>
        <v>viewer_url</v>
      </c>
      <c r="O31" t="str">
        <f>HYPERLINK("https://images.diginfra.net/iiif/NL-HaNA_1.01.02/3777/NL-HaNA_1.01.02_3777_0238.jpg/605,282,707,310/full/0/default.jpg", "iiif_url")</f>
        <v>iiif_url</v>
      </c>
      <c r="P31" t="s">
        <v>156</v>
      </c>
      <c r="Q31" t="str">
        <f>HYPERLINK("https://images.diginfra.net/framed3.html?imagesetuuid=d79a5b0f-25ac-4440-9b23-adc237614d07&amp;uri=https://images.diginfra.net/iiif/NL-HaNA_1.01.02/3777/NL-HaNA_1.01.02_3777_0238.jpg", "next_meeting_viewer_url")</f>
        <v>next_meeting_viewer_url</v>
      </c>
      <c r="R31" t="str">
        <f>HYPERLINK("https://images.diginfra.net/iiif/NL-HaNA_1.01.02/3777/NL-HaNA_1.01.02_3777_0238.jpg/1550,675,746,312/full/0/default.jpg", "next_meeting_iiif_url")</f>
        <v>next_meeting_iiif_url</v>
      </c>
      <c r="S31" t="s">
        <v>157</v>
      </c>
      <c r="T31" t="str">
        <f>HYPERLINK("https://images.diginfra.net/framed3.html?imagesetuuid=d79a5b0f-25ac-4440-9b23-adc237614d07&amp;uri=https://images.diginfra.net/iiif/NL-HaNA_1.01.02/3777/NL-HaNA_1.01.02_3777_0236.jpg", "prev_meeting_viewer_url")</f>
        <v>prev_meeting_viewer_url</v>
      </c>
      <c r="U31" t="str">
        <f>HYPERLINK("https://images.diginfra.net/iiif/NL-HaNA_1.01.02/3777/NL-HaNA_1.01.02_3777_0236.jpg/544,261,686,309/full/0/default.jpg", "prev_meeting_iiif_url")</f>
        <v>prev_meeting_iiif_url</v>
      </c>
    </row>
    <row r="32" spans="1:21" x14ac:dyDescent="0.2">
      <c r="A32" t="s">
        <v>158</v>
      </c>
      <c r="B32" t="s">
        <v>55</v>
      </c>
      <c r="C32" t="s">
        <v>159</v>
      </c>
      <c r="D32" t="b">
        <v>0</v>
      </c>
      <c r="E32" t="b">
        <v>1</v>
      </c>
      <c r="F32">
        <v>1</v>
      </c>
      <c r="G32" t="s">
        <v>160</v>
      </c>
      <c r="H32">
        <v>3803</v>
      </c>
      <c r="I32">
        <v>105</v>
      </c>
      <c r="J32">
        <v>209</v>
      </c>
      <c r="K32">
        <v>0</v>
      </c>
      <c r="L32">
        <v>1</v>
      </c>
      <c r="M32">
        <v>0</v>
      </c>
      <c r="N32" t="str">
        <f>HYPERLINK("https://images.diginfra.net/framed3.html?imagesetuuid=38df7783-1913-47c1-b96e-bdb08c6574dc&amp;uri=https://images.diginfra.net/iiif/NL-HaNA_1.01.02/3803/NL-HaNA_1.01.02_3803_0105.jpg", "viewer_url")</f>
        <v>viewer_url</v>
      </c>
      <c r="O32" t="str">
        <f>HYPERLINK("https://images.diginfra.net/iiif/NL-HaNA_1.01.02/3803/NL-HaNA_1.01.02_3803_0105.jpg/2417,429,872,311/full/0/default.jpg", "iiif_url")</f>
        <v>iiif_url</v>
      </c>
      <c r="P32" t="s">
        <v>159</v>
      </c>
      <c r="Q32" t="str">
        <f>HYPERLINK("https://images.diginfra.net/framed3.html?imagesetuuid=38df7783-1913-47c1-b96e-bdb08c6574dc&amp;uri=https://images.diginfra.net/iiif/NL-HaNA_1.01.02/3803/NL-HaNA_1.01.02_3803_0105.jpg", "next_meeting_viewer_url")</f>
        <v>next_meeting_viewer_url</v>
      </c>
      <c r="R32" t="str">
        <f>HYPERLINK("https://images.diginfra.net/iiif/NL-HaNA_1.01.02/3803/NL-HaNA_1.01.02_3803_0105.jpg/2417,429,872,311/full/0/default.jpg", "next_meeting_iiif_url")</f>
        <v>next_meeting_iiif_url</v>
      </c>
      <c r="S32" t="s">
        <v>161</v>
      </c>
      <c r="T32" t="str">
        <f>HYPERLINK("https://images.diginfra.net/framed3.html?imagesetuuid=38df7783-1913-47c1-b96e-bdb08c6574dc&amp;uri=https://images.diginfra.net/iiif/NL-HaNA_1.01.02/3803/NL-HaNA_1.01.02_3803_0102.jpg", "prev_meeting_viewer_url")</f>
        <v>prev_meeting_viewer_url</v>
      </c>
      <c r="U32" t="str">
        <f>HYPERLINK("https://images.diginfra.net/iiif/NL-HaNA_1.01.02/3803/NL-HaNA_1.01.02_3803_0102.jpg/3453,1799,878,312/full/0/default.jpg", "prev_meeting_iiif_url")</f>
        <v>prev_meeting_iiif_url</v>
      </c>
    </row>
    <row r="33" spans="1:21" x14ac:dyDescent="0.2">
      <c r="A33" t="s">
        <v>162</v>
      </c>
      <c r="B33" t="s">
        <v>44</v>
      </c>
      <c r="C33" t="s">
        <v>163</v>
      </c>
      <c r="D33" t="b">
        <v>1</v>
      </c>
      <c r="E33" t="b">
        <v>1</v>
      </c>
      <c r="F33">
        <v>1</v>
      </c>
      <c r="G33" t="s">
        <v>164</v>
      </c>
      <c r="H33">
        <v>3793</v>
      </c>
      <c r="I33">
        <v>375</v>
      </c>
      <c r="J33">
        <v>749</v>
      </c>
      <c r="K33">
        <v>1</v>
      </c>
      <c r="L33">
        <v>3</v>
      </c>
      <c r="M33">
        <v>0</v>
      </c>
      <c r="N33" t="str">
        <f>HYPERLINK("https://images.diginfra.net/framed3.html?imagesetuuid=8305a309-5c79-4c0c-a981-7e350c76be32&amp;uri=https://images.diginfra.net/iiif/NL-HaNA_1.01.02/3793/NL-HaNA_1.01.02_3793_0375.jpg", "viewer_url")</f>
        <v>viewer_url</v>
      </c>
      <c r="O33" t="str">
        <f>HYPERLINK("https://images.diginfra.net/iiif/NL-HaNA_1.01.02/3793/NL-HaNA_1.01.02_3793_0375.jpg/3515,2947,779,310/full/0/default.jpg", "iiif_url")</f>
        <v>iiif_url</v>
      </c>
      <c r="P33" t="s">
        <v>165</v>
      </c>
      <c r="Q33" t="str">
        <f>HYPERLINK("https://images.diginfra.net/framed3.html?imagesetuuid=8305a309-5c79-4c0c-a981-7e350c76be32&amp;uri=https://images.diginfra.net/iiif/NL-HaNA_1.01.02/3793/NL-HaNA_1.01.02_3793_0384.jpg", "next_meeting_viewer_url")</f>
        <v>next_meeting_viewer_url</v>
      </c>
      <c r="R33" t="str">
        <f>HYPERLINK("https://images.diginfra.net/iiif/NL-HaNA_1.01.02/3793/NL-HaNA_1.01.02_3793_0384.jpg/2594,537,821,315/full/0/default.jpg", "next_meeting_iiif_url")</f>
        <v>next_meeting_iiif_url</v>
      </c>
      <c r="S33" t="s">
        <v>166</v>
      </c>
      <c r="T33" t="str">
        <f>HYPERLINK("https://images.diginfra.net/framed3.html?imagesetuuid=8305a309-5c79-4c0c-a981-7e350c76be32&amp;uri=https://images.diginfra.net/iiif/NL-HaNA_1.01.02/3793/NL-HaNA_1.01.02_3793_0375.jpg", "prev_meeting_viewer_url")</f>
        <v>prev_meeting_viewer_url</v>
      </c>
      <c r="U33" t="str">
        <f>HYPERLINK("https://images.diginfra.net/iiif/NL-HaNA_1.01.02/3793/NL-HaNA_1.01.02_3793_0375.jpg/406,888,839,314/full/0/default.jpg", "prev_meeting_iiif_url")</f>
        <v>prev_meeting_iiif_url</v>
      </c>
    </row>
    <row r="34" spans="1:21" x14ac:dyDescent="0.2">
      <c r="A34" t="s">
        <v>167</v>
      </c>
      <c r="B34" t="s">
        <v>44</v>
      </c>
      <c r="C34" t="s">
        <v>168</v>
      </c>
      <c r="D34" t="b">
        <v>1</v>
      </c>
      <c r="E34" t="b">
        <v>1</v>
      </c>
      <c r="F34">
        <v>1</v>
      </c>
      <c r="G34" t="s">
        <v>169</v>
      </c>
      <c r="H34">
        <v>3861</v>
      </c>
      <c r="I34">
        <v>220</v>
      </c>
      <c r="J34">
        <v>439</v>
      </c>
      <c r="K34">
        <v>1</v>
      </c>
      <c r="L34">
        <v>3</v>
      </c>
      <c r="M34">
        <v>0</v>
      </c>
      <c r="N34" t="str">
        <f>HYPERLINK("https://images.diginfra.net/framed3.html?imagesetuuid=b4e67ed8-83e3-4753-be03-ba41d876b057&amp;uri=https://images.diginfra.net/iiif/NL-HaNA_1.01.02/3861/NL-HaNA_1.01.02_3861_0220.jpg", "viewer_url")</f>
        <v>viewer_url</v>
      </c>
      <c r="O34" t="str">
        <f>HYPERLINK("https://images.diginfra.net/iiif/NL-HaNA_1.01.02/3861/NL-HaNA_1.01.02_3861_0220.jpg/3489,2324,745,313/full/0/default.jpg", "iiif_url")</f>
        <v>iiif_url</v>
      </c>
      <c r="P34" t="s">
        <v>170</v>
      </c>
      <c r="Q34" t="str">
        <f>HYPERLINK("https://images.diginfra.net/framed3.html?imagesetuuid=b4e67ed8-83e3-4753-be03-ba41d876b057&amp;uri=https://images.diginfra.net/iiif/NL-HaNA_1.01.02/3861/NL-HaNA_1.01.02_3861_0221.jpg", "next_meeting_viewer_url")</f>
        <v>next_meeting_viewer_url</v>
      </c>
      <c r="R34" t="str">
        <f>HYPERLINK("https://images.diginfra.net/iiif/NL-HaNA_1.01.02/3861/NL-HaNA_1.01.02_3861_0221.jpg/2531,1181,805,312/full/0/default.jpg", "next_meeting_iiif_url")</f>
        <v>next_meeting_iiif_url</v>
      </c>
      <c r="S34" t="s">
        <v>171</v>
      </c>
      <c r="T34" t="str">
        <f>HYPERLINK("https://images.diginfra.net/framed3.html?imagesetuuid=b4e67ed8-83e3-4753-be03-ba41d876b057&amp;uri=https://images.diginfra.net/iiif/NL-HaNA_1.01.02/3861/NL-HaNA_1.01.02_3861_0219.jpg", "prev_meeting_viewer_url")</f>
        <v>prev_meeting_viewer_url</v>
      </c>
      <c r="U34" t="str">
        <f>HYPERLINK("https://images.diginfra.net/iiif/NL-HaNA_1.01.02/3861/NL-HaNA_1.01.02_3861_0219.jpg/3415,2225,838,313/full/0/default.jpg", "prev_meeting_iiif_url")</f>
        <v>prev_meeting_iiif_url</v>
      </c>
    </row>
    <row r="35" spans="1:21" x14ac:dyDescent="0.2">
      <c r="A35" t="s">
        <v>172</v>
      </c>
      <c r="B35" t="s">
        <v>27</v>
      </c>
      <c r="D35" t="b">
        <v>0</v>
      </c>
      <c r="E35" t="b">
        <v>0</v>
      </c>
      <c r="F35">
        <v>1</v>
      </c>
      <c r="P35" t="s">
        <v>173</v>
      </c>
      <c r="Q35" t="str">
        <f>HYPERLINK("https://images.diginfra.net/framed3.html?imagesetuuid=3e55157c-ed48-4a0c-b4a9-bb205866d7cd&amp;uri=https://images.diginfra.net/iiif/NL-HaNA_1.01.02/3825/NL-HaNA_1.01.02_3825_0130.jpg", "next_meeting_viewer_url")</f>
        <v>next_meeting_viewer_url</v>
      </c>
      <c r="R35" t="str">
        <f>HYPERLINK("https://images.diginfra.net/iiif/NL-HaNA_1.01.02/3825/NL-HaNA_1.01.02_3825_0130.jpg/3729,2120,353,314/full/0/default.jpg", "next_meeting_iiif_url")</f>
        <v>next_meeting_iiif_url</v>
      </c>
      <c r="S35" t="s">
        <v>174</v>
      </c>
      <c r="T35" t="str">
        <f>HYPERLINK("https://images.diginfra.net/framed3.html?imagesetuuid=3e55157c-ed48-4a0c-b4a9-bb205866d7cd&amp;uri=https://images.diginfra.net/iiif/NL-HaNA_1.01.02/3825/NL-HaNA_1.01.02_3825_0130.jpg", "prev_meeting_viewer_url")</f>
        <v>prev_meeting_viewer_url</v>
      </c>
      <c r="U35" t="str">
        <f>HYPERLINK("https://images.diginfra.net/iiif/NL-HaNA_1.01.02/3825/NL-HaNA_1.01.02_3825_0130.jpg/1401,2793,906,323/full/0/default.jpg", "prev_meeting_iiif_url")</f>
        <v>prev_meeting_iiif_url</v>
      </c>
    </row>
    <row r="36" spans="1:21" x14ac:dyDescent="0.2">
      <c r="A36" t="s">
        <v>175</v>
      </c>
      <c r="B36" t="s">
        <v>71</v>
      </c>
      <c r="D36" t="b">
        <v>1</v>
      </c>
      <c r="E36" t="b">
        <v>0</v>
      </c>
      <c r="F36">
        <v>0</v>
      </c>
    </row>
    <row r="37" spans="1:21" x14ac:dyDescent="0.2">
      <c r="A37" t="s">
        <v>176</v>
      </c>
      <c r="B37" t="s">
        <v>44</v>
      </c>
      <c r="C37" t="s">
        <v>177</v>
      </c>
      <c r="D37" t="b">
        <v>1</v>
      </c>
      <c r="E37" t="b">
        <v>1</v>
      </c>
      <c r="F37">
        <v>1</v>
      </c>
      <c r="G37" t="s">
        <v>178</v>
      </c>
      <c r="H37">
        <v>3838</v>
      </c>
      <c r="I37">
        <v>128</v>
      </c>
      <c r="J37">
        <v>254</v>
      </c>
      <c r="K37">
        <v>0</v>
      </c>
      <c r="L37">
        <v>3</v>
      </c>
      <c r="M37">
        <v>0</v>
      </c>
      <c r="N37" t="str">
        <f>HYPERLINK("https://images.diginfra.net/framed3.html?imagesetuuid=fd366382-5fd2-4059-84bc-fcf4d87b2fc4&amp;uri=https://images.diginfra.net/iiif/NL-HaNA_1.01.02/3838/NL-HaNA_1.01.02_3838_0128.jpg", "viewer_url")</f>
        <v>viewer_url</v>
      </c>
      <c r="O37" t="str">
        <f>HYPERLINK("https://images.diginfra.net/iiif/NL-HaNA_1.01.02/3838/NL-HaNA_1.01.02_3838_0128.jpg/444,3042,699,311/full/0/default.jpg", "iiif_url")</f>
        <v>iiif_url</v>
      </c>
      <c r="P37" t="s">
        <v>179</v>
      </c>
      <c r="Q37" t="str">
        <f>HYPERLINK("https://images.diginfra.net/framed3.html?imagesetuuid=fd366382-5fd2-4059-84bc-fcf4d87b2fc4&amp;uri=https://images.diginfra.net/iiif/NL-HaNA_1.01.02/3838/NL-HaNA_1.01.02_3838_0129.jpg", "next_meeting_viewer_url")</f>
        <v>next_meeting_viewer_url</v>
      </c>
      <c r="R37" t="str">
        <f>HYPERLINK("https://images.diginfra.net/iiif/NL-HaNA_1.01.02/3838/NL-HaNA_1.01.02_3838_0129.jpg/3477,1807,747,311/full/0/default.jpg", "next_meeting_iiif_url")</f>
        <v>next_meeting_iiif_url</v>
      </c>
      <c r="S37" t="s">
        <v>180</v>
      </c>
      <c r="T37" t="str">
        <f>HYPERLINK("https://images.diginfra.net/framed3.html?imagesetuuid=fd366382-5fd2-4059-84bc-fcf4d87b2fc4&amp;uri=https://images.diginfra.net/iiif/NL-HaNA_1.01.02/3838/NL-HaNA_1.01.02_3838_0126.jpg", "prev_meeting_viewer_url")</f>
        <v>prev_meeting_viewer_url</v>
      </c>
      <c r="U37" t="str">
        <f>HYPERLINK("https://images.diginfra.net/iiif/NL-HaNA_1.01.02/3838/NL-HaNA_1.01.02_3838_0126.jpg/2477,647,781,308/full/0/default.jpg", "prev_meeting_iiif_url")</f>
        <v>prev_meeting_iiif_url</v>
      </c>
    </row>
    <row r="38" spans="1:21" x14ac:dyDescent="0.2">
      <c r="A38" t="s">
        <v>181</v>
      </c>
      <c r="B38" t="s">
        <v>27</v>
      </c>
      <c r="C38" t="s">
        <v>182</v>
      </c>
      <c r="D38" t="b">
        <v>0</v>
      </c>
      <c r="E38" t="b">
        <v>1</v>
      </c>
      <c r="F38">
        <v>1</v>
      </c>
      <c r="G38" t="s">
        <v>183</v>
      </c>
      <c r="H38">
        <v>3849</v>
      </c>
      <c r="I38">
        <v>153</v>
      </c>
      <c r="J38">
        <v>305</v>
      </c>
      <c r="K38">
        <v>1</v>
      </c>
      <c r="L38">
        <v>1</v>
      </c>
      <c r="M38">
        <v>1</v>
      </c>
      <c r="N38" t="str">
        <f>HYPERLINK("https://images.diginfra.net/framed3.html?imagesetuuid=7d69db40-de83-46fa-8e08-2a3f4300174e&amp;uri=https://images.diginfra.net/iiif/NL-HaNA_1.01.02/3849/NL-HaNA_1.01.02_3849_0153.jpg", "viewer_url")</f>
        <v>viewer_url</v>
      </c>
      <c r="O38" t="str">
        <f>HYPERLINK("https://images.diginfra.net/iiif/NL-HaNA_1.01.02/3849/NL-HaNA_1.01.02_3849_0153.jpg/3420,690,833,318/full/0/default.jpg", "iiif_url")</f>
        <v>iiif_url</v>
      </c>
      <c r="P38" t="s">
        <v>182</v>
      </c>
      <c r="Q38" t="str">
        <f>HYPERLINK("https://images.diginfra.net/framed3.html?imagesetuuid=7d69db40-de83-46fa-8e08-2a3f4300174e&amp;uri=https://images.diginfra.net/iiif/NL-HaNA_1.01.02/3849/NL-HaNA_1.01.02_3849_0153.jpg", "next_meeting_viewer_url")</f>
        <v>next_meeting_viewer_url</v>
      </c>
      <c r="R38" t="str">
        <f>HYPERLINK("https://images.diginfra.net/iiif/NL-HaNA_1.01.02/3849/NL-HaNA_1.01.02_3849_0153.jpg/3420,690,833,318/full/0/default.jpg", "next_meeting_iiif_url")</f>
        <v>next_meeting_iiif_url</v>
      </c>
      <c r="S38" t="s">
        <v>184</v>
      </c>
      <c r="T38" t="str">
        <f>HYPERLINK("https://images.diginfra.net/framed3.html?imagesetuuid=7d69db40-de83-46fa-8e08-2a3f4300174e&amp;uri=https://images.diginfra.net/iiif/NL-HaNA_1.01.02/3849/NL-HaNA_1.01.02_3849_0149.jpg", "prev_meeting_viewer_url")</f>
        <v>prev_meeting_viewer_url</v>
      </c>
      <c r="U38" t="str">
        <f>HYPERLINK("https://images.diginfra.net/iiif/NL-HaNA_1.01.02/3849/NL-HaNA_1.01.02_3849_0149.jpg/461,1440,765,318/full/0/default.jpg", "prev_meeting_iiif_url")</f>
        <v>prev_meeting_iiif_url</v>
      </c>
    </row>
    <row r="39" spans="1:21" x14ac:dyDescent="0.2">
      <c r="A39" t="s">
        <v>185</v>
      </c>
      <c r="B39" t="s">
        <v>21</v>
      </c>
      <c r="C39" t="s">
        <v>186</v>
      </c>
      <c r="D39" t="b">
        <v>1</v>
      </c>
      <c r="E39" t="b">
        <v>1</v>
      </c>
      <c r="F39">
        <v>0</v>
      </c>
      <c r="G39" t="s">
        <v>187</v>
      </c>
      <c r="H39">
        <v>3827</v>
      </c>
      <c r="I39">
        <v>181</v>
      </c>
      <c r="J39">
        <v>361</v>
      </c>
      <c r="K39">
        <v>1</v>
      </c>
      <c r="L39">
        <v>1</v>
      </c>
      <c r="M39">
        <v>0</v>
      </c>
      <c r="N39" t="str">
        <f>HYPERLINK("https://images.diginfra.net/framed3.html?imagesetuuid=cb4f4e9c-bdd8-4992-9de8-6ddd9348148f&amp;uri=https://images.diginfra.net/iiif/NL-HaNA_1.01.02/3827/NL-HaNA_1.01.02_3827_0181.jpg", "viewer_url")</f>
        <v>viewer_url</v>
      </c>
      <c r="O39" t="str">
        <f>HYPERLINK("https://images.diginfra.net/iiif/NL-HaNA_1.01.02/3827/NL-HaNA_1.01.02_3827_0181.jpg/3506,540,721,310/full/0/default.jpg", "iiif_url")</f>
        <v>iiif_url</v>
      </c>
      <c r="P39" t="s">
        <v>188</v>
      </c>
      <c r="Q39" t="str">
        <f>HYPERLINK("https://images.diginfra.net/framed3.html?imagesetuuid=cb4f4e9c-bdd8-4992-9de8-6ddd9348148f&amp;uri=https://images.diginfra.net/iiif/NL-HaNA_1.01.02/3827/NL-HaNA_1.01.02_3827_0182.jpg", "next_meeting_viewer_url")</f>
        <v>next_meeting_viewer_url</v>
      </c>
      <c r="R39" t="str">
        <f>HYPERLINK("https://images.diginfra.net/iiif/NL-HaNA_1.01.02/3827/NL-HaNA_1.01.02_3827_0182.jpg/1388,589,760,310/full/0/default.jpg", "next_meeting_iiif_url")</f>
        <v>next_meeting_iiif_url</v>
      </c>
      <c r="S39" t="s">
        <v>189</v>
      </c>
      <c r="T39" t="str">
        <f>HYPERLINK("https://images.diginfra.net/framed3.html?imagesetuuid=cb4f4e9c-bdd8-4992-9de8-6ddd9348148f&amp;uri=https://images.diginfra.net/iiif/NL-HaNA_1.01.02/3827/NL-HaNA_1.01.02_3827_0181.jpg", "prev_meeting_viewer_url")</f>
        <v>prev_meeting_viewer_url</v>
      </c>
      <c r="U39" t="str">
        <f>HYPERLINK("https://images.diginfra.net/iiif/NL-HaNA_1.01.02/3827/NL-HaNA_1.01.02_3827_0181.jpg/448,229,686,310/full/0/default.jpg", "prev_meeting_iiif_url")</f>
        <v>prev_meeting_iiif_url</v>
      </c>
    </row>
    <row r="40" spans="1:21" x14ac:dyDescent="0.2">
      <c r="A40" t="s">
        <v>190</v>
      </c>
      <c r="B40" t="s">
        <v>71</v>
      </c>
      <c r="C40" t="s">
        <v>191</v>
      </c>
      <c r="D40" t="b">
        <v>1</v>
      </c>
      <c r="E40" t="b">
        <v>1</v>
      </c>
      <c r="F40">
        <v>0</v>
      </c>
      <c r="G40" t="s">
        <v>192</v>
      </c>
      <c r="H40">
        <v>3824</v>
      </c>
      <c r="I40">
        <v>532</v>
      </c>
      <c r="J40">
        <v>1063</v>
      </c>
      <c r="K40">
        <v>1</v>
      </c>
      <c r="L40">
        <v>1</v>
      </c>
      <c r="M40">
        <v>0</v>
      </c>
      <c r="N40" t="str">
        <f>HYPERLINK("https://images.diginfra.net/framed3.html?imagesetuuid=dd191040-86df-4eff-a597-814a829dbed3&amp;uri=https://images.diginfra.net/iiif/NL-HaNA_1.01.02/3824/NL-HaNA_1.01.02_3824_0532.jpg", "viewer_url")</f>
        <v>viewer_url</v>
      </c>
      <c r="O40" t="str">
        <f>HYPERLINK("https://images.diginfra.net/iiif/NL-HaNA_1.01.02/3824/NL-HaNA_1.01.02_3824_0532.jpg/3464,2627,823,314/full/0/default.jpg", "iiif_url")</f>
        <v>iiif_url</v>
      </c>
      <c r="S40" t="s">
        <v>193</v>
      </c>
      <c r="T40" t="str">
        <f>HYPERLINK("https://images.diginfra.net/framed3.html?imagesetuuid=dd191040-86df-4eff-a597-814a829dbed3&amp;uri=https://images.diginfra.net/iiif/NL-HaNA_1.01.02/3824/NL-HaNA_1.01.02_3824_0531.jpg", "prev_meeting_viewer_url")</f>
        <v>prev_meeting_viewer_url</v>
      </c>
      <c r="U40" t="str">
        <f>HYPERLINK("https://images.diginfra.net/iiif/NL-HaNA_1.01.02/3824/NL-HaNA_1.01.02_3824_0531.jpg/2441,1227,826,315/full/0/default.jpg", "prev_meeting_iiif_url")</f>
        <v>prev_meeting_iiif_url</v>
      </c>
    </row>
    <row r="41" spans="1:21" x14ac:dyDescent="0.2">
      <c r="A41" t="s">
        <v>194</v>
      </c>
      <c r="B41" t="s">
        <v>21</v>
      </c>
      <c r="D41" t="b">
        <v>1</v>
      </c>
      <c r="E41" t="b">
        <v>1</v>
      </c>
      <c r="F41">
        <v>1</v>
      </c>
      <c r="G41" t="s">
        <v>195</v>
      </c>
      <c r="H41">
        <v>3768</v>
      </c>
      <c r="I41">
        <v>770</v>
      </c>
      <c r="J41">
        <v>1538</v>
      </c>
      <c r="K41">
        <v>1</v>
      </c>
      <c r="L41">
        <v>0</v>
      </c>
      <c r="M41">
        <v>0</v>
      </c>
      <c r="N41" t="str">
        <f>HYPERLINK("https://images.diginfra.net/framed3.html?imagesetuuid=1acf58b1-bf15-476d-be78-c088e43e81b9&amp;uri=https://images.diginfra.net/iiif/NL-HaNA_1.01.02/3768/NL-HaNA_1.01.02_3768_0770.jpg", "viewer_url")</f>
        <v>viewer_url</v>
      </c>
      <c r="O41" t="str">
        <f>HYPERLINK("https://images.diginfra.net/iiif/NL-HaNA_1.01.02/3768/NL-HaNA_1.01.02_3768_0770.jpg/1656,309,318,306/full/0/default.jpg", "iiif_url")</f>
        <v>iiif_url</v>
      </c>
      <c r="P41" t="s">
        <v>196</v>
      </c>
      <c r="Q41" t="str">
        <f>HYPERLINK("https://images.diginfra.net/framed3.html?imagesetuuid=1acf58b1-bf15-476d-be78-c088e43e81b9&amp;uri=https://images.diginfra.net/iiif/NL-HaNA_1.01.02/3768/NL-HaNA_1.01.02_3768_0773.jpg", "next_meeting_viewer_url")</f>
        <v>next_meeting_viewer_url</v>
      </c>
      <c r="R41" t="str">
        <f>HYPERLINK("https://images.diginfra.net/iiif/NL-HaNA_1.01.02/3768/NL-HaNA_1.01.02_3768_0773.jpg/2567,888,801,307/full/0/default.jpg", "next_meeting_iiif_url")</f>
        <v>next_meeting_iiif_url</v>
      </c>
      <c r="S41" t="s">
        <v>197</v>
      </c>
      <c r="T41" t="str">
        <f>HYPERLINK("https://images.diginfra.net/framed3.html?imagesetuuid=1acf58b1-bf15-476d-be78-c088e43e81b9&amp;uri=https://images.diginfra.net/iiif/NL-HaNA_1.01.02/3768/NL-HaNA_1.01.02_3768_0768.jpg", "prev_meeting_viewer_url")</f>
        <v>prev_meeting_viewer_url</v>
      </c>
      <c r="U41" t="str">
        <f>HYPERLINK("https://images.diginfra.net/iiif/NL-HaNA_1.01.02/3768/NL-HaNA_1.01.02_3768_0768.jpg/514,828,744,312/full/0/default.jpg", "prev_meeting_iiif_url")</f>
        <v>prev_meeting_iiif_url</v>
      </c>
    </row>
    <row r="42" spans="1:21" x14ac:dyDescent="0.2">
      <c r="A42" t="s">
        <v>198</v>
      </c>
      <c r="B42" t="s">
        <v>55</v>
      </c>
      <c r="D42" t="b">
        <v>0</v>
      </c>
      <c r="E42" t="b">
        <v>0</v>
      </c>
      <c r="F42">
        <v>1</v>
      </c>
      <c r="P42" t="s">
        <v>199</v>
      </c>
      <c r="Q42" t="str">
        <f>HYPERLINK("https://images.diginfra.net/framed3.html?imagesetuuid=c13c7ed6-75ba-4433-9b44-0db683995fb3&amp;uri=https://images.diginfra.net/iiif/NL-HaNA_1.01.02/3817/NL-HaNA_1.01.02_3817_0420.jpg", "next_meeting_viewer_url")</f>
        <v>next_meeting_viewer_url</v>
      </c>
      <c r="R42" t="str">
        <f>HYPERLINK("https://images.diginfra.net/iiif/NL-HaNA_1.01.02/3817/NL-HaNA_1.01.02_3817_0420.jpg/2501,1426,752,311/full/0/default.jpg", "next_meeting_iiif_url")</f>
        <v>next_meeting_iiif_url</v>
      </c>
      <c r="S42" t="s">
        <v>199</v>
      </c>
      <c r="T42" t="str">
        <f>HYPERLINK("https://images.diginfra.net/framed3.html?imagesetuuid=c13c7ed6-75ba-4433-9b44-0db683995fb3&amp;uri=https://images.diginfra.net/iiif/NL-HaNA_1.01.02/3817/NL-HaNA_1.01.02_3817_0420.jpg", "prev_meeting_viewer_url")</f>
        <v>prev_meeting_viewer_url</v>
      </c>
      <c r="U42" t="str">
        <f>HYPERLINK("https://images.diginfra.net/iiif/NL-HaNA_1.01.02/3817/NL-HaNA_1.01.02_3817_0420.jpg/2501,1426,752,311/full/0/default.jpg", "prev_meeting_iiif_url")</f>
        <v>prev_meeting_iiif_url</v>
      </c>
    </row>
    <row r="43" spans="1:21" x14ac:dyDescent="0.2">
      <c r="A43" t="s">
        <v>200</v>
      </c>
      <c r="B43" t="s">
        <v>21</v>
      </c>
      <c r="C43" t="s">
        <v>201</v>
      </c>
      <c r="D43" t="b">
        <v>1</v>
      </c>
      <c r="E43" t="b">
        <v>1</v>
      </c>
      <c r="F43">
        <v>1</v>
      </c>
      <c r="G43" t="s">
        <v>202</v>
      </c>
      <c r="H43">
        <v>3796</v>
      </c>
      <c r="I43">
        <v>379</v>
      </c>
      <c r="J43">
        <v>757</v>
      </c>
      <c r="K43">
        <v>1</v>
      </c>
      <c r="L43">
        <v>1</v>
      </c>
      <c r="M43">
        <v>0</v>
      </c>
      <c r="N43" t="str">
        <f>HYPERLINK("https://images.diginfra.net/framed3.html?imagesetuuid=ece8f80b-0549-4e73-82ff-af47ed8525ac&amp;uri=https://images.diginfra.net/iiif/NL-HaNA_1.01.02/3796/NL-HaNA_1.01.02_3796_0379.jpg", "viewer_url")</f>
        <v>viewer_url</v>
      </c>
      <c r="O43" t="str">
        <f>HYPERLINK("https://images.diginfra.net/iiif/NL-HaNA_1.01.02/3796/NL-HaNA_1.01.02_3796_0379.jpg/3449,500,839,310/full/0/default.jpg", "iiif_url")</f>
        <v>iiif_url</v>
      </c>
      <c r="P43" t="s">
        <v>203</v>
      </c>
      <c r="Q43" t="str">
        <f>HYPERLINK("https://images.diginfra.net/framed3.html?imagesetuuid=ece8f80b-0549-4e73-82ff-af47ed8525ac&amp;uri=https://images.diginfra.net/iiif/NL-HaNA_1.01.02/3796/NL-HaNA_1.01.02_3796_0381.jpg", "next_meeting_viewer_url")</f>
        <v>next_meeting_viewer_url</v>
      </c>
      <c r="R43" t="str">
        <f>HYPERLINK("https://images.diginfra.net/iiif/NL-HaNA_1.01.02/3796/NL-HaNA_1.01.02_3796_0381.jpg/460,1162,856,313/full/0/default.jpg", "next_meeting_iiif_url")</f>
        <v>next_meeting_iiif_url</v>
      </c>
      <c r="S43" t="s">
        <v>204</v>
      </c>
      <c r="T43" t="str">
        <f>HYPERLINK("https://images.diginfra.net/framed3.html?imagesetuuid=ece8f80b-0549-4e73-82ff-af47ed8525ac&amp;uri=https://images.diginfra.net/iiif/NL-HaNA_1.01.02/3796/NL-HaNA_1.01.02_3796_0373.jpg", "prev_meeting_viewer_url")</f>
        <v>prev_meeting_viewer_url</v>
      </c>
      <c r="U43" t="str">
        <f>HYPERLINK("https://images.diginfra.net/iiif/NL-HaNA_1.01.02/3796/NL-HaNA_1.01.02_3796_0373.jpg/2540,724,798,311/full/0/default.jpg", "prev_meeting_iiif_url")</f>
        <v>prev_meeting_iiif_url</v>
      </c>
    </row>
    <row r="44" spans="1:21" x14ac:dyDescent="0.2">
      <c r="A44" t="s">
        <v>205</v>
      </c>
      <c r="B44" t="s">
        <v>71</v>
      </c>
      <c r="C44" t="s">
        <v>206</v>
      </c>
      <c r="D44" t="b">
        <v>1</v>
      </c>
      <c r="E44" t="b">
        <v>1</v>
      </c>
      <c r="F44">
        <v>1</v>
      </c>
      <c r="G44" t="s">
        <v>207</v>
      </c>
      <c r="H44">
        <v>3773</v>
      </c>
      <c r="I44">
        <v>90</v>
      </c>
      <c r="J44">
        <v>178</v>
      </c>
      <c r="K44">
        <v>1</v>
      </c>
      <c r="L44">
        <v>2</v>
      </c>
      <c r="M44">
        <v>0</v>
      </c>
      <c r="N44" t="str">
        <f>HYPERLINK("https://images.diginfra.net/framed3.html?imagesetuuid=0d0ede5e-a7f6-4a03-b996-493e50528c24&amp;uri=https://images.diginfra.net/iiif/NL-HaNA_1.01.02/3773/NL-HaNA_1.01.02_3773_0090.jpg", "viewer_url")</f>
        <v>viewer_url</v>
      </c>
      <c r="O44" t="str">
        <f>HYPERLINK("https://images.diginfra.net/iiif/NL-HaNA_1.01.02/3773/NL-HaNA_1.01.02_3773_0090.jpg/1387,2197,826,318/full/0/default.jpg", "iiif_url")</f>
        <v>iiif_url</v>
      </c>
      <c r="P44" t="s">
        <v>208</v>
      </c>
      <c r="Q44" t="str">
        <f>HYPERLINK("https://images.diginfra.net/framed3.html?imagesetuuid=0d0ede5e-a7f6-4a03-b996-493e50528c24&amp;uri=https://images.diginfra.net/iiif/NL-HaNA_1.01.02/3773/NL-HaNA_1.01.02_3773_0092.jpg", "next_meeting_viewer_url")</f>
        <v>next_meeting_viewer_url</v>
      </c>
      <c r="R44" t="str">
        <f>HYPERLINK("https://images.diginfra.net/iiif/NL-HaNA_1.01.02/3773/NL-HaNA_1.01.02_3773_0092.jpg/2536,2794,782,319/full/0/default.jpg", "next_meeting_iiif_url")</f>
        <v>next_meeting_iiif_url</v>
      </c>
      <c r="S44" t="s">
        <v>206</v>
      </c>
      <c r="T44" t="str">
        <f>HYPERLINK("https://images.diginfra.net/framed3.html?imagesetuuid=0d0ede5e-a7f6-4a03-b996-493e50528c24&amp;uri=https://images.diginfra.net/iiif/NL-HaNA_1.01.02/3773/NL-HaNA_1.01.02_3773_0090.jpg", "prev_meeting_viewer_url")</f>
        <v>prev_meeting_viewer_url</v>
      </c>
      <c r="U44" t="str">
        <f>HYPERLINK("https://images.diginfra.net/iiif/NL-HaNA_1.01.02/3773/NL-HaNA_1.01.02_3773_0090.jpg/1387,2197,826,318/full/0/default.jpg", "prev_meeting_iiif_url")</f>
        <v>prev_meeting_iiif_url</v>
      </c>
    </row>
    <row r="45" spans="1:21" x14ac:dyDescent="0.2">
      <c r="A45" t="s">
        <v>209</v>
      </c>
      <c r="B45" t="s">
        <v>38</v>
      </c>
      <c r="C45" t="s">
        <v>210</v>
      </c>
      <c r="D45" t="b">
        <v>1</v>
      </c>
      <c r="E45" t="b">
        <v>1</v>
      </c>
      <c r="F45">
        <v>1</v>
      </c>
      <c r="G45" t="s">
        <v>211</v>
      </c>
      <c r="H45">
        <v>3796</v>
      </c>
      <c r="I45">
        <v>258</v>
      </c>
      <c r="J45">
        <v>515</v>
      </c>
      <c r="K45">
        <v>0</v>
      </c>
      <c r="L45">
        <v>1</v>
      </c>
      <c r="M45">
        <v>0</v>
      </c>
      <c r="N45" t="str">
        <f>HYPERLINK("https://images.diginfra.net/framed3.html?imagesetuuid=ece8f80b-0549-4e73-82ff-af47ed8525ac&amp;uri=https://images.diginfra.net/iiif/NL-HaNA_1.01.02/3796/NL-HaNA_1.01.02_3796_0258.jpg", "viewer_url")</f>
        <v>viewer_url</v>
      </c>
      <c r="O45" t="str">
        <f>HYPERLINK("https://images.diginfra.net/iiif/NL-HaNA_1.01.02/3796/NL-HaNA_1.01.02_3796_0258.jpg/2529,1047,730,312/full/0/default.jpg", "iiif_url")</f>
        <v>iiif_url</v>
      </c>
      <c r="P45" t="s">
        <v>212</v>
      </c>
      <c r="Q45" t="str">
        <f>HYPERLINK("https://images.diginfra.net/framed3.html?imagesetuuid=ece8f80b-0549-4e73-82ff-af47ed8525ac&amp;uri=https://images.diginfra.net/iiif/NL-HaNA_1.01.02/3796/NL-HaNA_1.01.02_3796_0260.jpg", "next_meeting_viewer_url")</f>
        <v>next_meeting_viewer_url</v>
      </c>
      <c r="R45" t="str">
        <f>HYPERLINK("https://images.diginfra.net/iiif/NL-HaNA_1.01.02/3796/NL-HaNA_1.01.02_3796_0260.jpg/2492,1455,781,312/full/0/default.jpg", "next_meeting_iiif_url")</f>
        <v>next_meeting_iiif_url</v>
      </c>
      <c r="S45" t="s">
        <v>213</v>
      </c>
      <c r="T45" t="str">
        <f>HYPERLINK("https://images.diginfra.net/framed3.html?imagesetuuid=ece8f80b-0549-4e73-82ff-af47ed8525ac&amp;uri=https://images.diginfra.net/iiif/NL-HaNA_1.01.02/3796/NL-HaNA_1.01.02_3796_0257.jpg", "prev_meeting_viewer_url")</f>
        <v>prev_meeting_viewer_url</v>
      </c>
      <c r="U45" t="str">
        <f>HYPERLINK("https://images.diginfra.net/iiif/NL-HaNA_1.01.02/3796/NL-HaNA_1.01.02_3796_0257.jpg/3418,2092,770,312/full/0/default.jpg", "prev_meeting_iiif_url")</f>
        <v>prev_meeting_iiif_url</v>
      </c>
    </row>
    <row r="46" spans="1:21" x14ac:dyDescent="0.2">
      <c r="A46" t="s">
        <v>214</v>
      </c>
      <c r="B46" t="s">
        <v>55</v>
      </c>
      <c r="D46" t="b">
        <v>0</v>
      </c>
      <c r="E46" t="b">
        <v>0</v>
      </c>
      <c r="F46">
        <v>1</v>
      </c>
      <c r="P46" t="s">
        <v>215</v>
      </c>
      <c r="Q46" t="str">
        <f>HYPERLINK("https://images.diginfra.net/framed3.html?imagesetuuid=eefad0ef-c5b6-4672-8a4e-c123198eddbf&amp;uri=https://images.diginfra.net/iiif/NL-HaNA_1.01.02/3856/NL-HaNA_1.01.02_3856_0110.jpg", "next_meeting_viewer_url")</f>
        <v>next_meeting_viewer_url</v>
      </c>
      <c r="R46" t="str">
        <f>HYPERLINK("https://images.diginfra.net/iiif/NL-HaNA_1.01.02/3856/NL-HaNA_1.01.02_3856_0110.jpg/3532,234,712,320/full/0/default.jpg", "next_meeting_iiif_url")</f>
        <v>next_meeting_iiif_url</v>
      </c>
    </row>
    <row r="47" spans="1:21" x14ac:dyDescent="0.2">
      <c r="A47" t="s">
        <v>216</v>
      </c>
      <c r="B47" t="s">
        <v>44</v>
      </c>
      <c r="C47" t="s">
        <v>217</v>
      </c>
      <c r="D47" t="b">
        <v>1</v>
      </c>
      <c r="E47" t="b">
        <v>1</v>
      </c>
      <c r="F47">
        <v>1</v>
      </c>
      <c r="G47" t="s">
        <v>218</v>
      </c>
      <c r="H47">
        <v>3769</v>
      </c>
      <c r="I47">
        <v>181</v>
      </c>
      <c r="J47">
        <v>361</v>
      </c>
      <c r="K47">
        <v>1</v>
      </c>
      <c r="L47">
        <v>1</v>
      </c>
      <c r="M47">
        <v>0</v>
      </c>
      <c r="N47" t="str">
        <f>HYPERLINK("https://images.diginfra.net/framed3.html?imagesetuuid=bb249823-a699-4b97-863d-a74b3ce499f0&amp;uri=https://images.diginfra.net/iiif/NL-HaNA_1.01.02/3769/NL-HaNA_1.01.02_3769_0181.jpg", "viewer_url")</f>
        <v>viewer_url</v>
      </c>
      <c r="O47" t="str">
        <f>HYPERLINK("https://images.diginfra.net/iiif/NL-HaNA_1.01.02/3769/NL-HaNA_1.01.02_3769_0181.jpg/3622,402,690,308/full/0/default.jpg", "iiif_url")</f>
        <v>iiif_url</v>
      </c>
      <c r="P47" t="s">
        <v>219</v>
      </c>
      <c r="Q47" t="str">
        <f>HYPERLINK("https://images.diginfra.net/framed3.html?imagesetuuid=bb249823-a699-4b97-863d-a74b3ce499f0&amp;uri=https://images.diginfra.net/iiif/NL-HaNA_1.01.02/3769/NL-HaNA_1.01.02_3769_0183.jpg", "next_meeting_viewer_url")</f>
        <v>next_meeting_viewer_url</v>
      </c>
      <c r="R47" t="str">
        <f>HYPERLINK("https://images.diginfra.net/iiif/NL-HaNA_1.01.02/3769/NL-HaNA_1.01.02_3769_0183.jpg/2644,3010,717,308/full/0/default.jpg", "next_meeting_iiif_url")</f>
        <v>next_meeting_iiif_url</v>
      </c>
      <c r="S47" t="s">
        <v>220</v>
      </c>
      <c r="T47" t="str">
        <f>HYPERLINK("https://images.diginfra.net/framed3.html?imagesetuuid=bb249823-a699-4b97-863d-a74b3ce499f0&amp;uri=https://images.diginfra.net/iiif/NL-HaNA_1.01.02/3769/NL-HaNA_1.01.02_3769_0179.jpg", "prev_meeting_viewer_url")</f>
        <v>prev_meeting_viewer_url</v>
      </c>
      <c r="U47" t="str">
        <f>HYPERLINK("https://images.diginfra.net/iiif/NL-HaNA_1.01.02/3769/NL-HaNA_1.01.02_3769_0179.jpg/430,842,741,306/full/0/default.jpg", "prev_meeting_iiif_url")</f>
        <v>prev_meeting_iiif_url</v>
      </c>
    </row>
    <row r="48" spans="1:21" x14ac:dyDescent="0.2">
      <c r="A48" t="s">
        <v>221</v>
      </c>
      <c r="B48" t="s">
        <v>21</v>
      </c>
      <c r="C48" t="s">
        <v>222</v>
      </c>
      <c r="D48" t="b">
        <v>1</v>
      </c>
      <c r="E48" t="b">
        <v>1</v>
      </c>
      <c r="F48">
        <v>1</v>
      </c>
      <c r="G48" t="s">
        <v>223</v>
      </c>
      <c r="H48">
        <v>3833</v>
      </c>
      <c r="I48">
        <v>485</v>
      </c>
      <c r="J48">
        <v>969</v>
      </c>
      <c r="K48">
        <v>0</v>
      </c>
      <c r="L48">
        <v>0</v>
      </c>
      <c r="M48">
        <v>47</v>
      </c>
      <c r="N48" t="str">
        <f>HYPERLINK("https://images.diginfra.net/framed3.html?imagesetuuid=93b95c12-1805-42f5-98c6-c352681b46bb&amp;uri=https://images.diginfra.net/iiif/NL-HaNA_1.01.02/3833/NL-HaNA_1.01.02_3833_0485.jpg", "viewer_url")</f>
        <v>viewer_url</v>
      </c>
      <c r="O48" t="str">
        <f>HYPERLINK("https://images.diginfra.net/iiif/NL-HaNA_1.01.02/3833/NL-HaNA_1.01.02_3833_0485.jpg/2504,1890,764,313/full/0/default.jpg", "iiif_url")</f>
        <v>iiif_url</v>
      </c>
      <c r="P48" t="s">
        <v>42</v>
      </c>
      <c r="Q48" t="str">
        <f>HYPERLINK("https://images.diginfra.net/framed3.html?imagesetuuid=93b95c12-1805-42f5-98c6-c352681b46bb&amp;uri=https://images.diginfra.net/iiif/NL-HaNA_1.01.02/3833/NL-HaNA_1.01.02_3833_0487.jpg", "next_meeting_viewer_url")</f>
        <v>next_meeting_viewer_url</v>
      </c>
      <c r="R48" t="str">
        <f>HYPERLINK("https://images.diginfra.net/iiif/NL-HaNA_1.01.02/3833/NL-HaNA_1.01.02_3833_0487.jpg/2485,2950,803,313/full/0/default.jpg", "next_meeting_iiif_url")</f>
        <v>next_meeting_iiif_url</v>
      </c>
      <c r="S48" t="s">
        <v>224</v>
      </c>
      <c r="T48" t="str">
        <f>HYPERLINK("https://images.diginfra.net/framed3.html?imagesetuuid=93b95c12-1805-42f5-98c6-c352681b46bb&amp;uri=https://images.diginfra.net/iiif/NL-HaNA_1.01.02/3833/NL-HaNA_1.01.02_3833_0484.jpg", "prev_meeting_viewer_url")</f>
        <v>prev_meeting_viewer_url</v>
      </c>
      <c r="U48" t="str">
        <f>HYPERLINK("https://images.diginfra.net/iiif/NL-HaNA_1.01.02/3833/NL-HaNA_1.01.02_3833_0484.jpg/2526,640,726,312/full/0/default.jpg", "prev_meeting_iiif_url")</f>
        <v>prev_meeting_iiif_url</v>
      </c>
    </row>
    <row r="49" spans="1:21" x14ac:dyDescent="0.2">
      <c r="A49" t="s">
        <v>225</v>
      </c>
      <c r="B49" t="s">
        <v>38</v>
      </c>
      <c r="C49" t="s">
        <v>226</v>
      </c>
      <c r="D49" t="b">
        <v>1</v>
      </c>
      <c r="E49" t="b">
        <v>1</v>
      </c>
      <c r="F49">
        <v>1</v>
      </c>
      <c r="G49" t="s">
        <v>227</v>
      </c>
      <c r="H49">
        <v>3861</v>
      </c>
      <c r="I49">
        <v>128</v>
      </c>
      <c r="J49">
        <v>254</v>
      </c>
      <c r="K49">
        <v>1</v>
      </c>
      <c r="L49">
        <v>2</v>
      </c>
      <c r="M49">
        <v>0</v>
      </c>
      <c r="N49" t="str">
        <f>HYPERLINK("https://images.diginfra.net/framed3.html?imagesetuuid=b4e67ed8-83e3-4753-be03-ba41d876b057&amp;uri=https://images.diginfra.net/iiif/NL-HaNA_1.01.02/3861/NL-HaNA_1.01.02_3861_0128.jpg", "viewer_url")</f>
        <v>viewer_url</v>
      </c>
      <c r="O49" t="str">
        <f>HYPERLINK("https://images.diginfra.net/iiif/NL-HaNA_1.01.02/3861/NL-HaNA_1.01.02_3861_0128.jpg/1333,2276,767,318/full/0/default.jpg", "iiif_url")</f>
        <v>iiif_url</v>
      </c>
      <c r="P49" t="s">
        <v>228</v>
      </c>
      <c r="Q49" t="str">
        <f>HYPERLINK("https://images.diginfra.net/framed3.html?imagesetuuid=b4e67ed8-83e3-4753-be03-ba41d876b057&amp;uri=https://images.diginfra.net/iiif/NL-HaNA_1.01.02/3861/NL-HaNA_1.01.02_3861_0131.jpg", "next_meeting_viewer_url")</f>
        <v>next_meeting_viewer_url</v>
      </c>
      <c r="R49" t="str">
        <f>HYPERLINK("https://images.diginfra.net/iiif/NL-HaNA_1.01.02/3861/NL-HaNA_1.01.02_3861_0131.jpg/1279,2231,846,313/full/0/default.jpg", "next_meeting_iiif_url")</f>
        <v>next_meeting_iiif_url</v>
      </c>
      <c r="S49" t="s">
        <v>229</v>
      </c>
      <c r="T49" t="str">
        <f>HYPERLINK("https://images.diginfra.net/framed3.html?imagesetuuid=b4e67ed8-83e3-4753-be03-ba41d876b057&amp;uri=https://images.diginfra.net/iiif/NL-HaNA_1.01.02/3861/NL-HaNA_1.01.02_3861_0125.jpg", "prev_meeting_viewer_url")</f>
        <v>prev_meeting_viewer_url</v>
      </c>
      <c r="U49" t="str">
        <f>HYPERLINK("https://images.diginfra.net/iiif/NL-HaNA_1.01.02/3861/NL-HaNA_1.01.02_3861_0125.jpg/2323,2859,840,324/full/0/default.jpg", "prev_meeting_iiif_url")</f>
        <v>prev_meeting_iiif_url</v>
      </c>
    </row>
    <row r="50" spans="1:21" x14ac:dyDescent="0.2">
      <c r="A50" t="s">
        <v>230</v>
      </c>
      <c r="B50" t="s">
        <v>27</v>
      </c>
      <c r="C50" t="s">
        <v>231</v>
      </c>
      <c r="D50" t="b">
        <v>1</v>
      </c>
      <c r="E50" t="b">
        <v>1</v>
      </c>
      <c r="F50">
        <v>1</v>
      </c>
      <c r="G50" t="s">
        <v>232</v>
      </c>
      <c r="H50">
        <v>3765</v>
      </c>
      <c r="I50">
        <v>224</v>
      </c>
      <c r="J50">
        <v>446</v>
      </c>
      <c r="K50">
        <v>0</v>
      </c>
      <c r="L50">
        <v>1</v>
      </c>
      <c r="M50">
        <v>0</v>
      </c>
      <c r="N50" t="str">
        <f>HYPERLINK("https://images.diginfra.net/framed3.html?imagesetuuid=4dfc1a1b-8cdf-4492-b411-5e67950ce484&amp;uri=https://images.diginfra.net/iiif/NL-HaNA_1.01.02/3765/NL-HaNA_1.01.02_3765_0224.jpg", "viewer_url")</f>
        <v>viewer_url</v>
      </c>
      <c r="O50" t="str">
        <f>HYPERLINK("https://images.diginfra.net/iiif/NL-HaNA_1.01.02/3765/NL-HaNA_1.01.02_3765_0224.jpg/430,2723,740,314/full/0/default.jpg", "iiif_url")</f>
        <v>iiif_url</v>
      </c>
      <c r="P50" t="s">
        <v>233</v>
      </c>
      <c r="Q50" t="str">
        <f>HYPERLINK("https://images.diginfra.net/framed3.html?imagesetuuid=4dfc1a1b-8cdf-4492-b411-5e67950ce484&amp;uri=https://images.diginfra.net/iiif/NL-HaNA_1.01.02/3765/NL-HaNA_1.01.02_3765_0227.jpg", "next_meeting_viewer_url")</f>
        <v>next_meeting_viewer_url</v>
      </c>
      <c r="R50" t="str">
        <f>HYPERLINK("https://images.diginfra.net/iiif/NL-HaNA_1.01.02/3765/NL-HaNA_1.01.02_3765_0227.jpg/2624,1085,764,315/full/0/default.jpg", "next_meeting_iiif_url")</f>
        <v>next_meeting_iiif_url</v>
      </c>
      <c r="S50" t="s">
        <v>234</v>
      </c>
      <c r="T50" t="str">
        <f>HYPERLINK("https://images.diginfra.net/framed3.html?imagesetuuid=4dfc1a1b-8cdf-4492-b411-5e67950ce484&amp;uri=https://images.diginfra.net/iiif/NL-HaNA_1.01.02/3765/NL-HaNA_1.01.02_3765_0222.jpg", "prev_meeting_viewer_url")</f>
        <v>prev_meeting_viewer_url</v>
      </c>
      <c r="U50" t="str">
        <f>HYPERLINK("https://images.diginfra.net/iiif/NL-HaNA_1.01.02/3765/NL-HaNA_1.01.02_3765_0222.jpg/456,1224,705,314/full/0/default.jpg", "prev_meeting_iiif_url")</f>
        <v>prev_meeting_iiif_url</v>
      </c>
    </row>
    <row r="51" spans="1:21" x14ac:dyDescent="0.2">
      <c r="A51" t="s">
        <v>235</v>
      </c>
      <c r="B51" t="s">
        <v>27</v>
      </c>
      <c r="C51" t="s">
        <v>236</v>
      </c>
      <c r="D51" t="b">
        <v>1</v>
      </c>
      <c r="E51" t="b">
        <v>1</v>
      </c>
      <c r="F51">
        <v>1</v>
      </c>
      <c r="G51" t="s">
        <v>237</v>
      </c>
      <c r="H51">
        <v>3764</v>
      </c>
      <c r="I51">
        <v>97</v>
      </c>
      <c r="J51">
        <v>193</v>
      </c>
      <c r="K51">
        <v>0</v>
      </c>
      <c r="L51">
        <v>1</v>
      </c>
      <c r="M51">
        <v>0</v>
      </c>
      <c r="N51" t="str">
        <f>HYPERLINK("https://images.diginfra.net/framed3.html?imagesetuuid=111590de-8f08-498e-8bad-f6a289f87065&amp;uri=https://images.diginfra.net/iiif/NL-HaNA_1.01.02/3764/NL-HaNA_1.01.02_3764_0097.jpg", "viewer_url")</f>
        <v>viewer_url</v>
      </c>
      <c r="O51" t="str">
        <f>HYPERLINK("https://images.diginfra.net/iiif/NL-HaNA_1.01.02/3764/NL-HaNA_1.01.02_3764_0097.jpg/2643,534,790,306/full/0/default.jpg", "iiif_url")</f>
        <v>iiif_url</v>
      </c>
      <c r="P51" t="s">
        <v>238</v>
      </c>
      <c r="Q51" t="str">
        <f>HYPERLINK("https://images.diginfra.net/framed3.html?imagesetuuid=111590de-8f08-498e-8bad-f6a289f87065&amp;uri=https://images.diginfra.net/iiif/NL-HaNA_1.01.02/3764/NL-HaNA_1.01.02_3764_0098.jpg", "next_meeting_viewer_url")</f>
        <v>next_meeting_viewer_url</v>
      </c>
      <c r="R51" t="str">
        <f>HYPERLINK("https://images.diginfra.net/iiif/NL-HaNA_1.01.02/3764/NL-HaNA_1.01.02_3764_0098.jpg/2648,2765,853,303/full/0/default.jpg", "next_meeting_iiif_url")</f>
        <v>next_meeting_iiif_url</v>
      </c>
      <c r="S51" t="s">
        <v>239</v>
      </c>
      <c r="T51" t="str">
        <f>HYPERLINK("https://images.diginfra.net/framed3.html?imagesetuuid=111590de-8f08-498e-8bad-f6a289f87065&amp;uri=https://images.diginfra.net/iiif/NL-HaNA_1.01.02/3764/NL-HaNA_1.01.02_3764_0095.jpg", "prev_meeting_viewer_url")</f>
        <v>prev_meeting_viewer_url</v>
      </c>
      <c r="U51" t="str">
        <f>HYPERLINK("https://images.diginfra.net/iiif/NL-HaNA_1.01.02/3764/NL-HaNA_1.01.02_3764_0095.jpg/1473,1724,786,322/full/0/default.jpg", "prev_meeting_iiif_url")</f>
        <v>prev_meeting_iiif_url</v>
      </c>
    </row>
    <row r="52" spans="1:21" x14ac:dyDescent="0.2">
      <c r="A52" t="s">
        <v>240</v>
      </c>
      <c r="B52" t="s">
        <v>104</v>
      </c>
      <c r="D52" t="b">
        <v>1</v>
      </c>
      <c r="E52" t="b">
        <v>0</v>
      </c>
      <c r="F52">
        <v>0</v>
      </c>
    </row>
    <row r="53" spans="1:21" x14ac:dyDescent="0.2">
      <c r="A53" t="s">
        <v>241</v>
      </c>
      <c r="B53" t="s">
        <v>55</v>
      </c>
      <c r="C53" t="s">
        <v>242</v>
      </c>
      <c r="D53" t="b">
        <v>0</v>
      </c>
      <c r="E53" t="b">
        <v>1</v>
      </c>
      <c r="F53">
        <v>1</v>
      </c>
      <c r="G53" t="s">
        <v>243</v>
      </c>
      <c r="H53">
        <v>3763</v>
      </c>
      <c r="I53">
        <v>46</v>
      </c>
      <c r="J53">
        <v>91</v>
      </c>
      <c r="K53">
        <v>0</v>
      </c>
      <c r="L53">
        <v>2</v>
      </c>
      <c r="M53">
        <v>3</v>
      </c>
      <c r="N53" t="str">
        <f>HYPERLINK("https://images.diginfra.net/framed3.html?imagesetuuid=168ac05c-00de-43e1-bb35-d8e406b92363&amp;uri=https://images.diginfra.net/iiif/NL-HaNA_1.01.02/3763/NL-HaNA_1.01.02_3763_0046.jpg", "viewer_url")</f>
        <v>viewer_url</v>
      </c>
      <c r="O53" t="str">
        <f>HYPERLINK("https://images.diginfra.net/iiif/NL-HaNA_1.01.02/3763/NL-HaNA_1.01.02_3763_0046.jpg/2469,3161,953,313/full/0/default.jpg", "iiif_url")</f>
        <v>iiif_url</v>
      </c>
      <c r="P53" t="s">
        <v>242</v>
      </c>
      <c r="Q53" t="str">
        <f>HYPERLINK("https://images.diginfra.net/framed3.html?imagesetuuid=168ac05c-00de-43e1-bb35-d8e406b92363&amp;uri=https://images.diginfra.net/iiif/NL-HaNA_1.01.02/3763/NL-HaNA_1.01.02_3763_0046.jpg", "next_meeting_viewer_url")</f>
        <v>next_meeting_viewer_url</v>
      </c>
      <c r="R53" t="str">
        <f>HYPERLINK("https://images.diginfra.net/iiif/NL-HaNA_1.01.02/3763/NL-HaNA_1.01.02_3763_0046.jpg/2469,3161,953,313/full/0/default.jpg", "next_meeting_iiif_url")</f>
        <v>next_meeting_iiif_url</v>
      </c>
      <c r="S53" t="s">
        <v>244</v>
      </c>
      <c r="T53" t="str">
        <f>HYPERLINK("https://images.diginfra.net/framed3.html?imagesetuuid=168ac05c-00de-43e1-bb35-d8e406b92363&amp;uri=https://images.diginfra.net/iiif/NL-HaNA_1.01.02/3763/NL-HaNA_1.01.02_3763_0042.jpg", "prev_meeting_viewer_url")</f>
        <v>prev_meeting_viewer_url</v>
      </c>
      <c r="U53" t="str">
        <f>HYPERLINK("https://images.diginfra.net/iiif/NL-HaNA_1.01.02/3763/NL-HaNA_1.01.02_3763_0042.jpg/316,2995,936,316/full/0/default.jpg", "prev_meeting_iiif_url")</f>
        <v>prev_meeting_iiif_url</v>
      </c>
    </row>
    <row r="54" spans="1:21" x14ac:dyDescent="0.2">
      <c r="A54" t="s">
        <v>245</v>
      </c>
      <c r="B54" t="s">
        <v>71</v>
      </c>
      <c r="C54" t="s">
        <v>246</v>
      </c>
      <c r="D54" t="b">
        <v>1</v>
      </c>
      <c r="E54" t="b">
        <v>1</v>
      </c>
      <c r="F54">
        <v>1</v>
      </c>
      <c r="G54" t="s">
        <v>247</v>
      </c>
      <c r="H54">
        <v>3799</v>
      </c>
      <c r="I54">
        <v>107</v>
      </c>
      <c r="J54">
        <v>213</v>
      </c>
      <c r="K54">
        <v>0</v>
      </c>
      <c r="L54">
        <v>1</v>
      </c>
      <c r="M54">
        <v>0</v>
      </c>
      <c r="N54" t="str">
        <f>HYPERLINK("https://images.diginfra.net/framed3.html?imagesetuuid=4246d97e-5e7a-4171-b55e-14e0b73f61db&amp;uri=https://images.diginfra.net/iiif/NL-HaNA_1.01.02/3799/NL-HaNA_1.01.02_3799_0107.jpg", "viewer_url")</f>
        <v>viewer_url</v>
      </c>
      <c r="O54" t="str">
        <f>HYPERLINK("https://images.diginfra.net/iiif/NL-HaNA_1.01.02/3799/NL-HaNA_1.01.02_3799_0107.jpg/2435,1469,881,309/full/0/default.jpg", "iiif_url")</f>
        <v>iiif_url</v>
      </c>
      <c r="P54" t="s">
        <v>248</v>
      </c>
      <c r="Q54" t="str">
        <f>HYPERLINK("https://images.diginfra.net/framed3.html?imagesetuuid=4246d97e-5e7a-4171-b55e-14e0b73f61db&amp;uri=https://images.diginfra.net/iiif/NL-HaNA_1.01.02/3799/NL-HaNA_1.01.02_3799_0109.jpg", "next_meeting_viewer_url")</f>
        <v>next_meeting_viewer_url</v>
      </c>
      <c r="R54" t="str">
        <f>HYPERLINK("https://images.diginfra.net/iiif/NL-HaNA_1.01.02/3799/NL-HaNA_1.01.02_3799_0109.jpg/443,629,824,311/full/0/default.jpg", "next_meeting_iiif_url")</f>
        <v>next_meeting_iiif_url</v>
      </c>
      <c r="S54" t="s">
        <v>246</v>
      </c>
      <c r="T54" t="str">
        <f>HYPERLINK("https://images.diginfra.net/framed3.html?imagesetuuid=4246d97e-5e7a-4171-b55e-14e0b73f61db&amp;uri=https://images.diginfra.net/iiif/NL-HaNA_1.01.02/3799/NL-HaNA_1.01.02_3799_0107.jpg", "prev_meeting_viewer_url")</f>
        <v>prev_meeting_viewer_url</v>
      </c>
      <c r="U54" t="str">
        <f>HYPERLINK("https://images.diginfra.net/iiif/NL-HaNA_1.01.02/3799/NL-HaNA_1.01.02_3799_0107.jpg/2435,1469,881,309/full/0/default.jpg", "prev_meeting_iiif_url")</f>
        <v>prev_meeting_iiif_url</v>
      </c>
    </row>
    <row r="55" spans="1:21" x14ac:dyDescent="0.2">
      <c r="A55" t="s">
        <v>249</v>
      </c>
      <c r="B55" t="s">
        <v>21</v>
      </c>
      <c r="C55" t="s">
        <v>250</v>
      </c>
      <c r="D55" t="b">
        <v>1</v>
      </c>
      <c r="E55" t="b">
        <v>1</v>
      </c>
      <c r="F55">
        <v>1</v>
      </c>
      <c r="G55" t="s">
        <v>251</v>
      </c>
      <c r="H55">
        <v>3764</v>
      </c>
      <c r="I55">
        <v>678</v>
      </c>
      <c r="J55">
        <v>1354</v>
      </c>
      <c r="K55">
        <v>0</v>
      </c>
      <c r="L55">
        <v>1</v>
      </c>
      <c r="M55">
        <v>0</v>
      </c>
      <c r="N55" t="str">
        <f>HYPERLINK("https://images.diginfra.net/framed3.html?imagesetuuid=111590de-8f08-498e-8bad-f6a289f87065&amp;uri=https://images.diginfra.net/iiif/NL-HaNA_1.01.02/3764/NL-HaNA_1.01.02_3764_0678.jpg", "viewer_url")</f>
        <v>viewer_url</v>
      </c>
      <c r="O55" t="str">
        <f>HYPERLINK("https://images.diginfra.net/iiif/NL-HaNA_1.01.02/3764/NL-HaNA_1.01.02_3764_0678.jpg/489,1132,793,316/full/0/default.jpg", "iiif_url")</f>
        <v>iiif_url</v>
      </c>
      <c r="S55" t="s">
        <v>252</v>
      </c>
      <c r="T55" t="str">
        <f>HYPERLINK("https://images.diginfra.net/framed3.html?imagesetuuid=111590de-8f08-498e-8bad-f6a289f87065&amp;uri=https://images.diginfra.net/iiif/NL-HaNA_1.01.02/3764/NL-HaNA_1.01.02_3764_0675.jpg", "prev_meeting_viewer_url")</f>
        <v>prev_meeting_viewer_url</v>
      </c>
      <c r="U55" t="str">
        <f>HYPERLINK("https://images.diginfra.net/iiif/NL-HaNA_1.01.02/3764/NL-HaNA_1.01.02_3764_0675.jpg/1388,2859,772,336/full/0/default.jpg", "prev_meeting_iiif_url")</f>
        <v>prev_meeting_iiif_url</v>
      </c>
    </row>
    <row r="56" spans="1:21" x14ac:dyDescent="0.2">
      <c r="A56" t="s">
        <v>253</v>
      </c>
      <c r="B56" t="s">
        <v>104</v>
      </c>
      <c r="C56" t="s">
        <v>254</v>
      </c>
      <c r="D56" t="b">
        <v>1</v>
      </c>
      <c r="E56" t="b">
        <v>1</v>
      </c>
      <c r="F56">
        <v>1</v>
      </c>
      <c r="G56" t="s">
        <v>255</v>
      </c>
      <c r="H56">
        <v>3793</v>
      </c>
      <c r="I56">
        <v>163</v>
      </c>
      <c r="J56">
        <v>324</v>
      </c>
      <c r="K56">
        <v>0</v>
      </c>
      <c r="L56">
        <v>3</v>
      </c>
      <c r="M56">
        <v>0</v>
      </c>
      <c r="N56" t="str">
        <f>HYPERLINK("https://images.diginfra.net/framed3.html?imagesetuuid=8305a309-5c79-4c0c-a981-7e350c76be32&amp;uri=https://images.diginfra.net/iiif/NL-HaNA_1.01.02/3793/NL-HaNA_1.01.02_3793_0163.jpg", "viewer_url")</f>
        <v>viewer_url</v>
      </c>
      <c r="O56" t="str">
        <f>HYPERLINK("https://images.diginfra.net/iiif/NL-HaNA_1.01.02/3793/NL-HaNA_1.01.02_3793_0163.jpg/463,3024,744,313/full/0/default.jpg", "iiif_url")</f>
        <v>iiif_url</v>
      </c>
      <c r="P56" t="s">
        <v>256</v>
      </c>
      <c r="Q56" t="str">
        <f>HYPERLINK("https://images.diginfra.net/framed3.html?imagesetuuid=8305a309-5c79-4c0c-a981-7e350c76be32&amp;uri=https://images.diginfra.net/iiif/NL-HaNA_1.01.02/3793/NL-HaNA_1.01.02_3793_0163.jpg", "next_meeting_viewer_url")</f>
        <v>next_meeting_viewer_url</v>
      </c>
      <c r="R56" t="str">
        <f>HYPERLINK("https://images.diginfra.net/iiif/NL-HaNA_1.01.02/3793/NL-HaNA_1.01.02_3793_0163.jpg/3660,796,667,316/full/0/default.jpg", "next_meeting_iiif_url")</f>
        <v>next_meeting_iiif_url</v>
      </c>
    </row>
    <row r="57" spans="1:21" x14ac:dyDescent="0.2">
      <c r="A57" t="s">
        <v>257</v>
      </c>
      <c r="B57" t="s">
        <v>104</v>
      </c>
      <c r="C57" t="s">
        <v>258</v>
      </c>
      <c r="D57" t="b">
        <v>1</v>
      </c>
      <c r="E57" t="b">
        <v>1</v>
      </c>
      <c r="F57">
        <v>0</v>
      </c>
      <c r="G57" t="s">
        <v>259</v>
      </c>
      <c r="H57">
        <v>3833</v>
      </c>
      <c r="I57">
        <v>225</v>
      </c>
      <c r="J57">
        <v>448</v>
      </c>
      <c r="K57">
        <v>1</v>
      </c>
      <c r="L57">
        <v>1</v>
      </c>
      <c r="M57">
        <v>0</v>
      </c>
      <c r="N57" t="str">
        <f>HYPERLINK("https://images.diginfra.net/framed3.html?imagesetuuid=93b95c12-1805-42f5-98c6-c352681b46bb&amp;uri=https://images.diginfra.net/iiif/NL-HaNA_1.01.02/3833/NL-HaNA_1.01.02_3833_0225.jpg", "viewer_url")</f>
        <v>viewer_url</v>
      </c>
      <c r="O57" t="str">
        <f>HYPERLINK("https://images.diginfra.net/iiif/NL-HaNA_1.01.02/3833/NL-HaNA_1.01.02_3833_0225.jpg/1444,2790,752,311/full/0/default.jpg", "iiif_url")</f>
        <v>iiif_url</v>
      </c>
      <c r="P57" t="s">
        <v>260</v>
      </c>
      <c r="Q57" t="str">
        <f>HYPERLINK("https://images.diginfra.net/framed3.html?imagesetuuid=93b95c12-1805-42f5-98c6-c352681b46bb&amp;uri=https://images.diginfra.net/iiif/NL-HaNA_1.01.02/3833/NL-HaNA_1.01.02_3833_0226.jpg", "next_meeting_viewer_url")</f>
        <v>next_meeting_viewer_url</v>
      </c>
      <c r="R57" t="str">
        <f>HYPERLINK("https://images.diginfra.net/iiif/NL-HaNA_1.01.02/3833/NL-HaNA_1.01.02_3833_0226.jpg/2580,530,685,311/full/0/default.jpg", "next_meeting_iiif_url")</f>
        <v>next_meeting_iiif_url</v>
      </c>
    </row>
    <row r="58" spans="1:21" x14ac:dyDescent="0.2">
      <c r="A58" t="s">
        <v>261</v>
      </c>
      <c r="B58" t="s">
        <v>71</v>
      </c>
      <c r="C58" t="s">
        <v>262</v>
      </c>
      <c r="D58" t="b">
        <v>1</v>
      </c>
      <c r="E58" t="b">
        <v>1</v>
      </c>
      <c r="F58">
        <v>1</v>
      </c>
      <c r="G58" t="s">
        <v>263</v>
      </c>
      <c r="H58">
        <v>3805</v>
      </c>
      <c r="I58">
        <v>77</v>
      </c>
      <c r="J58">
        <v>152</v>
      </c>
      <c r="K58">
        <v>0</v>
      </c>
      <c r="L58">
        <v>1</v>
      </c>
      <c r="M58">
        <v>0</v>
      </c>
      <c r="N58" t="str">
        <f>HYPERLINK("https://images.diginfra.net/framed3.html?imagesetuuid=e8c5617e-c060-4d57-a0d9-c22a4796ba85&amp;uri=https://images.diginfra.net/iiif/NL-HaNA_1.01.02/3805/NL-HaNA_1.01.02_3805_0077.jpg", "viewer_url")</f>
        <v>viewer_url</v>
      </c>
      <c r="O58" t="str">
        <f>HYPERLINK("https://images.diginfra.net/iiif/NL-HaNA_1.01.02/3805/NL-HaNA_1.01.02_3805_0077.jpg/467,2956,842,312/full/0/default.jpg", "iiif_url")</f>
        <v>iiif_url</v>
      </c>
      <c r="P58" t="s">
        <v>264</v>
      </c>
      <c r="Q58" t="str">
        <f>HYPERLINK("https://images.diginfra.net/framed3.html?imagesetuuid=e8c5617e-c060-4d57-a0d9-c22a4796ba85&amp;uri=https://images.diginfra.net/iiif/NL-HaNA_1.01.02/3805/NL-HaNA_1.01.02_3805_0079.jpg", "next_meeting_viewer_url")</f>
        <v>next_meeting_viewer_url</v>
      </c>
      <c r="R58" t="str">
        <f>HYPERLINK("https://images.diginfra.net/iiif/NL-HaNA_1.01.02/3805/NL-HaNA_1.01.02_3805_0079.jpg/478,2001,809,317/full/0/default.jpg", "next_meeting_iiif_url")</f>
        <v>next_meeting_iiif_url</v>
      </c>
      <c r="S58" t="s">
        <v>262</v>
      </c>
      <c r="T58" t="str">
        <f>HYPERLINK("https://images.diginfra.net/framed3.html?imagesetuuid=e8c5617e-c060-4d57-a0d9-c22a4796ba85&amp;uri=https://images.diginfra.net/iiif/NL-HaNA_1.01.02/3805/NL-HaNA_1.01.02_3805_0077.jpg", "prev_meeting_viewer_url")</f>
        <v>prev_meeting_viewer_url</v>
      </c>
      <c r="U58" t="str">
        <f>HYPERLINK("https://images.diginfra.net/iiif/NL-HaNA_1.01.02/3805/NL-HaNA_1.01.02_3805_0077.jpg/467,2956,842,312/full/0/default.jpg", "prev_meeting_iiif_url")</f>
        <v>prev_meeting_iiif_url</v>
      </c>
    </row>
    <row r="59" spans="1:21" x14ac:dyDescent="0.2">
      <c r="A59" t="s">
        <v>265</v>
      </c>
      <c r="B59" t="s">
        <v>44</v>
      </c>
      <c r="C59" t="s">
        <v>266</v>
      </c>
      <c r="D59" t="b">
        <v>1</v>
      </c>
      <c r="E59" t="b">
        <v>1</v>
      </c>
      <c r="F59">
        <v>1</v>
      </c>
      <c r="G59" t="s">
        <v>267</v>
      </c>
      <c r="H59">
        <v>3824</v>
      </c>
      <c r="I59">
        <v>509</v>
      </c>
      <c r="J59">
        <v>1017</v>
      </c>
      <c r="K59">
        <v>0</v>
      </c>
      <c r="L59">
        <v>1</v>
      </c>
      <c r="M59">
        <v>1</v>
      </c>
      <c r="N59" t="str">
        <f>HYPERLINK("https://images.diginfra.net/framed3.html?imagesetuuid=dd191040-86df-4eff-a597-814a829dbed3&amp;uri=https://images.diginfra.net/iiif/NL-HaNA_1.01.02/3824/NL-HaNA_1.01.02_3824_0509.jpg", "viewer_url")</f>
        <v>viewer_url</v>
      </c>
      <c r="O59" t="str">
        <f>HYPERLINK("https://images.diginfra.net/iiif/NL-HaNA_1.01.02/3824/NL-HaNA_1.01.02_3824_0509.jpg/2375,2464,899,313/full/0/default.jpg", "iiif_url")</f>
        <v>iiif_url</v>
      </c>
      <c r="P59" t="s">
        <v>268</v>
      </c>
      <c r="Q59" t="str">
        <f>HYPERLINK("https://images.diginfra.net/framed3.html?imagesetuuid=dd191040-86df-4eff-a597-814a829dbed3&amp;uri=https://images.diginfra.net/iiif/NL-HaNA_1.01.02/3824/NL-HaNA_1.01.02_3824_0511.jpg", "next_meeting_viewer_url")</f>
        <v>next_meeting_viewer_url</v>
      </c>
      <c r="R59" t="str">
        <f>HYPERLINK("https://images.diginfra.net/iiif/NL-HaNA_1.01.02/3824/NL-HaNA_1.01.02_3824_0511.jpg/1397,2401,831,317/full/0/default.jpg", "next_meeting_iiif_url")</f>
        <v>next_meeting_iiif_url</v>
      </c>
      <c r="S59" t="s">
        <v>269</v>
      </c>
      <c r="T59" t="str">
        <f>HYPERLINK("https://images.diginfra.net/framed3.html?imagesetuuid=dd191040-86df-4eff-a597-814a829dbed3&amp;uri=https://images.diginfra.net/iiif/NL-HaNA_1.01.02/3824/NL-HaNA_1.01.02_3824_0508.jpg", "prev_meeting_viewer_url")</f>
        <v>prev_meeting_viewer_url</v>
      </c>
      <c r="U59" t="str">
        <f>HYPERLINK("https://images.diginfra.net/iiif/NL-HaNA_1.01.02/3824/NL-HaNA_1.01.02_3824_0508.jpg/1396,252,870,311/full/0/default.jpg", "prev_meeting_iiif_url")</f>
        <v>prev_meeting_iiif_url</v>
      </c>
    </row>
    <row r="60" spans="1:21" x14ac:dyDescent="0.2">
      <c r="A60" t="s">
        <v>270</v>
      </c>
      <c r="B60" t="s">
        <v>104</v>
      </c>
      <c r="C60" t="s">
        <v>271</v>
      </c>
      <c r="D60" t="b">
        <v>1</v>
      </c>
      <c r="E60" t="b">
        <v>1</v>
      </c>
      <c r="F60">
        <v>1</v>
      </c>
      <c r="G60" t="s">
        <v>272</v>
      </c>
      <c r="H60">
        <v>3808</v>
      </c>
      <c r="I60">
        <v>129</v>
      </c>
      <c r="J60">
        <v>256</v>
      </c>
      <c r="K60">
        <v>0</v>
      </c>
      <c r="L60">
        <v>2</v>
      </c>
      <c r="M60">
        <v>1</v>
      </c>
      <c r="N60" t="str">
        <f>HYPERLINK("https://images.diginfra.net/framed3.html?imagesetuuid=d7b14369-fedc-4c2f-b4ba-0014f4e297b6&amp;uri=https://images.diginfra.net/iiif/NL-HaNA_1.01.02/3808/NL-HaNA_1.01.02_3808_0129.jpg", "viewer_url")</f>
        <v>viewer_url</v>
      </c>
      <c r="O60" t="str">
        <f>HYPERLINK("https://images.diginfra.net/iiif/NL-HaNA_1.01.02/3808/NL-HaNA_1.01.02_3808_0129.jpg/440,1322,789,309/full/0/default.jpg", "iiif_url")</f>
        <v>iiif_url</v>
      </c>
      <c r="P60" t="s">
        <v>273</v>
      </c>
      <c r="Q60" t="str">
        <f>HYPERLINK("https://images.diginfra.net/framed3.html?imagesetuuid=d7b14369-fedc-4c2f-b4ba-0014f4e297b6&amp;uri=https://images.diginfra.net/iiif/NL-HaNA_1.01.02/3808/NL-HaNA_1.01.02_3808_0129.jpg", "next_meeting_viewer_url")</f>
        <v>next_meeting_viewer_url</v>
      </c>
      <c r="R60" t="str">
        <f>HYPERLINK("https://images.diginfra.net/iiif/NL-HaNA_1.01.02/3808/NL-HaNA_1.01.02_3808_0129.jpg/2533,1429,698,310/full/0/default.jpg", "next_meeting_iiif_url")</f>
        <v>next_meeting_iiif_url</v>
      </c>
      <c r="S60" t="s">
        <v>274</v>
      </c>
      <c r="T60" t="str">
        <f>HYPERLINK("https://images.diginfra.net/framed3.html?imagesetuuid=d7b14369-fedc-4c2f-b4ba-0014f4e297b6&amp;uri=https://images.diginfra.net/iiif/NL-HaNA_1.01.02/3808/NL-HaNA_1.01.02_3808_0127.jpg", "prev_meeting_viewer_url")</f>
        <v>prev_meeting_viewer_url</v>
      </c>
      <c r="U60" t="str">
        <f>HYPERLINK("https://images.diginfra.net/iiif/NL-HaNA_1.01.02/3808/NL-HaNA_1.01.02_3808_0127.jpg/459,1379,734,309/full/0/default.jpg", "prev_meeting_iiif_url")</f>
        <v>prev_meeting_iiif_url</v>
      </c>
    </row>
    <row r="61" spans="1:21" x14ac:dyDescent="0.2">
      <c r="A61" t="s">
        <v>275</v>
      </c>
      <c r="B61" t="s">
        <v>55</v>
      </c>
      <c r="C61" t="s">
        <v>276</v>
      </c>
      <c r="D61" t="b">
        <v>0</v>
      </c>
      <c r="E61" t="b">
        <v>1</v>
      </c>
      <c r="F61">
        <v>1</v>
      </c>
      <c r="G61" t="s">
        <v>277</v>
      </c>
      <c r="H61">
        <v>3793</v>
      </c>
      <c r="I61">
        <v>65</v>
      </c>
      <c r="J61">
        <v>129</v>
      </c>
      <c r="K61">
        <v>0</v>
      </c>
      <c r="L61">
        <v>1</v>
      </c>
      <c r="M61">
        <v>0</v>
      </c>
      <c r="N61" t="str">
        <f>HYPERLINK("https://images.diginfra.net/framed3.html?imagesetuuid=8305a309-5c79-4c0c-a981-7e350c76be32&amp;uri=https://images.diginfra.net/iiif/NL-HaNA_1.01.02/3793/NL-HaNA_1.01.02_3793_0065.jpg", "viewer_url")</f>
        <v>viewer_url</v>
      </c>
      <c r="O61" t="str">
        <f>HYPERLINK("https://images.diginfra.net/iiif/NL-HaNA_1.01.02/3793/NL-HaNA_1.01.02_3793_0065.jpg/2653,2327,815,317/full/0/default.jpg", "iiif_url")</f>
        <v>iiif_url</v>
      </c>
      <c r="P61" t="s">
        <v>276</v>
      </c>
      <c r="Q61" t="str">
        <f>HYPERLINK("https://images.diginfra.net/framed3.html?imagesetuuid=8305a309-5c79-4c0c-a981-7e350c76be32&amp;uri=https://images.diginfra.net/iiif/NL-HaNA_1.01.02/3793/NL-HaNA_1.01.02_3793_0065.jpg", "next_meeting_viewer_url")</f>
        <v>next_meeting_viewer_url</v>
      </c>
      <c r="R61" t="str">
        <f>HYPERLINK("https://images.diginfra.net/iiif/NL-HaNA_1.01.02/3793/NL-HaNA_1.01.02_3793_0065.jpg/2653,2327,815,317/full/0/default.jpg", "next_meeting_iiif_url")</f>
        <v>next_meeting_iiif_url</v>
      </c>
      <c r="S61" t="s">
        <v>278</v>
      </c>
      <c r="T61" t="str">
        <f>HYPERLINK("https://images.diginfra.net/framed3.html?imagesetuuid=8305a309-5c79-4c0c-a981-7e350c76be32&amp;uri=https://images.diginfra.net/iiif/NL-HaNA_1.01.02/3793/NL-HaNA_1.01.02_3793_0063.jpg", "prev_meeting_viewer_url")</f>
        <v>prev_meeting_viewer_url</v>
      </c>
      <c r="U61" t="str">
        <f>HYPERLINK("https://images.diginfra.net/iiif/NL-HaNA_1.01.02/3793/NL-HaNA_1.01.02_3793_0063.jpg/524,1866,791,309/full/0/default.jpg", "prev_meeting_iiif_url")</f>
        <v>prev_meeting_iiif_url</v>
      </c>
    </row>
    <row r="62" spans="1:21" x14ac:dyDescent="0.2">
      <c r="A62" t="s">
        <v>279</v>
      </c>
      <c r="B62" t="s">
        <v>38</v>
      </c>
      <c r="C62" t="s">
        <v>280</v>
      </c>
      <c r="D62" t="b">
        <v>1</v>
      </c>
      <c r="E62" t="b">
        <v>1</v>
      </c>
      <c r="F62">
        <v>1</v>
      </c>
      <c r="G62" t="s">
        <v>281</v>
      </c>
      <c r="H62">
        <v>3812</v>
      </c>
      <c r="I62">
        <v>290</v>
      </c>
      <c r="J62">
        <v>578</v>
      </c>
      <c r="K62">
        <v>0</v>
      </c>
      <c r="L62">
        <v>0</v>
      </c>
      <c r="M62">
        <v>0</v>
      </c>
      <c r="N62" t="str">
        <f>HYPERLINK("https://images.diginfra.net/framed3.html?imagesetuuid=2068053a-a1c4-40f9-a503-3778784a1420&amp;uri=https://images.diginfra.net/iiif/NL-HaNA_1.01.02/3812/NL-HaNA_1.01.02_3812_0290.jpg", "viewer_url")</f>
        <v>viewer_url</v>
      </c>
      <c r="O62" t="str">
        <f>HYPERLINK("https://images.diginfra.net/iiif/NL-HaNA_1.01.02/3812/NL-HaNA_1.01.02_3812_0290.jpg/512,220,713,310/full/0/default.jpg", "iiif_url")</f>
        <v>iiif_url</v>
      </c>
      <c r="P62" t="s">
        <v>282</v>
      </c>
      <c r="Q62" t="str">
        <f>HYPERLINK("https://images.diginfra.net/framed3.html?imagesetuuid=2068053a-a1c4-40f9-a503-3778784a1420&amp;uri=https://images.diginfra.net/iiif/NL-HaNA_1.01.02/3812/NL-HaNA_1.01.02_3812_0290.jpg", "next_meeting_viewer_url")</f>
        <v>next_meeting_viewer_url</v>
      </c>
      <c r="R62" t="str">
        <f>HYPERLINK("https://images.diginfra.net/iiif/NL-HaNA_1.01.02/3812/NL-HaNA_1.01.02_3812_0290.jpg/3581,629,748,318/full/0/default.jpg", "next_meeting_iiif_url")</f>
        <v>next_meeting_iiif_url</v>
      </c>
      <c r="S62" t="s">
        <v>283</v>
      </c>
      <c r="T62" t="str">
        <f>HYPERLINK("https://images.diginfra.net/framed3.html?imagesetuuid=2068053a-a1c4-40f9-a503-3778784a1420&amp;uri=https://images.diginfra.net/iiif/NL-HaNA_1.01.02/3812/NL-HaNA_1.01.02_3812_0287.jpg", "prev_meeting_viewer_url")</f>
        <v>prev_meeting_viewer_url</v>
      </c>
      <c r="U62" t="str">
        <f>HYPERLINK("https://images.diginfra.net/iiif/NL-HaNA_1.01.02/3812/NL-HaNA_1.01.02_3812_0287.jpg/489,2297,725,315/full/0/default.jpg", "prev_meeting_iiif_url")</f>
        <v>prev_meeting_iiif_url</v>
      </c>
    </row>
    <row r="63" spans="1:21" x14ac:dyDescent="0.2">
      <c r="A63" t="s">
        <v>284</v>
      </c>
      <c r="B63" t="s">
        <v>44</v>
      </c>
      <c r="D63" t="b">
        <v>1</v>
      </c>
      <c r="E63" t="b">
        <v>0</v>
      </c>
      <c r="F63">
        <v>0</v>
      </c>
      <c r="P63" t="s">
        <v>285</v>
      </c>
      <c r="Q63" t="str">
        <f>HYPERLINK("https://images.diginfra.net/framed3.html?imagesetuuid=1acf58b1-bf15-476d-be78-c088e43e81b9&amp;uri=https://images.diginfra.net/iiif/NL-HaNA_1.01.02/3768/NL-HaNA_1.01.02_3768_0576.jpg", "next_meeting_viewer_url")</f>
        <v>next_meeting_viewer_url</v>
      </c>
      <c r="R63" t="str">
        <f>HYPERLINK("https://images.diginfra.net/iiif/NL-HaNA_1.01.02/3768/NL-HaNA_1.01.02_3768_0576.jpg/1465,2685,770,307/full/0/default.jpg", "next_meeting_iiif_url")</f>
        <v>next_meeting_iiif_url</v>
      </c>
      <c r="T63" t="str">
        <f>HYPERLINK("https://images.diginfra.net/framed3.html?imagesetuuid=1acf58b1-bf15-476d-be78-c088e43e81b9&amp;uri=https://images.diginfra.net/iiif/NL-HaNA_1.01.02/3768/NL-HaNA_1.01.02_3768_0573.jpg", "prev_meeting_viewer_url")</f>
        <v>prev_meeting_viewer_url</v>
      </c>
      <c r="U63" t="str">
        <f>HYPERLINK("https://images.diginfra.net/iiif/NL-HaNA_1.01.02/3768/NL-HaNA_1.01.02_3768_0573.jpg/3763,2621,331,307/full/0/default.jpg", "prev_meeting_iiif_url")</f>
        <v>prev_meeting_iiif_url</v>
      </c>
    </row>
    <row r="64" spans="1:21" x14ac:dyDescent="0.2">
      <c r="A64" t="s">
        <v>286</v>
      </c>
      <c r="B64" t="s">
        <v>55</v>
      </c>
      <c r="D64" t="b">
        <v>0</v>
      </c>
      <c r="E64" t="b">
        <v>0</v>
      </c>
      <c r="F64">
        <v>1</v>
      </c>
      <c r="P64" t="s">
        <v>287</v>
      </c>
      <c r="Q64" t="str">
        <f>HYPERLINK("https://images.diginfra.net/framed3.html?imagesetuuid=e0965315-891d-46c1-9dac-fc6b729921cf&amp;uri=https://images.diginfra.net/iiif/NL-HaNA_1.01.02/3822/NL-HaNA_1.01.02_3822_0400.jpg", "next_meeting_viewer_url")</f>
        <v>next_meeting_viewer_url</v>
      </c>
      <c r="R64" t="str">
        <f>HYPERLINK("https://images.diginfra.net/iiif/NL-HaNA_1.01.02/3822/NL-HaNA_1.01.02_3822_0400.jpg/1352,448,802,315/full/0/default.jpg", "next_meeting_iiif_url")</f>
        <v>next_meeting_iiif_url</v>
      </c>
      <c r="S64" t="s">
        <v>287</v>
      </c>
      <c r="T64" t="str">
        <f>HYPERLINK("https://images.diginfra.net/framed3.html?imagesetuuid=e0965315-891d-46c1-9dac-fc6b729921cf&amp;uri=https://images.diginfra.net/iiif/NL-HaNA_1.01.02/3822/NL-HaNA_1.01.02_3822_0400.jpg", "prev_meeting_viewer_url")</f>
        <v>prev_meeting_viewer_url</v>
      </c>
      <c r="U64" t="str">
        <f>HYPERLINK("https://images.diginfra.net/iiif/NL-HaNA_1.01.02/3822/NL-HaNA_1.01.02_3822_0400.jpg/1352,448,802,315/full/0/default.jpg", "prev_meeting_iiif_url")</f>
        <v>prev_meeting_iiif_url</v>
      </c>
    </row>
    <row r="65" spans="1:21" x14ac:dyDescent="0.2">
      <c r="A65" t="s">
        <v>288</v>
      </c>
      <c r="B65" t="s">
        <v>71</v>
      </c>
      <c r="C65" t="s">
        <v>289</v>
      </c>
      <c r="D65" t="b">
        <v>1</v>
      </c>
      <c r="E65" t="b">
        <v>1</v>
      </c>
      <c r="F65">
        <v>0</v>
      </c>
      <c r="G65" t="s">
        <v>290</v>
      </c>
      <c r="H65">
        <v>3856</v>
      </c>
      <c r="I65">
        <v>272</v>
      </c>
      <c r="J65">
        <v>542</v>
      </c>
      <c r="K65">
        <v>0</v>
      </c>
      <c r="L65">
        <v>1</v>
      </c>
      <c r="M65">
        <v>0</v>
      </c>
      <c r="N65" t="str">
        <f>HYPERLINK("https://images.diginfra.net/framed3.html?imagesetuuid=eefad0ef-c5b6-4672-8a4e-c123198eddbf&amp;uri=https://images.diginfra.net/iiif/NL-HaNA_1.01.02/3856/NL-HaNA_1.01.02_3856_0272.jpg", "viewer_url")</f>
        <v>viewer_url</v>
      </c>
      <c r="O65" t="str">
        <f>HYPERLINK("https://images.diginfra.net/iiif/NL-HaNA_1.01.02/3856/NL-HaNA_1.01.02_3856_0272.jpg/437,1578,737,315/full/0/default.jpg", "iiif_url")</f>
        <v>iiif_url</v>
      </c>
      <c r="P65" t="s">
        <v>291</v>
      </c>
      <c r="Q65" t="str">
        <f>HYPERLINK("https://images.diginfra.net/framed3.html?imagesetuuid=eefad0ef-c5b6-4672-8a4e-c123198eddbf&amp;uri=https://images.diginfra.net/iiif/NL-HaNA_1.01.02/3856/NL-HaNA_1.01.02_3856_0273.jpg", "next_meeting_viewer_url")</f>
        <v>next_meeting_viewer_url</v>
      </c>
      <c r="R65" t="str">
        <f>HYPERLINK("https://images.diginfra.net/iiif/NL-HaNA_1.01.02/3856/NL-HaNA_1.01.02_3856_0273.jpg/3391,858,650,312/full/0/default.jpg", "next_meeting_iiif_url")</f>
        <v>next_meeting_iiif_url</v>
      </c>
      <c r="S65" t="s">
        <v>292</v>
      </c>
      <c r="T65" t="str">
        <f>HYPERLINK("https://images.diginfra.net/framed3.html?imagesetuuid=eefad0ef-c5b6-4672-8a4e-c123198eddbf&amp;uri=https://images.diginfra.net/iiif/NL-HaNA_1.01.02/3856/NL-HaNA_1.01.02_3856_0270.jpg", "prev_meeting_viewer_url")</f>
        <v>prev_meeting_viewer_url</v>
      </c>
      <c r="U65" t="str">
        <f>HYPERLINK("https://images.diginfra.net/iiif/NL-HaNA_1.01.02/3856/NL-HaNA_1.01.02_3856_0270.jpg/3316,310,719,309/full/0/default.jpg", "prev_meeting_iiif_url")</f>
        <v>prev_meeting_iiif_url</v>
      </c>
    </row>
    <row r="66" spans="1:21" x14ac:dyDescent="0.2">
      <c r="A66" t="s">
        <v>293</v>
      </c>
      <c r="B66" t="s">
        <v>104</v>
      </c>
      <c r="C66" t="s">
        <v>294</v>
      </c>
      <c r="D66" t="b">
        <v>1</v>
      </c>
      <c r="E66" t="b">
        <v>1</v>
      </c>
      <c r="F66">
        <v>1</v>
      </c>
      <c r="G66" t="s">
        <v>295</v>
      </c>
      <c r="H66">
        <v>3763</v>
      </c>
      <c r="I66">
        <v>75</v>
      </c>
      <c r="J66">
        <v>148</v>
      </c>
      <c r="K66">
        <v>1</v>
      </c>
      <c r="L66">
        <v>2</v>
      </c>
      <c r="M66">
        <v>0</v>
      </c>
      <c r="N66" t="str">
        <f>HYPERLINK("https://images.diginfra.net/framed3.html?imagesetuuid=168ac05c-00de-43e1-bb35-d8e406b92363&amp;uri=https://images.diginfra.net/iiif/NL-HaNA_1.01.02/3763/NL-HaNA_1.01.02_3763_0075.jpg", "viewer_url")</f>
        <v>viewer_url</v>
      </c>
      <c r="O66" t="str">
        <f>HYPERLINK("https://images.diginfra.net/iiif/NL-HaNA_1.01.02/3763/NL-HaNA_1.01.02_3763_0075.jpg/1342,824,803,309/full/0/default.jpg", "iiif_url")</f>
        <v>iiif_url</v>
      </c>
      <c r="P66" t="s">
        <v>296</v>
      </c>
      <c r="Q66" t="str">
        <f>HYPERLINK("https://images.diginfra.net/framed3.html?imagesetuuid=168ac05c-00de-43e1-bb35-d8e406b92363&amp;uri=https://images.diginfra.net/iiif/NL-HaNA_1.01.02/3763/NL-HaNA_1.01.02_3763_0076.jpg", "next_meeting_viewer_url")</f>
        <v>next_meeting_viewer_url</v>
      </c>
      <c r="R66" t="str">
        <f>HYPERLINK("https://images.diginfra.net/iiif/NL-HaNA_1.01.02/3763/NL-HaNA_1.01.02_3763_0076.jpg/402,2986,741,314/full/0/default.jpg", "next_meeting_iiif_url")</f>
        <v>next_meeting_iiif_url</v>
      </c>
      <c r="S66" t="s">
        <v>297</v>
      </c>
      <c r="T66" t="str">
        <f>HYPERLINK("https://images.diginfra.net/framed3.html?imagesetuuid=168ac05c-00de-43e1-bb35-d8e406b92363&amp;uri=https://images.diginfra.net/iiif/NL-HaNA_1.01.02/3763/NL-HaNA_1.01.02_3763_0073.jpg", "prev_meeting_viewer_url")</f>
        <v>prev_meeting_viewer_url</v>
      </c>
      <c r="U66" t="str">
        <f>HYPERLINK("https://images.diginfra.net/iiif/NL-HaNA_1.01.02/3763/NL-HaNA_1.01.02_3763_0073.jpg/3443,298,762,308/full/0/default.jpg", "prev_meeting_iiif_url")</f>
        <v>prev_meeting_iiif_url</v>
      </c>
    </row>
    <row r="67" spans="1:21" x14ac:dyDescent="0.2">
      <c r="A67" t="s">
        <v>298</v>
      </c>
      <c r="B67" t="s">
        <v>44</v>
      </c>
      <c r="D67" t="b">
        <v>1</v>
      </c>
      <c r="E67" t="b">
        <v>0</v>
      </c>
      <c r="F67">
        <v>0</v>
      </c>
    </row>
    <row r="68" spans="1:21" x14ac:dyDescent="0.2">
      <c r="A68" t="s">
        <v>299</v>
      </c>
      <c r="B68" t="s">
        <v>44</v>
      </c>
      <c r="C68" t="s">
        <v>300</v>
      </c>
      <c r="D68" t="b">
        <v>1</v>
      </c>
      <c r="E68" t="b">
        <v>1</v>
      </c>
      <c r="F68">
        <v>1</v>
      </c>
      <c r="G68" t="s">
        <v>301</v>
      </c>
      <c r="H68">
        <v>3793</v>
      </c>
      <c r="I68">
        <v>231</v>
      </c>
      <c r="J68">
        <v>460</v>
      </c>
      <c r="K68">
        <v>0</v>
      </c>
      <c r="L68">
        <v>2</v>
      </c>
      <c r="M68">
        <v>0</v>
      </c>
      <c r="N68" t="str">
        <f>HYPERLINK("https://images.diginfra.net/framed3.html?imagesetuuid=8305a309-5c79-4c0c-a981-7e350c76be32&amp;uri=https://images.diginfra.net/iiif/NL-HaNA_1.01.02/3793/NL-HaNA_1.01.02_3793_0231.jpg", "viewer_url")</f>
        <v>viewer_url</v>
      </c>
      <c r="O68" t="str">
        <f>HYPERLINK("https://images.diginfra.net/iiif/NL-HaNA_1.01.02/3793/NL-HaNA_1.01.02_3793_0231.jpg/434,2412,667,313/full/0/default.jpg", "iiif_url")</f>
        <v>iiif_url</v>
      </c>
      <c r="P68" t="s">
        <v>302</v>
      </c>
      <c r="Q68" t="str">
        <f>HYPERLINK("https://images.diginfra.net/framed3.html?imagesetuuid=8305a309-5c79-4c0c-a981-7e350c76be32&amp;uri=https://images.diginfra.net/iiif/NL-HaNA_1.01.02/3793/NL-HaNA_1.01.02_3793_0232.jpg", "next_meeting_viewer_url")</f>
        <v>next_meeting_viewer_url</v>
      </c>
      <c r="R68" t="str">
        <f>HYPERLINK("https://images.diginfra.net/iiif/NL-HaNA_1.01.02/3793/NL-HaNA_1.01.02_3793_0232.jpg/435,773,707,314/full/0/default.jpg", "next_meeting_iiif_url")</f>
        <v>next_meeting_iiif_url</v>
      </c>
      <c r="S68" t="s">
        <v>303</v>
      </c>
      <c r="T68" t="str">
        <f>HYPERLINK("https://images.diginfra.net/framed3.html?imagesetuuid=8305a309-5c79-4c0c-a981-7e350c76be32&amp;uri=https://images.diginfra.net/iiif/NL-HaNA_1.01.02/3793/NL-HaNA_1.01.02_3793_0230.jpg", "prev_meeting_viewer_url")</f>
        <v>prev_meeting_viewer_url</v>
      </c>
      <c r="U68" t="str">
        <f>HYPERLINK("https://images.diginfra.net/iiif/NL-HaNA_1.01.02/3793/NL-HaNA_1.01.02_3793_0230.jpg/2604,1415,730,326/full/0/default.jpg", "prev_meeting_iiif_url")</f>
        <v>prev_meeting_iiif_url</v>
      </c>
    </row>
    <row r="69" spans="1:21" x14ac:dyDescent="0.2">
      <c r="A69" t="s">
        <v>304</v>
      </c>
      <c r="B69" t="s">
        <v>71</v>
      </c>
      <c r="C69" t="s">
        <v>305</v>
      </c>
      <c r="D69" t="b">
        <v>1</v>
      </c>
      <c r="E69" t="b">
        <v>1</v>
      </c>
      <c r="F69">
        <v>1</v>
      </c>
      <c r="G69" t="s">
        <v>306</v>
      </c>
      <c r="H69">
        <v>3762</v>
      </c>
      <c r="I69">
        <v>274</v>
      </c>
      <c r="J69">
        <v>547</v>
      </c>
      <c r="K69">
        <v>1</v>
      </c>
      <c r="L69">
        <v>1</v>
      </c>
      <c r="M69">
        <v>1</v>
      </c>
      <c r="N69" t="str">
        <f>HYPERLINK("https://images.diginfra.net/framed3.html?imagesetuuid=df3dafee-b161-42ae-8ffe-6d7f9dbb63ed&amp;uri=https://images.diginfra.net/iiif/NL-HaNA_1.01.02/3762/NL-HaNA_1.01.02_3762_0274.jpg", "viewer_url")</f>
        <v>viewer_url</v>
      </c>
      <c r="O69" t="str">
        <f>HYPERLINK("https://images.diginfra.net/iiif/NL-HaNA_1.01.02/3762/NL-HaNA_1.01.02_3762_0274.jpg/3554,1527,764,312/full/0/default.jpg", "iiif_url")</f>
        <v>iiif_url</v>
      </c>
      <c r="P69" t="s">
        <v>307</v>
      </c>
      <c r="Q69" t="str">
        <f>HYPERLINK("https://images.diginfra.net/framed3.html?imagesetuuid=df3dafee-b161-42ae-8ffe-6d7f9dbb63ed&amp;uri=https://images.diginfra.net/iiif/NL-HaNA_1.01.02/3762/NL-HaNA_1.01.02_3762_0276.jpg", "next_meeting_viewer_url")</f>
        <v>next_meeting_viewer_url</v>
      </c>
      <c r="R69" t="str">
        <f>HYPERLINK("https://images.diginfra.net/iiif/NL-HaNA_1.01.02/3762/NL-HaNA_1.01.02_3762_0276.jpg/2618,2396,702,309/full/0/default.jpg", "next_meeting_iiif_url")</f>
        <v>next_meeting_iiif_url</v>
      </c>
      <c r="S69" t="s">
        <v>305</v>
      </c>
      <c r="T69" t="str">
        <f>HYPERLINK("https://images.diginfra.net/framed3.html?imagesetuuid=df3dafee-b161-42ae-8ffe-6d7f9dbb63ed&amp;uri=https://images.diginfra.net/iiif/NL-HaNA_1.01.02/3762/NL-HaNA_1.01.02_3762_0274.jpg", "prev_meeting_viewer_url")</f>
        <v>prev_meeting_viewer_url</v>
      </c>
      <c r="U69" t="str">
        <f>HYPERLINK("https://images.diginfra.net/iiif/NL-HaNA_1.01.02/3762/NL-HaNA_1.01.02_3762_0274.jpg/3554,1527,764,312/full/0/default.jpg", "prev_meeting_iiif_url")</f>
        <v>prev_meeting_iiif_url</v>
      </c>
    </row>
    <row r="70" spans="1:21" x14ac:dyDescent="0.2">
      <c r="A70" t="s">
        <v>308</v>
      </c>
      <c r="B70" t="s">
        <v>21</v>
      </c>
      <c r="C70" t="s">
        <v>309</v>
      </c>
      <c r="D70" t="b">
        <v>1</v>
      </c>
      <c r="E70" t="b">
        <v>1</v>
      </c>
      <c r="F70">
        <v>1</v>
      </c>
      <c r="G70" t="s">
        <v>310</v>
      </c>
      <c r="H70">
        <v>3806</v>
      </c>
      <c r="I70">
        <v>240</v>
      </c>
      <c r="J70">
        <v>478</v>
      </c>
      <c r="K70">
        <v>0</v>
      </c>
      <c r="L70">
        <v>1</v>
      </c>
      <c r="M70">
        <v>0</v>
      </c>
      <c r="N70" t="str">
        <f>HYPERLINK("https://images.diginfra.net/framed3.html?imagesetuuid=0c00a1f2-d59c-4408-905f-fe388b02204f&amp;uri=https://images.diginfra.net/iiif/NL-HaNA_1.01.02/3806/NL-HaNA_1.01.02_3806_0240.jpg", "viewer_url")</f>
        <v>viewer_url</v>
      </c>
      <c r="O70" t="str">
        <f>HYPERLINK("https://images.diginfra.net/iiif/NL-HaNA_1.01.02/3806/NL-HaNA_1.01.02_3806_0240.jpg/472,617,755,317/full/0/default.jpg", "iiif_url")</f>
        <v>iiif_url</v>
      </c>
      <c r="P70" t="s">
        <v>311</v>
      </c>
      <c r="Q70" t="str">
        <f>HYPERLINK("https://images.diginfra.net/framed3.html?imagesetuuid=0c00a1f2-d59c-4408-905f-fe388b02204f&amp;uri=https://images.diginfra.net/iiif/NL-HaNA_1.01.02/3806/NL-HaNA_1.01.02_3806_0241.jpg", "next_meeting_viewer_url")</f>
        <v>next_meeting_viewer_url</v>
      </c>
      <c r="R70" t="str">
        <f>HYPERLINK("https://images.diginfra.net/iiif/NL-HaNA_1.01.02/3806/NL-HaNA_1.01.02_3806_0241.jpg/1361,1850,785,314/full/0/default.jpg", "next_meeting_iiif_url")</f>
        <v>next_meeting_iiif_url</v>
      </c>
      <c r="S70" t="s">
        <v>312</v>
      </c>
      <c r="T70" t="str">
        <f>HYPERLINK("https://images.diginfra.net/framed3.html?imagesetuuid=0c00a1f2-d59c-4408-905f-fe388b02204f&amp;uri=https://images.diginfra.net/iiif/NL-HaNA_1.01.02/3806/NL-HaNA_1.01.02_3806_0239.jpg", "prev_meeting_viewer_url")</f>
        <v>prev_meeting_viewer_url</v>
      </c>
      <c r="U70" t="str">
        <f>HYPERLINK("https://images.diginfra.net/iiif/NL-HaNA_1.01.02/3806/NL-HaNA_1.01.02_3806_0239.jpg/1468,2450,686,323/full/0/default.jpg", "prev_meeting_iiif_url")</f>
        <v>prev_meeting_iiif_url</v>
      </c>
    </row>
    <row r="71" spans="1:21" x14ac:dyDescent="0.2">
      <c r="A71" t="s">
        <v>313</v>
      </c>
      <c r="B71" t="s">
        <v>27</v>
      </c>
      <c r="C71" t="s">
        <v>314</v>
      </c>
      <c r="D71" t="b">
        <v>1</v>
      </c>
      <c r="E71" t="b">
        <v>1</v>
      </c>
      <c r="F71">
        <v>1</v>
      </c>
      <c r="G71" t="s">
        <v>315</v>
      </c>
      <c r="H71">
        <v>3801</v>
      </c>
      <c r="I71">
        <v>186</v>
      </c>
      <c r="J71">
        <v>370</v>
      </c>
      <c r="K71">
        <v>1</v>
      </c>
      <c r="L71">
        <v>1</v>
      </c>
      <c r="M71">
        <v>0</v>
      </c>
      <c r="N71" t="str">
        <f>HYPERLINK("https://images.diginfra.net/framed3.html?imagesetuuid=f36c8416-59a8-4b1a-a82a-ef225cbd1971&amp;uri=https://images.diginfra.net/iiif/NL-HaNA_1.01.02/3801/NL-HaNA_1.01.02_3801_0186.jpg", "viewer_url")</f>
        <v>viewer_url</v>
      </c>
      <c r="O71" t="str">
        <f>HYPERLINK("https://images.diginfra.net/iiif/NL-HaNA_1.01.02/3801/NL-HaNA_1.01.02_3801_0186.jpg/1420,1204,769,313/full/0/default.jpg", "iiif_url")</f>
        <v>iiif_url</v>
      </c>
      <c r="P71" t="s">
        <v>316</v>
      </c>
      <c r="Q71" t="str">
        <f>HYPERLINK("https://images.diginfra.net/framed3.html?imagesetuuid=f36c8416-59a8-4b1a-a82a-ef225cbd1971&amp;uri=https://images.diginfra.net/iiif/NL-HaNA_1.01.02/3801/NL-HaNA_1.01.02_3801_0190.jpg", "next_meeting_viewer_url")</f>
        <v>next_meeting_viewer_url</v>
      </c>
      <c r="R71" t="str">
        <f>HYPERLINK("https://images.diginfra.net/iiif/NL-HaNA_1.01.02/3801/NL-HaNA_1.01.02_3801_0190.jpg/3519,449,789,318/full/0/default.jpg", "next_meeting_iiif_url")</f>
        <v>next_meeting_iiif_url</v>
      </c>
      <c r="T71" t="str">
        <f>HYPERLINK("https://images.diginfra.net/framed3.html?imagesetuuid=f36c8416-59a8-4b1a-a82a-ef225cbd1971&amp;uri=https://images.diginfra.net/iiif/NL-HaNA_1.01.02/3801/NL-HaNA_1.01.02_3801_0185.jpg", "prev_meeting_viewer_url")</f>
        <v>prev_meeting_viewer_url</v>
      </c>
      <c r="U71" t="str">
        <f>HYPERLINK("https://images.diginfra.net/iiif/NL-HaNA_1.01.02/3801/NL-HaNA_1.01.02_3801_0185.jpg/1600,390,328,309/full/0/default.jpg", "prev_meeting_iiif_url")</f>
        <v>prev_meeting_iiif_url</v>
      </c>
    </row>
    <row r="72" spans="1:21" x14ac:dyDescent="0.2">
      <c r="A72" t="s">
        <v>317</v>
      </c>
      <c r="B72" t="s">
        <v>38</v>
      </c>
      <c r="C72" t="s">
        <v>318</v>
      </c>
      <c r="D72" t="b">
        <v>1</v>
      </c>
      <c r="E72" t="b">
        <v>1</v>
      </c>
      <c r="F72">
        <v>1</v>
      </c>
      <c r="G72" t="s">
        <v>319</v>
      </c>
      <c r="H72">
        <v>3860</v>
      </c>
      <c r="I72">
        <v>120</v>
      </c>
      <c r="J72">
        <v>239</v>
      </c>
      <c r="K72">
        <v>1</v>
      </c>
      <c r="L72">
        <v>0</v>
      </c>
      <c r="M72">
        <v>18</v>
      </c>
      <c r="N72" t="str">
        <f>HYPERLINK("https://images.diginfra.net/framed3.html?imagesetuuid=85a72eaa-4faa-4148-a025-9b1c9fb4c2c1&amp;uri=https://images.diginfra.net/iiif/NL-HaNA_1.01.02/3860/NL-HaNA_1.01.02_3860_0120.jpg", "viewer_url")</f>
        <v>viewer_url</v>
      </c>
      <c r="O72" t="str">
        <f>HYPERLINK("https://images.diginfra.net/iiif/NL-HaNA_1.01.02/3860/NL-HaNA_1.01.02_3860_0120.jpg/3508,1188,715,320/full/0/default.jpg", "iiif_url")</f>
        <v>iiif_url</v>
      </c>
      <c r="P72" t="s">
        <v>320</v>
      </c>
      <c r="Q72" t="str">
        <f>HYPERLINK("https://images.diginfra.net/framed3.html?imagesetuuid=85a72eaa-4faa-4148-a025-9b1c9fb4c2c1&amp;uri=https://images.diginfra.net/iiif/NL-HaNA_1.01.02/3860/NL-HaNA_1.01.02_3860_0124.jpg", "next_meeting_viewer_url")</f>
        <v>next_meeting_viewer_url</v>
      </c>
      <c r="R72" t="str">
        <f>HYPERLINK("https://images.diginfra.net/iiif/NL-HaNA_1.01.02/3860/NL-HaNA_1.01.02_3860_0124.jpg/454,1805,764,316/full/0/default.jpg", "next_meeting_iiif_url")</f>
        <v>next_meeting_iiif_url</v>
      </c>
      <c r="S72" t="s">
        <v>321</v>
      </c>
      <c r="T72" t="str">
        <f>HYPERLINK("https://images.diginfra.net/framed3.html?imagesetuuid=85a72eaa-4faa-4148-a025-9b1c9fb4c2c1&amp;uri=https://images.diginfra.net/iiif/NL-HaNA_1.01.02/3860/NL-HaNA_1.01.02_3860_0118.jpg", "prev_meeting_viewer_url")</f>
        <v>prev_meeting_viewer_url</v>
      </c>
      <c r="U72" t="str">
        <f>HYPERLINK("https://images.diginfra.net/iiif/NL-HaNA_1.01.02/3860/NL-HaNA_1.01.02_3860_0118.jpg/2497,1084,763,321/full/0/default.jpg", "prev_meeting_iiif_url")</f>
        <v>prev_meeting_iiif_url</v>
      </c>
    </row>
    <row r="73" spans="1:21" x14ac:dyDescent="0.2">
      <c r="A73" t="s">
        <v>322</v>
      </c>
      <c r="B73" t="s">
        <v>27</v>
      </c>
      <c r="C73" t="s">
        <v>323</v>
      </c>
      <c r="D73" t="b">
        <v>0</v>
      </c>
      <c r="E73" t="b">
        <v>1</v>
      </c>
      <c r="F73">
        <v>1</v>
      </c>
      <c r="G73" t="s">
        <v>324</v>
      </c>
      <c r="H73">
        <v>3831</v>
      </c>
      <c r="I73">
        <v>198</v>
      </c>
      <c r="J73">
        <v>394</v>
      </c>
      <c r="K73">
        <v>1</v>
      </c>
      <c r="L73">
        <v>0</v>
      </c>
      <c r="M73">
        <v>17</v>
      </c>
      <c r="N73" t="str">
        <f>HYPERLINK("https://images.diginfra.net/framed3.html?imagesetuuid=fbccadee-0831-4262-9b53-6f48467f765a&amp;uri=https://images.diginfra.net/iiif/NL-HaNA_1.01.02/3831/NL-HaNA_1.01.02_3831_0198.jpg", "viewer_url")</f>
        <v>viewer_url</v>
      </c>
      <c r="O73" t="str">
        <f>HYPERLINK("https://images.diginfra.net/iiif/NL-HaNA_1.01.02/3831/NL-HaNA_1.01.02_3831_0198.jpg/1413,1046,739,315/full/0/default.jpg", "iiif_url")</f>
        <v>iiif_url</v>
      </c>
      <c r="P73" t="s">
        <v>323</v>
      </c>
      <c r="Q73" t="str">
        <f>HYPERLINK("https://images.diginfra.net/framed3.html?imagesetuuid=fbccadee-0831-4262-9b53-6f48467f765a&amp;uri=https://images.diginfra.net/iiif/NL-HaNA_1.01.02/3831/NL-HaNA_1.01.02_3831_0198.jpg", "next_meeting_viewer_url")</f>
        <v>next_meeting_viewer_url</v>
      </c>
      <c r="R73" t="str">
        <f>HYPERLINK("https://images.diginfra.net/iiif/NL-HaNA_1.01.02/3831/NL-HaNA_1.01.02_3831_0198.jpg/1413,1046,739,315/full/0/default.jpg", "next_meeting_iiif_url")</f>
        <v>next_meeting_iiif_url</v>
      </c>
      <c r="S73" t="s">
        <v>325</v>
      </c>
      <c r="T73" t="str">
        <f>HYPERLINK("https://images.diginfra.net/framed3.html?imagesetuuid=fbccadee-0831-4262-9b53-6f48467f765a&amp;uri=https://images.diginfra.net/iiif/NL-HaNA_1.01.02/3831/NL-HaNA_1.01.02_3831_0197.jpg", "prev_meeting_viewer_url")</f>
        <v>prev_meeting_viewer_url</v>
      </c>
      <c r="U73" t="str">
        <f>HYPERLINK("https://images.diginfra.net/iiif/NL-HaNA_1.01.02/3831/NL-HaNA_1.01.02_3831_0197.jpg/478,1146,697,316/full/0/default.jpg", "prev_meeting_iiif_url")</f>
        <v>prev_meeting_iiif_url</v>
      </c>
    </row>
    <row r="74" spans="1:21" x14ac:dyDescent="0.2">
      <c r="A74" t="s">
        <v>326</v>
      </c>
      <c r="B74" t="s">
        <v>27</v>
      </c>
      <c r="D74" t="b">
        <v>0</v>
      </c>
      <c r="E74" t="b">
        <v>0</v>
      </c>
      <c r="F74">
        <v>1</v>
      </c>
      <c r="P74" t="s">
        <v>327</v>
      </c>
      <c r="Q74" t="str">
        <f>HYPERLINK("https://images.diginfra.net/framed3.html?imagesetuuid=7d69db40-de83-46fa-8e08-2a3f4300174e&amp;uri=https://images.diginfra.net/iiif/NL-HaNA_1.01.02/3849/NL-HaNA_1.01.02_3849_0004.jpg", "next_meeting_viewer_url")</f>
        <v>next_meeting_viewer_url</v>
      </c>
      <c r="R74" t="str">
        <f>HYPERLINK("https://images.diginfra.net/iiif/NL-HaNA_1.01.02/3849/NL-HaNA_1.01.02_3849_0004.jpg/2575,1467,751,314/full/0/default.jpg", "next_meeting_iiif_url")</f>
        <v>next_meeting_iiif_url</v>
      </c>
      <c r="S74" t="s">
        <v>328</v>
      </c>
      <c r="T74" t="str">
        <f>HYPERLINK("https://images.diginfra.net/framed3.html?imagesetuuid=0359a1ea-7930-4de5-8687-7aa11d9043bd&amp;uri=https://images.diginfra.net/iiif/NL-HaNA_1.01.02/3848/NL-HaNA_1.01.02_3848_0474.jpg", "prev_meeting_viewer_url")</f>
        <v>prev_meeting_viewer_url</v>
      </c>
      <c r="U74" t="str">
        <f>HYPERLINK("https://images.diginfra.net/iiif/NL-HaNA_1.01.02/3848/NL-HaNA_1.01.02_3848_0474.jpg/1355,1195,714,310/full/0/default.jpg", "prev_meeting_iiif_url")</f>
        <v>prev_meeting_iiif_url</v>
      </c>
    </row>
    <row r="75" spans="1:21" x14ac:dyDescent="0.2">
      <c r="A75" t="s">
        <v>329</v>
      </c>
      <c r="B75" t="s">
        <v>71</v>
      </c>
      <c r="C75" t="s">
        <v>330</v>
      </c>
      <c r="D75" t="b">
        <v>1</v>
      </c>
      <c r="E75" t="b">
        <v>1</v>
      </c>
      <c r="F75">
        <v>1</v>
      </c>
      <c r="G75" t="s">
        <v>331</v>
      </c>
      <c r="H75">
        <v>3858</v>
      </c>
      <c r="I75">
        <v>170</v>
      </c>
      <c r="J75">
        <v>339</v>
      </c>
      <c r="K75">
        <v>1</v>
      </c>
      <c r="L75">
        <v>1</v>
      </c>
      <c r="M75">
        <v>0</v>
      </c>
      <c r="N75" t="str">
        <f>HYPERLINK("https://images.diginfra.net/framed3.html?imagesetuuid=667a361b-2da9-4c45-8d66-09c8b98015ec&amp;uri=https://images.diginfra.net/iiif/NL-HaNA_1.01.02/3858/NL-HaNA_1.01.02_3858_0170.jpg", "viewer_url")</f>
        <v>viewer_url</v>
      </c>
      <c r="O75" t="str">
        <f>HYPERLINK("https://images.diginfra.net/iiif/NL-HaNA_1.01.02/3858/NL-HaNA_1.01.02_3858_0170.jpg/3542,592,688,310/full/0/default.jpg", "iiif_url")</f>
        <v>iiif_url</v>
      </c>
      <c r="P75" t="s">
        <v>332</v>
      </c>
      <c r="Q75" t="str">
        <f>HYPERLINK("https://images.diginfra.net/framed3.html?imagesetuuid=667a361b-2da9-4c45-8d66-09c8b98015ec&amp;uri=https://images.diginfra.net/iiif/NL-HaNA_1.01.02/3858/NL-HaNA_1.01.02_3858_0174.jpg", "next_meeting_viewer_url")</f>
        <v>next_meeting_viewer_url</v>
      </c>
      <c r="R75" t="str">
        <f>HYPERLINK("https://images.diginfra.net/iiif/NL-HaNA_1.01.02/3858/NL-HaNA_1.01.02_3858_0174.jpg/433,2353,787,312/full/0/default.jpg", "next_meeting_iiif_url")</f>
        <v>next_meeting_iiif_url</v>
      </c>
      <c r="S75" t="s">
        <v>333</v>
      </c>
      <c r="T75" t="str">
        <f>HYPERLINK("https://images.diginfra.net/framed3.html?imagesetuuid=667a361b-2da9-4c45-8d66-09c8b98015ec&amp;uri=https://images.diginfra.net/iiif/NL-HaNA_1.01.02/3858/NL-HaNA_1.01.02_3858_0169.jpg", "prev_meeting_viewer_url")</f>
        <v>prev_meeting_viewer_url</v>
      </c>
      <c r="U75" t="str">
        <f>HYPERLINK("https://images.diginfra.net/iiif/NL-HaNA_1.01.02/3858/NL-HaNA_1.01.02_3858_0169.jpg/516,1984,814,311/full/0/default.jpg", "prev_meeting_iiif_url")</f>
        <v>prev_meeting_iiif_url</v>
      </c>
    </row>
    <row r="76" spans="1:21" x14ac:dyDescent="0.2">
      <c r="A76" t="s">
        <v>334</v>
      </c>
      <c r="B76" t="s">
        <v>71</v>
      </c>
      <c r="C76" t="s">
        <v>335</v>
      </c>
      <c r="D76" t="b">
        <v>1</v>
      </c>
      <c r="E76" t="b">
        <v>1</v>
      </c>
      <c r="F76">
        <v>0</v>
      </c>
      <c r="G76" t="s">
        <v>336</v>
      </c>
      <c r="H76">
        <v>3854</v>
      </c>
      <c r="I76">
        <v>182</v>
      </c>
      <c r="J76">
        <v>362</v>
      </c>
      <c r="K76">
        <v>1</v>
      </c>
      <c r="L76">
        <v>1</v>
      </c>
      <c r="M76">
        <v>0</v>
      </c>
      <c r="N76" t="str">
        <f>HYPERLINK("https://images.diginfra.net/framed3.html?imagesetuuid=f18f1f43-56cc-43ad-847f-eb4be3207bcc&amp;uri=https://images.diginfra.net/iiif/NL-HaNA_1.01.02/3854/NL-HaNA_1.01.02_3854_0182.jpg", "viewer_url")</f>
        <v>viewer_url</v>
      </c>
      <c r="O76" t="str">
        <f>HYPERLINK("https://images.diginfra.net/iiif/NL-HaNA_1.01.02/3854/NL-HaNA_1.01.02_3854_0182.jpg/1431,1200,767,314/full/0/default.jpg", "iiif_url")</f>
        <v>iiif_url</v>
      </c>
      <c r="P76" t="s">
        <v>337</v>
      </c>
      <c r="Q76" t="str">
        <f>HYPERLINK("https://images.diginfra.net/framed3.html?imagesetuuid=f18f1f43-56cc-43ad-847f-eb4be3207bcc&amp;uri=https://images.diginfra.net/iiif/NL-HaNA_1.01.02/3854/NL-HaNA_1.01.02_3854_0185.jpg", "next_meeting_viewer_url")</f>
        <v>next_meeting_viewer_url</v>
      </c>
      <c r="R76" t="str">
        <f>HYPERLINK("https://images.diginfra.net/iiif/NL-HaNA_1.01.02/3854/NL-HaNA_1.01.02_3854_0185.jpg/2644,1576,751,320/full/0/default.jpg", "next_meeting_iiif_url")</f>
        <v>next_meeting_iiif_url</v>
      </c>
      <c r="S76" t="s">
        <v>338</v>
      </c>
      <c r="T76" t="str">
        <f>HYPERLINK("https://images.diginfra.net/framed3.html?imagesetuuid=f18f1f43-56cc-43ad-847f-eb4be3207bcc&amp;uri=https://images.diginfra.net/iiif/NL-HaNA_1.01.02/3854/NL-HaNA_1.01.02_3854_0179.jpg", "prev_meeting_viewer_url")</f>
        <v>prev_meeting_viewer_url</v>
      </c>
      <c r="U76" t="str">
        <f>HYPERLINK("https://images.diginfra.net/iiif/NL-HaNA_1.01.02/3854/NL-HaNA_1.01.02_3854_0179.jpg/3503,1593,755,312/full/0/default.jpg", "prev_meeting_iiif_url")</f>
        <v>prev_meeting_iiif_url</v>
      </c>
    </row>
    <row r="77" spans="1:21" x14ac:dyDescent="0.2">
      <c r="A77" t="s">
        <v>339</v>
      </c>
      <c r="B77" t="s">
        <v>21</v>
      </c>
      <c r="C77" t="s">
        <v>340</v>
      </c>
      <c r="D77" t="b">
        <v>1</v>
      </c>
      <c r="E77" t="b">
        <v>1</v>
      </c>
      <c r="F77">
        <v>0</v>
      </c>
      <c r="G77" t="s">
        <v>341</v>
      </c>
      <c r="H77">
        <v>3802</v>
      </c>
      <c r="I77">
        <v>495</v>
      </c>
      <c r="J77">
        <v>988</v>
      </c>
      <c r="K77">
        <v>1</v>
      </c>
      <c r="L77">
        <v>1</v>
      </c>
      <c r="M77">
        <v>0</v>
      </c>
      <c r="N77" t="str">
        <f>HYPERLINK("https://images.diginfra.net/framed3.html?imagesetuuid=42a0dd68-0122-4267-985e-43a657deae45&amp;uri=https://images.diginfra.net/iiif/NL-HaNA_1.01.02/3802/NL-HaNA_1.01.02_3802_0495.jpg", "viewer_url")</f>
        <v>viewer_url</v>
      </c>
      <c r="O77" t="str">
        <f>HYPERLINK("https://images.diginfra.net/iiif/NL-HaNA_1.01.02/3802/NL-HaNA_1.01.02_3802_0495.jpg/1378,1721,834,314/full/0/default.jpg", "iiif_url")</f>
        <v>iiif_url</v>
      </c>
      <c r="P77" t="s">
        <v>342</v>
      </c>
      <c r="Q77" t="str">
        <f>HYPERLINK("https://images.diginfra.net/framed3.html?imagesetuuid=42a0dd68-0122-4267-985e-43a657deae45&amp;uri=https://images.diginfra.net/iiif/NL-HaNA_1.01.02/3802/NL-HaNA_1.01.02_3802_0496.jpg", "next_meeting_viewer_url")</f>
        <v>next_meeting_viewer_url</v>
      </c>
      <c r="R77" t="str">
        <f>HYPERLINK("https://images.diginfra.net/iiif/NL-HaNA_1.01.02/3802/NL-HaNA_1.01.02_3802_0496.jpg/1313,1016,861,316/full/0/default.jpg", "next_meeting_iiif_url")</f>
        <v>next_meeting_iiif_url</v>
      </c>
      <c r="S77" t="s">
        <v>343</v>
      </c>
      <c r="T77" t="str">
        <f>HYPERLINK("https://images.diginfra.net/framed3.html?imagesetuuid=42a0dd68-0122-4267-985e-43a657deae45&amp;uri=https://images.diginfra.net/iiif/NL-HaNA_1.01.02/3802/NL-HaNA_1.01.02_3802_0493.jpg", "prev_meeting_viewer_url")</f>
        <v>prev_meeting_viewer_url</v>
      </c>
      <c r="U77" t="str">
        <f>HYPERLINK("https://images.diginfra.net/iiif/NL-HaNA_1.01.02/3802/NL-HaNA_1.01.02_3802_0493.jpg/2507,2046,801,310/full/0/default.jpg", "prev_meeting_iiif_url")</f>
        <v>prev_meeting_iiif_url</v>
      </c>
    </row>
    <row r="78" spans="1:21" x14ac:dyDescent="0.2">
      <c r="A78" t="s">
        <v>344</v>
      </c>
      <c r="B78" t="s">
        <v>21</v>
      </c>
      <c r="C78" t="s">
        <v>345</v>
      </c>
      <c r="D78" t="b">
        <v>1</v>
      </c>
      <c r="E78" t="b">
        <v>1</v>
      </c>
      <c r="F78">
        <v>1</v>
      </c>
      <c r="G78" t="s">
        <v>346</v>
      </c>
      <c r="H78">
        <v>3798</v>
      </c>
      <c r="I78">
        <v>204</v>
      </c>
      <c r="J78">
        <v>406</v>
      </c>
      <c r="K78">
        <v>0</v>
      </c>
      <c r="L78">
        <v>1</v>
      </c>
      <c r="M78">
        <v>0</v>
      </c>
      <c r="N78" t="str">
        <f>HYPERLINK("https://images.diginfra.net/framed3.html?imagesetuuid=c3e98c27-09b5-46e4-b19a-b811d240b059&amp;uri=https://images.diginfra.net/iiif/NL-HaNA_1.01.02/3798/NL-HaNA_1.01.02_3798_0204.jpg", "viewer_url")</f>
        <v>viewer_url</v>
      </c>
      <c r="O78" t="str">
        <f>HYPERLINK("https://images.diginfra.net/iiif/NL-HaNA_1.01.02/3798/NL-HaNA_1.01.02_3798_0204.jpg/365,2247,888,317/full/0/default.jpg", "iiif_url")</f>
        <v>iiif_url</v>
      </c>
      <c r="P78" t="s">
        <v>347</v>
      </c>
      <c r="Q78" t="str">
        <f>HYPERLINK("https://images.diginfra.net/framed3.html?imagesetuuid=c3e98c27-09b5-46e4-b19a-b811d240b059&amp;uri=https://images.diginfra.net/iiif/NL-HaNA_1.01.02/3798/NL-HaNA_1.01.02_3798_0205.jpg", "next_meeting_viewer_url")</f>
        <v>next_meeting_viewer_url</v>
      </c>
      <c r="R78" t="str">
        <f>HYPERLINK("https://images.diginfra.net/iiif/NL-HaNA_1.01.02/3798/NL-HaNA_1.01.02_3798_0205.jpg/1488,1840,744,315/full/0/default.jpg", "next_meeting_iiif_url")</f>
        <v>next_meeting_iiif_url</v>
      </c>
      <c r="S78" t="s">
        <v>348</v>
      </c>
      <c r="T78" t="str">
        <f>HYPERLINK("https://images.diginfra.net/framed3.html?imagesetuuid=c3e98c27-09b5-46e4-b19a-b811d240b059&amp;uri=https://images.diginfra.net/iiif/NL-HaNA_1.01.02/3798/NL-HaNA_1.01.02_3798_0203.jpg", "prev_meeting_viewer_url")</f>
        <v>prev_meeting_viewer_url</v>
      </c>
      <c r="U78" t="str">
        <f>HYPERLINK("https://images.diginfra.net/iiif/NL-HaNA_1.01.02/3798/NL-HaNA_1.01.02_3798_0203.jpg/1459,1558,695,313/full/0/default.jpg", "prev_meeting_iiif_url")</f>
        <v>prev_meeting_iiif_url</v>
      </c>
    </row>
    <row r="79" spans="1:21" x14ac:dyDescent="0.2">
      <c r="A79" t="s">
        <v>349</v>
      </c>
      <c r="B79" t="s">
        <v>71</v>
      </c>
      <c r="C79" t="s">
        <v>350</v>
      </c>
      <c r="D79" t="b">
        <v>1</v>
      </c>
      <c r="E79" t="b">
        <v>1</v>
      </c>
      <c r="F79">
        <v>0</v>
      </c>
      <c r="G79" t="s">
        <v>351</v>
      </c>
      <c r="H79">
        <v>3835</v>
      </c>
      <c r="I79">
        <v>463</v>
      </c>
      <c r="J79">
        <v>924</v>
      </c>
      <c r="K79">
        <v>1</v>
      </c>
      <c r="L79">
        <v>3</v>
      </c>
      <c r="M79">
        <v>0</v>
      </c>
      <c r="N79" t="str">
        <f>HYPERLINK("https://images.diginfra.net/framed3.html?imagesetuuid=473594ee-2ab0-4fbf-9da7-0e9d12acef41&amp;uri=https://images.diginfra.net/iiif/NL-HaNA_1.01.02/3835/NL-HaNA_1.01.02_3835_0463.jpg", "viewer_url")</f>
        <v>viewer_url</v>
      </c>
      <c r="O79" t="str">
        <f>HYPERLINK("https://images.diginfra.net/iiif/NL-HaNA_1.01.02/3835/NL-HaNA_1.01.02_3835_0463.jpg/1353,2909,831,312/full/0/default.jpg", "iiif_url")</f>
        <v>iiif_url</v>
      </c>
      <c r="P79" t="s">
        <v>352</v>
      </c>
      <c r="Q79" t="str">
        <f>HYPERLINK("https://images.diginfra.net/framed3.html?imagesetuuid=473594ee-2ab0-4fbf-9da7-0e9d12acef41&amp;uri=https://images.diginfra.net/iiif/NL-HaNA_1.01.02/3835/NL-HaNA_1.01.02_3835_0464.jpg", "next_meeting_viewer_url")</f>
        <v>next_meeting_viewer_url</v>
      </c>
      <c r="R79" t="str">
        <f>HYPERLINK("https://images.diginfra.net/iiif/NL-HaNA_1.01.02/3835/NL-HaNA_1.01.02_3835_0464.jpg/374,1719,819,311/full/0/default.jpg", "next_meeting_iiif_url")</f>
        <v>next_meeting_iiif_url</v>
      </c>
      <c r="S79" t="s">
        <v>353</v>
      </c>
      <c r="T79" t="str">
        <f>HYPERLINK("https://images.diginfra.net/framed3.html?imagesetuuid=473594ee-2ab0-4fbf-9da7-0e9d12acef41&amp;uri=https://images.diginfra.net/iiif/NL-HaNA_1.01.02/3835/NL-HaNA_1.01.02_3835_0461.jpg", "prev_meeting_viewer_url")</f>
        <v>prev_meeting_viewer_url</v>
      </c>
      <c r="U79" t="str">
        <f>HYPERLINK("https://images.diginfra.net/iiif/NL-HaNA_1.01.02/3835/NL-HaNA_1.01.02_3835_0461.jpg/2480,879,788,311/full/0/default.jpg", "prev_meeting_iiif_url")</f>
        <v>prev_meeting_iiif_url</v>
      </c>
    </row>
    <row r="80" spans="1:21" x14ac:dyDescent="0.2">
      <c r="A80" t="s">
        <v>354</v>
      </c>
      <c r="B80" t="s">
        <v>104</v>
      </c>
      <c r="C80" t="s">
        <v>355</v>
      </c>
      <c r="D80" t="b">
        <v>1</v>
      </c>
      <c r="E80" t="b">
        <v>1</v>
      </c>
      <c r="F80">
        <v>1</v>
      </c>
      <c r="G80" t="s">
        <v>356</v>
      </c>
      <c r="H80">
        <v>3821</v>
      </c>
      <c r="I80">
        <v>179</v>
      </c>
      <c r="J80">
        <v>356</v>
      </c>
      <c r="K80">
        <v>0</v>
      </c>
      <c r="L80">
        <v>0</v>
      </c>
      <c r="M80">
        <v>0</v>
      </c>
      <c r="N80" t="str">
        <f>HYPERLINK("https://images.diginfra.net/framed3.html?imagesetuuid=d2997452-8788-4796-912c-2151f3b459f9&amp;uri=https://images.diginfra.net/iiif/NL-HaNA_1.01.02/3821/NL-HaNA_1.01.02_3821_0179.jpg", "viewer_url")</f>
        <v>viewer_url</v>
      </c>
      <c r="O80" t="str">
        <f>HYPERLINK("https://images.diginfra.net/iiif/NL-HaNA_1.01.02/3821/NL-HaNA_1.01.02_3821_0179.jpg/443,301,737,316/full/0/default.jpg", "iiif_url")</f>
        <v>iiif_url</v>
      </c>
      <c r="P80" t="s">
        <v>357</v>
      </c>
      <c r="Q80" t="str">
        <f>HYPERLINK("https://images.diginfra.net/framed3.html?imagesetuuid=d2997452-8788-4796-912c-2151f3b459f9&amp;uri=https://images.diginfra.net/iiif/NL-HaNA_1.01.02/3821/NL-HaNA_1.01.02_3821_0181.jpg", "next_meeting_viewer_url")</f>
        <v>next_meeting_viewer_url</v>
      </c>
      <c r="R80" t="str">
        <f>HYPERLINK("https://images.diginfra.net/iiif/NL-HaNA_1.01.02/3821/NL-HaNA_1.01.02_3821_0181.jpg/3532,2863,659,317/full/0/default.jpg", "next_meeting_iiif_url")</f>
        <v>next_meeting_iiif_url</v>
      </c>
    </row>
    <row r="81" spans="1:21" x14ac:dyDescent="0.2">
      <c r="A81" t="s">
        <v>358</v>
      </c>
      <c r="B81" t="s">
        <v>104</v>
      </c>
      <c r="C81" t="s">
        <v>359</v>
      </c>
      <c r="D81" t="b">
        <v>1</v>
      </c>
      <c r="E81" t="b">
        <v>1</v>
      </c>
      <c r="F81">
        <v>1</v>
      </c>
      <c r="G81" t="s">
        <v>360</v>
      </c>
      <c r="H81">
        <v>3815</v>
      </c>
      <c r="I81">
        <v>528</v>
      </c>
      <c r="J81">
        <v>1055</v>
      </c>
      <c r="K81">
        <v>1</v>
      </c>
      <c r="L81">
        <v>0</v>
      </c>
      <c r="M81">
        <v>32</v>
      </c>
      <c r="N81" t="str">
        <f>HYPERLINK("https://images.diginfra.net/framed3.html?imagesetuuid=c649f39d-5b94-4d9d-8000-33acd4342c36&amp;uri=https://images.diginfra.net/iiif/NL-HaNA_1.01.02/3815/NL-HaNA_1.01.02_3815_0528.jpg", "viewer_url")</f>
        <v>viewer_url</v>
      </c>
      <c r="O81" t="str">
        <f>HYPERLINK("https://images.diginfra.net/iiif/NL-HaNA_1.01.02/3815/NL-HaNA_1.01.02_3815_0528.jpg/3424,1777,983,315/full/0/default.jpg", "iiif_url")</f>
        <v>iiif_url</v>
      </c>
      <c r="S81" t="s">
        <v>361</v>
      </c>
      <c r="T81" t="str">
        <f>HYPERLINK("https://images.diginfra.net/framed3.html?imagesetuuid=c649f39d-5b94-4d9d-8000-33acd4342c36&amp;uri=https://images.diginfra.net/iiif/NL-HaNA_1.01.02/3815/NL-HaNA_1.01.02_3815_0527.jpg", "prev_meeting_viewer_url")</f>
        <v>prev_meeting_viewer_url</v>
      </c>
      <c r="U81" t="str">
        <f>HYPERLINK("https://images.diginfra.net/iiif/NL-HaNA_1.01.02/3815/NL-HaNA_1.01.02_3815_0527.jpg/2480,2841,911,311/full/0/default.jpg", "prev_meeting_iiif_url")</f>
        <v>prev_meeting_iiif_url</v>
      </c>
    </row>
    <row r="82" spans="1:21" x14ac:dyDescent="0.2">
      <c r="A82" t="s">
        <v>362</v>
      </c>
      <c r="B82" t="s">
        <v>27</v>
      </c>
      <c r="D82" t="b">
        <v>0</v>
      </c>
      <c r="E82" t="b">
        <v>0</v>
      </c>
      <c r="F82">
        <v>1</v>
      </c>
    </row>
    <row r="83" spans="1:21" x14ac:dyDescent="0.2">
      <c r="A83" t="s">
        <v>363</v>
      </c>
      <c r="B83" t="s">
        <v>71</v>
      </c>
      <c r="D83" t="b">
        <v>1</v>
      </c>
      <c r="E83" t="b">
        <v>0</v>
      </c>
      <c r="F83">
        <v>0</v>
      </c>
      <c r="P83" t="s">
        <v>364</v>
      </c>
      <c r="Q83" t="str">
        <f>HYPERLINK("https://images.diginfra.net/framed3.html?imagesetuuid=c13c7ed6-75ba-4433-9b44-0db683995fb3&amp;uri=https://images.diginfra.net/iiif/NL-HaNA_1.01.02/3817/NL-HaNA_1.01.02_3817_0443.jpg", "next_meeting_viewer_url")</f>
        <v>next_meeting_viewer_url</v>
      </c>
      <c r="R83" t="str">
        <f>HYPERLINK("https://images.diginfra.net/iiif/NL-HaNA_1.01.02/3817/NL-HaNA_1.01.02_3817_0443.jpg/3418,537,792,313/full/0/default.jpg", "next_meeting_iiif_url")</f>
        <v>next_meeting_iiif_url</v>
      </c>
      <c r="S83" t="s">
        <v>365</v>
      </c>
      <c r="T83" t="str">
        <f>HYPERLINK("https://images.diginfra.net/framed3.html?imagesetuuid=c13c7ed6-75ba-4433-9b44-0db683995fb3&amp;uri=https://images.diginfra.net/iiif/NL-HaNA_1.01.02/3817/NL-HaNA_1.01.02_3817_0440.jpg", "prev_meeting_viewer_url")</f>
        <v>prev_meeting_viewer_url</v>
      </c>
      <c r="U83" t="str">
        <f>HYPERLINK("https://images.diginfra.net/iiif/NL-HaNA_1.01.02/3817/NL-HaNA_1.01.02_3817_0440.jpg/2492,2080,776,313/full/0/default.jpg", "prev_meeting_iiif_url")</f>
        <v>prev_meeting_iiif_url</v>
      </c>
    </row>
    <row r="84" spans="1:21" x14ac:dyDescent="0.2">
      <c r="A84" t="s">
        <v>366</v>
      </c>
      <c r="B84" t="s">
        <v>21</v>
      </c>
      <c r="C84" t="s">
        <v>367</v>
      </c>
      <c r="D84" t="b">
        <v>1</v>
      </c>
      <c r="E84" t="b">
        <v>1</v>
      </c>
      <c r="F84">
        <v>1</v>
      </c>
      <c r="G84" t="s">
        <v>368</v>
      </c>
      <c r="H84">
        <v>3802</v>
      </c>
      <c r="I84">
        <v>146</v>
      </c>
      <c r="J84">
        <v>291</v>
      </c>
      <c r="K84">
        <v>1</v>
      </c>
      <c r="L84">
        <v>2</v>
      </c>
      <c r="M84">
        <v>0</v>
      </c>
      <c r="N84" t="str">
        <f>HYPERLINK("https://images.diginfra.net/framed3.html?imagesetuuid=42a0dd68-0122-4267-985e-43a657deae45&amp;uri=https://images.diginfra.net/iiif/NL-HaNA_1.01.02/3802/NL-HaNA_1.01.02_3802_0146.jpg", "viewer_url")</f>
        <v>viewer_url</v>
      </c>
      <c r="O84" t="str">
        <f>HYPERLINK("https://images.diginfra.net/iiif/NL-HaNA_1.01.02/3802/NL-HaNA_1.01.02_3802_0146.jpg/3504,1904,755,306/full/0/default.jpg", "iiif_url")</f>
        <v>iiif_url</v>
      </c>
      <c r="P84" t="s">
        <v>369</v>
      </c>
      <c r="Q84" t="str">
        <f>HYPERLINK("https://images.diginfra.net/framed3.html?imagesetuuid=42a0dd68-0122-4267-985e-43a657deae45&amp;uri=https://images.diginfra.net/iiif/NL-HaNA_1.01.02/3802/NL-HaNA_1.01.02_3802_0149.jpg", "next_meeting_viewer_url")</f>
        <v>next_meeting_viewer_url</v>
      </c>
      <c r="R84" t="str">
        <f>HYPERLINK("https://images.diginfra.net/iiif/NL-HaNA_1.01.02/3802/NL-HaNA_1.01.02_3802_0149.jpg/1423,1864,786,315/full/0/default.jpg", "next_meeting_iiif_url")</f>
        <v>next_meeting_iiif_url</v>
      </c>
    </row>
    <row r="85" spans="1:21" x14ac:dyDescent="0.2">
      <c r="A85" t="s">
        <v>370</v>
      </c>
      <c r="B85" t="s">
        <v>21</v>
      </c>
      <c r="C85" t="s">
        <v>371</v>
      </c>
      <c r="D85" t="b">
        <v>1</v>
      </c>
      <c r="E85" t="b">
        <v>1</v>
      </c>
      <c r="F85">
        <v>1</v>
      </c>
      <c r="G85" t="s">
        <v>372</v>
      </c>
      <c r="H85">
        <v>3861</v>
      </c>
      <c r="I85">
        <v>10</v>
      </c>
      <c r="J85">
        <v>19</v>
      </c>
      <c r="K85">
        <v>0</v>
      </c>
      <c r="L85">
        <v>1</v>
      </c>
      <c r="M85">
        <v>0</v>
      </c>
      <c r="N85" t="str">
        <f>HYPERLINK("https://images.diginfra.net/framed3.html?imagesetuuid=b4e67ed8-83e3-4753-be03-ba41d876b057&amp;uri=https://images.diginfra.net/iiif/NL-HaNA_1.01.02/3861/NL-HaNA_1.01.02_3861_0010.jpg", "viewer_url")</f>
        <v>viewer_url</v>
      </c>
      <c r="O85" t="str">
        <f>HYPERLINK("https://images.diginfra.net/iiif/NL-HaNA_1.01.02/3861/NL-HaNA_1.01.02_3861_0010.jpg/2628,645,699,321/full/0/default.jpg", "iiif_url")</f>
        <v>iiif_url</v>
      </c>
      <c r="P85" t="s">
        <v>373</v>
      </c>
      <c r="Q85" t="str">
        <f>HYPERLINK("https://images.diginfra.net/framed3.html?imagesetuuid=b4e67ed8-83e3-4753-be03-ba41d876b057&amp;uri=https://images.diginfra.net/iiif/NL-HaNA_1.01.02/3861/NL-HaNA_1.01.02_3861_0011.jpg", "next_meeting_viewer_url")</f>
        <v>next_meeting_viewer_url</v>
      </c>
      <c r="R85" t="str">
        <f>HYPERLINK("https://images.diginfra.net/iiif/NL-HaNA_1.01.02/3861/NL-HaNA_1.01.02_3861_0011.jpg/3560,2437,699,323/full/0/default.jpg", "next_meeting_iiif_url")</f>
        <v>next_meeting_iiif_url</v>
      </c>
      <c r="S85" t="s">
        <v>374</v>
      </c>
      <c r="T85" t="str">
        <f>HYPERLINK("https://images.diginfra.net/framed3.html?imagesetuuid=b4e67ed8-83e3-4753-be03-ba41d876b057&amp;uri=https://images.diginfra.net/iiif/NL-HaNA_1.01.02/3861/NL-HaNA_1.01.02_3861_0009.jpg", "prev_meeting_viewer_url")</f>
        <v>prev_meeting_viewer_url</v>
      </c>
      <c r="U85" t="str">
        <f>HYPERLINK("https://images.diginfra.net/iiif/NL-HaNA_1.01.02/3861/NL-HaNA_1.01.02_3861_0009.jpg/1474,899,630,312/full/0/default.jpg", "prev_meeting_iiif_url")</f>
        <v>prev_meeting_iiif_url</v>
      </c>
    </row>
    <row r="86" spans="1:21" x14ac:dyDescent="0.2">
      <c r="A86" t="s">
        <v>375</v>
      </c>
      <c r="B86" t="s">
        <v>104</v>
      </c>
      <c r="C86" t="s">
        <v>376</v>
      </c>
      <c r="D86" t="b">
        <v>1</v>
      </c>
      <c r="E86" t="b">
        <v>1</v>
      </c>
      <c r="F86">
        <v>1</v>
      </c>
      <c r="G86" t="s">
        <v>377</v>
      </c>
      <c r="H86">
        <v>3836</v>
      </c>
      <c r="I86">
        <v>307</v>
      </c>
      <c r="J86">
        <v>613</v>
      </c>
      <c r="K86">
        <v>1</v>
      </c>
      <c r="L86">
        <v>2</v>
      </c>
      <c r="M86">
        <v>0</v>
      </c>
      <c r="N86" t="str">
        <f>HYPERLINK("https://images.diginfra.net/framed3.html?imagesetuuid=4afc9a09-602a-4496-bef5-1ae8940042a8&amp;uri=https://images.diginfra.net/iiif/NL-HaNA_1.01.02/3836/NL-HaNA_1.01.02_3836_0307.jpg", "viewer_url")</f>
        <v>viewer_url</v>
      </c>
      <c r="O86" t="str">
        <f>HYPERLINK("https://images.diginfra.net/iiif/NL-HaNA_1.01.02/3836/NL-HaNA_1.01.02_3836_0307.jpg/3429,2403,786,309/full/0/default.jpg", "iiif_url")</f>
        <v>iiif_url</v>
      </c>
      <c r="P86" t="s">
        <v>378</v>
      </c>
      <c r="Q86" t="str">
        <f>HYPERLINK("https://images.diginfra.net/framed3.html?imagesetuuid=4afc9a09-602a-4496-bef5-1ae8940042a8&amp;uri=https://images.diginfra.net/iiif/NL-HaNA_1.01.02/3836/NL-HaNA_1.01.02_3836_0309.jpg", "next_meeting_viewer_url")</f>
        <v>next_meeting_viewer_url</v>
      </c>
      <c r="R86" t="str">
        <f>HYPERLINK("https://images.diginfra.net/iiif/NL-HaNA_1.01.02/3836/NL-HaNA_1.01.02_3836_0309.jpg/410,242,713,312/full/0/default.jpg", "next_meeting_iiif_url")</f>
        <v>next_meeting_iiif_url</v>
      </c>
      <c r="S86" t="s">
        <v>379</v>
      </c>
      <c r="T86" t="str">
        <f>HYPERLINK("https://images.diginfra.net/framed3.html?imagesetuuid=4afc9a09-602a-4496-bef5-1ae8940042a8&amp;uri=https://images.diginfra.net/iiif/NL-HaNA_1.01.02/3836/NL-HaNA_1.01.02_3836_0306.jpg", "prev_meeting_viewer_url")</f>
        <v>prev_meeting_viewer_url</v>
      </c>
      <c r="U86" t="str">
        <f>HYPERLINK("https://images.diginfra.net/iiif/NL-HaNA_1.01.02/3836/NL-HaNA_1.01.02_3836_0306.jpg/2516,1991,753,312/full/0/default.jpg", "prev_meeting_iiif_url")</f>
        <v>prev_meeting_iiif_url</v>
      </c>
    </row>
    <row r="87" spans="1:21" x14ac:dyDescent="0.2">
      <c r="A87" t="s">
        <v>380</v>
      </c>
      <c r="B87" t="s">
        <v>55</v>
      </c>
      <c r="D87" t="b">
        <v>0</v>
      </c>
      <c r="E87" t="b">
        <v>0</v>
      </c>
      <c r="F87">
        <v>1</v>
      </c>
      <c r="P87" t="s">
        <v>381</v>
      </c>
      <c r="Q87" t="str">
        <f>HYPERLINK("https://images.diginfra.net/framed3.html?imagesetuuid=3e55157c-ed48-4a0c-b4a9-bb205866d7cd&amp;uri=https://images.diginfra.net/iiif/NL-HaNA_1.01.02/3825/NL-HaNA_1.01.02_3825_0319.jpg", "next_meeting_viewer_url")</f>
        <v>next_meeting_viewer_url</v>
      </c>
      <c r="R87" t="str">
        <f>HYPERLINK("https://images.diginfra.net/iiif/NL-HaNA_1.01.02/3825/NL-HaNA_1.01.02_3825_0319.jpg/2534,778,764,314/full/0/default.jpg", "next_meeting_iiif_url")</f>
        <v>next_meeting_iiif_url</v>
      </c>
      <c r="S87" t="s">
        <v>381</v>
      </c>
      <c r="T87" t="str">
        <f>HYPERLINK("https://images.diginfra.net/framed3.html?imagesetuuid=3e55157c-ed48-4a0c-b4a9-bb205866d7cd&amp;uri=https://images.diginfra.net/iiif/NL-HaNA_1.01.02/3825/NL-HaNA_1.01.02_3825_0319.jpg", "prev_meeting_viewer_url")</f>
        <v>prev_meeting_viewer_url</v>
      </c>
      <c r="U87" t="str">
        <f>HYPERLINK("https://images.diginfra.net/iiif/NL-HaNA_1.01.02/3825/NL-HaNA_1.01.02_3825_0319.jpg/2534,778,764,314/full/0/default.jpg", "prev_meeting_iiif_url")</f>
        <v>prev_meeting_iiif_url</v>
      </c>
    </row>
    <row r="88" spans="1:21" x14ac:dyDescent="0.2">
      <c r="A88" t="s">
        <v>382</v>
      </c>
      <c r="B88" t="s">
        <v>38</v>
      </c>
      <c r="C88" t="s">
        <v>383</v>
      </c>
      <c r="D88" t="b">
        <v>1</v>
      </c>
      <c r="E88" t="b">
        <v>1</v>
      </c>
      <c r="F88">
        <v>1</v>
      </c>
      <c r="G88" t="s">
        <v>384</v>
      </c>
      <c r="H88">
        <v>3770</v>
      </c>
      <c r="I88">
        <v>259</v>
      </c>
      <c r="J88">
        <v>517</v>
      </c>
      <c r="K88">
        <v>1</v>
      </c>
      <c r="L88">
        <v>2</v>
      </c>
      <c r="M88">
        <v>0</v>
      </c>
      <c r="N88" t="str">
        <f>HYPERLINK("https://images.diginfra.net/framed3.html?imagesetuuid=ee423b29-ca44-4ac9-bc3a-01422a0a6240&amp;uri=https://images.diginfra.net/iiif/NL-HaNA_1.01.02/3770/NL-HaNA_1.01.02_3770_0259.jpg", "viewer_url")</f>
        <v>viewer_url</v>
      </c>
      <c r="O88" t="str">
        <f>HYPERLINK("https://images.diginfra.net/iiif/NL-HaNA_1.01.02/3770/NL-HaNA_1.01.02_3770_0259.jpg/3506,1042,691,309/full/0/default.jpg", "iiif_url")</f>
        <v>iiif_url</v>
      </c>
      <c r="P88" t="s">
        <v>385</v>
      </c>
      <c r="Q88" t="str">
        <f>HYPERLINK("https://images.diginfra.net/framed3.html?imagesetuuid=ee423b29-ca44-4ac9-bc3a-01422a0a6240&amp;uri=https://images.diginfra.net/iiif/NL-HaNA_1.01.02/3770/NL-HaNA_1.01.02_3770_0262.jpg", "next_meeting_viewer_url")</f>
        <v>next_meeting_viewer_url</v>
      </c>
      <c r="R88" t="str">
        <f>HYPERLINK("https://images.diginfra.net/iiif/NL-HaNA_1.01.02/3770/NL-HaNA_1.01.02_3770_0262.jpg/1452,1110,734,313/full/0/default.jpg", "next_meeting_iiif_url")</f>
        <v>next_meeting_iiif_url</v>
      </c>
      <c r="S88" t="s">
        <v>386</v>
      </c>
      <c r="T88" t="str">
        <f>HYPERLINK("https://images.diginfra.net/framed3.html?imagesetuuid=ee423b29-ca44-4ac9-bc3a-01422a0a6240&amp;uri=https://images.diginfra.net/iiif/NL-HaNA_1.01.02/3770/NL-HaNA_1.01.02_3770_0257.jpg", "prev_meeting_viewer_url")</f>
        <v>prev_meeting_viewer_url</v>
      </c>
      <c r="U88" t="str">
        <f>HYPERLINK("https://images.diginfra.net/iiif/NL-HaNA_1.01.02/3770/NL-HaNA_1.01.02_3770_0257.jpg/1512,551,668,314/full/0/default.jpg", "prev_meeting_iiif_url")</f>
        <v>prev_meeting_iiif_url</v>
      </c>
    </row>
    <row r="89" spans="1:21" x14ac:dyDescent="0.2">
      <c r="A89" t="s">
        <v>387</v>
      </c>
      <c r="B89" t="s">
        <v>38</v>
      </c>
      <c r="C89" t="s">
        <v>388</v>
      </c>
      <c r="D89" t="b">
        <v>1</v>
      </c>
      <c r="E89" t="b">
        <v>1</v>
      </c>
      <c r="F89">
        <v>1</v>
      </c>
      <c r="G89" t="s">
        <v>389</v>
      </c>
      <c r="H89">
        <v>3781</v>
      </c>
      <c r="I89">
        <v>220</v>
      </c>
      <c r="J89">
        <v>439</v>
      </c>
      <c r="K89">
        <v>1</v>
      </c>
      <c r="L89">
        <v>1</v>
      </c>
      <c r="M89">
        <v>0</v>
      </c>
      <c r="N89" t="str">
        <f>HYPERLINK("https://images.diginfra.net/framed3.html?imagesetuuid=7806433b-7f26-4d4e-8e76-37d108a188de&amp;uri=https://images.diginfra.net/iiif/NL-HaNA_1.01.02/3781/NL-HaNA_1.01.02_3781_0220.jpg", "viewer_url")</f>
        <v>viewer_url</v>
      </c>
      <c r="O89" t="str">
        <f>HYPERLINK("https://images.diginfra.net/iiif/NL-HaNA_1.01.02/3781/NL-HaNA_1.01.02_3781_0220.jpg/3646,1905,683,317/full/0/default.jpg", "iiif_url")</f>
        <v>iiif_url</v>
      </c>
      <c r="P89" t="s">
        <v>390</v>
      </c>
      <c r="Q89" t="str">
        <f>HYPERLINK("https://images.diginfra.net/framed3.html?imagesetuuid=7806433b-7f26-4d4e-8e76-37d108a188de&amp;uri=https://images.diginfra.net/iiif/NL-HaNA_1.01.02/3781/NL-HaNA_1.01.02_3781_0222.jpg", "next_meeting_viewer_url")</f>
        <v>next_meeting_viewer_url</v>
      </c>
      <c r="R89" t="str">
        <f>HYPERLINK("https://images.diginfra.net/iiif/NL-HaNA_1.01.02/3781/NL-HaNA_1.01.02_3781_0222.jpg/3655,611,737,313/full/0/default.jpg", "next_meeting_iiif_url")</f>
        <v>next_meeting_iiif_url</v>
      </c>
      <c r="S89" t="s">
        <v>391</v>
      </c>
      <c r="T89" t="str">
        <f>HYPERLINK("https://images.diginfra.net/framed3.html?imagesetuuid=7806433b-7f26-4d4e-8e76-37d108a188de&amp;uri=https://images.diginfra.net/iiif/NL-HaNA_1.01.02/3781/NL-HaNA_1.01.02_3781_0219.jpg", "prev_meeting_viewer_url")</f>
        <v>prev_meeting_viewer_url</v>
      </c>
      <c r="U89" t="str">
        <f>HYPERLINK("https://images.diginfra.net/iiif/NL-HaNA_1.01.02/3781/NL-HaNA_1.01.02_3781_0219.jpg/492,2206,744,314/full/0/default.jpg", "prev_meeting_iiif_url")</f>
        <v>prev_meeting_iiif_url</v>
      </c>
    </row>
    <row r="90" spans="1:21" x14ac:dyDescent="0.2">
      <c r="A90" t="s">
        <v>392</v>
      </c>
      <c r="B90" t="s">
        <v>71</v>
      </c>
      <c r="C90" t="s">
        <v>393</v>
      </c>
      <c r="D90" t="b">
        <v>1</v>
      </c>
      <c r="E90" t="b">
        <v>1</v>
      </c>
      <c r="F90">
        <v>0</v>
      </c>
      <c r="G90" t="s">
        <v>394</v>
      </c>
      <c r="H90">
        <v>3785</v>
      </c>
      <c r="I90">
        <v>396</v>
      </c>
      <c r="J90">
        <v>791</v>
      </c>
      <c r="K90">
        <v>0</v>
      </c>
      <c r="L90">
        <v>3</v>
      </c>
      <c r="M90">
        <v>0</v>
      </c>
      <c r="N90" t="str">
        <f>HYPERLINK("https://images.diginfra.net/framed3.html?imagesetuuid=88a314f7-936a-49fb-9ac3-0115764531f2&amp;uri=https://images.diginfra.net/iiif/NL-HaNA_1.01.02/3785/NL-HaNA_1.01.02_3785_0396.jpg", "viewer_url")</f>
        <v>viewer_url</v>
      </c>
      <c r="O90" t="str">
        <f>HYPERLINK("https://images.diginfra.net/iiif/NL-HaNA_1.01.02/3785/NL-HaNA_1.01.02_3785_0396.jpg/2535,2261,849,325/full/0/default.jpg", "iiif_url")</f>
        <v>iiif_url</v>
      </c>
      <c r="P90" t="s">
        <v>395</v>
      </c>
      <c r="Q90" t="str">
        <f>HYPERLINK("https://images.diginfra.net/framed3.html?imagesetuuid=88a314f7-936a-49fb-9ac3-0115764531f2&amp;uri=https://images.diginfra.net/iiif/NL-HaNA_1.01.02/3785/NL-HaNA_1.01.02_3785_0397.jpg", "next_meeting_viewer_url")</f>
        <v>next_meeting_viewer_url</v>
      </c>
      <c r="R90" t="str">
        <f>HYPERLINK("https://images.diginfra.net/iiif/NL-HaNA_1.01.02/3785/NL-HaNA_1.01.02_3785_0397.jpg/337,2203,802,308/full/0/default.jpg", "next_meeting_iiif_url")</f>
        <v>next_meeting_iiif_url</v>
      </c>
      <c r="S90" t="s">
        <v>393</v>
      </c>
      <c r="T90" t="str">
        <f>HYPERLINK("https://images.diginfra.net/framed3.html?imagesetuuid=88a314f7-936a-49fb-9ac3-0115764531f2&amp;uri=https://images.diginfra.net/iiif/NL-HaNA_1.01.02/3785/NL-HaNA_1.01.02_3785_0396.jpg", "prev_meeting_viewer_url")</f>
        <v>prev_meeting_viewer_url</v>
      </c>
      <c r="U90" t="str">
        <f>HYPERLINK("https://images.diginfra.net/iiif/NL-HaNA_1.01.02/3785/NL-HaNA_1.01.02_3785_0396.jpg/2535,2261,849,325/full/0/default.jpg", "prev_meeting_iiif_url")</f>
        <v>prev_meeting_iiif_url</v>
      </c>
    </row>
    <row r="91" spans="1:21" x14ac:dyDescent="0.2">
      <c r="A91" t="s">
        <v>396</v>
      </c>
      <c r="B91" t="s">
        <v>21</v>
      </c>
      <c r="C91" t="s">
        <v>397</v>
      </c>
      <c r="D91" t="b">
        <v>1</v>
      </c>
      <c r="E91" t="b">
        <v>1</v>
      </c>
      <c r="F91">
        <v>1</v>
      </c>
      <c r="G91" t="s">
        <v>398</v>
      </c>
      <c r="H91">
        <v>3813</v>
      </c>
      <c r="I91">
        <v>451</v>
      </c>
      <c r="J91">
        <v>901</v>
      </c>
      <c r="K91">
        <v>2</v>
      </c>
      <c r="L91">
        <v>0</v>
      </c>
      <c r="M91">
        <v>78</v>
      </c>
      <c r="N91" t="str">
        <f>HYPERLINK("https://images.diginfra.net/framed3.html?imagesetuuid=19a3f39b-117a-4ab7-b45b-5e134b099649&amp;uri=https://images.diginfra.net/iiif/NL-HaNA_1.01.02/3813/NL-HaNA_1.01.02_3813_0451.jpg", "viewer_url")</f>
        <v>viewer_url</v>
      </c>
      <c r="O91" t="str">
        <f>HYPERLINK("https://images.diginfra.net/iiif/NL-HaNA_1.01.02/3813/NL-HaNA_1.01.02_3813_0451.jpg/3266,2941,939,326/full/0/default.jpg", "iiif_url")</f>
        <v>iiif_url</v>
      </c>
      <c r="P91" t="s">
        <v>399</v>
      </c>
      <c r="Q91" t="str">
        <f>HYPERLINK("https://images.diginfra.net/framed3.html?imagesetuuid=19a3f39b-117a-4ab7-b45b-5e134b099649&amp;uri=https://images.diginfra.net/iiif/NL-HaNA_1.01.02/3813/NL-HaNA_1.01.02_3813_0455.jpg", "next_meeting_viewer_url")</f>
        <v>next_meeting_viewer_url</v>
      </c>
      <c r="R91" t="str">
        <f>HYPERLINK("https://images.diginfra.net/iiif/NL-HaNA_1.01.02/3813/NL-HaNA_1.01.02_3813_0455.jpg/316,990,1069,321/full/0/default.jpg", "next_meeting_iiif_url")</f>
        <v>next_meeting_iiif_url</v>
      </c>
      <c r="S91" t="s">
        <v>400</v>
      </c>
      <c r="T91" t="str">
        <f>HYPERLINK("https://images.diginfra.net/framed3.html?imagesetuuid=19a3f39b-117a-4ab7-b45b-5e134b099649&amp;uri=https://images.diginfra.net/iiif/NL-HaNA_1.01.02/3813/NL-HaNA_1.01.02_3813_0451.jpg", "prev_meeting_viewer_url")</f>
        <v>prev_meeting_viewer_url</v>
      </c>
      <c r="U91" t="str">
        <f>HYPERLINK("https://images.diginfra.net/iiif/NL-HaNA_1.01.02/3813/NL-HaNA_1.01.02_3813_0451.jpg/2529,1180,910,317/full/0/default.jpg", "prev_meeting_iiif_url")</f>
        <v>prev_meeting_iiif_url</v>
      </c>
    </row>
    <row r="92" spans="1:21" x14ac:dyDescent="0.2">
      <c r="A92" t="s">
        <v>401</v>
      </c>
      <c r="B92" t="s">
        <v>38</v>
      </c>
      <c r="C92" t="s">
        <v>402</v>
      </c>
      <c r="D92" t="b">
        <v>1</v>
      </c>
      <c r="E92" t="b">
        <v>1</v>
      </c>
      <c r="F92">
        <v>1</v>
      </c>
      <c r="G92" t="s">
        <v>403</v>
      </c>
      <c r="H92">
        <v>3794</v>
      </c>
      <c r="I92">
        <v>345</v>
      </c>
      <c r="J92">
        <v>689</v>
      </c>
      <c r="K92">
        <v>1</v>
      </c>
      <c r="L92">
        <v>1</v>
      </c>
      <c r="M92">
        <v>0</v>
      </c>
      <c r="N92" t="str">
        <f>HYPERLINK("https://images.diginfra.net/framed3.html?imagesetuuid=5debb5c6-ae39-480e-845e-6e10690f8984&amp;uri=https://images.diginfra.net/iiif/NL-HaNA_1.01.02/3794/NL-HaNA_1.01.02_3794_0345.jpg", "viewer_url")</f>
        <v>viewer_url</v>
      </c>
      <c r="O92" t="str">
        <f>HYPERLINK("https://images.diginfra.net/iiif/NL-HaNA_1.01.02/3794/NL-HaNA_1.01.02_3794_0345.jpg/3612,1401,749,315/full/0/default.jpg", "iiif_url")</f>
        <v>iiif_url</v>
      </c>
      <c r="P92" t="s">
        <v>404</v>
      </c>
      <c r="Q92" t="str">
        <f>HYPERLINK("https://images.diginfra.net/framed3.html?imagesetuuid=5debb5c6-ae39-480e-845e-6e10690f8984&amp;uri=https://images.diginfra.net/iiif/NL-HaNA_1.01.02/3794/NL-HaNA_1.01.02_3794_0346.jpg", "next_meeting_viewer_url")</f>
        <v>next_meeting_viewer_url</v>
      </c>
      <c r="R92" t="str">
        <f>HYPERLINK("https://images.diginfra.net/iiif/NL-HaNA_1.01.02/3794/NL-HaNA_1.01.02_3794_0346.jpg/2657,1066,761,325/full/0/default.jpg", "next_meeting_iiif_url")</f>
        <v>next_meeting_iiif_url</v>
      </c>
      <c r="S92" t="s">
        <v>405</v>
      </c>
      <c r="T92" t="str">
        <f>HYPERLINK("https://images.diginfra.net/framed3.html?imagesetuuid=5debb5c6-ae39-480e-845e-6e10690f8984&amp;uri=https://images.diginfra.net/iiif/NL-HaNA_1.01.02/3794/NL-HaNA_1.01.02_3794_0344.jpg", "prev_meeting_viewer_url")</f>
        <v>prev_meeting_viewer_url</v>
      </c>
      <c r="U92" t="str">
        <f>HYPERLINK("https://images.diginfra.net/iiif/NL-HaNA_1.01.02/3794/NL-HaNA_1.01.02_3794_0344.jpg/2751,556,718,318/full/0/default.jpg", "prev_meeting_iiif_url")</f>
        <v>prev_meeting_iiif_url</v>
      </c>
    </row>
    <row r="93" spans="1:21" x14ac:dyDescent="0.2">
      <c r="A93" t="s">
        <v>406</v>
      </c>
      <c r="B93" t="s">
        <v>71</v>
      </c>
      <c r="C93" t="s">
        <v>407</v>
      </c>
      <c r="D93" t="b">
        <v>1</v>
      </c>
      <c r="E93" t="b">
        <v>1</v>
      </c>
      <c r="F93">
        <v>1</v>
      </c>
      <c r="G93" t="s">
        <v>408</v>
      </c>
      <c r="H93">
        <v>3816</v>
      </c>
      <c r="I93">
        <v>447</v>
      </c>
      <c r="J93">
        <v>892</v>
      </c>
      <c r="K93">
        <v>1</v>
      </c>
      <c r="L93">
        <v>1</v>
      </c>
      <c r="M93">
        <v>1</v>
      </c>
      <c r="N93" t="str">
        <f>HYPERLINK("https://images.diginfra.net/framed3.html?imagesetuuid=1c2c3458-ea9f-4ec5-811c-cef54972a496&amp;uri=https://images.diginfra.net/iiif/NL-HaNA_1.01.02/3816/NL-HaNA_1.01.02_3816_0447.jpg", "viewer_url")</f>
        <v>viewer_url</v>
      </c>
      <c r="O93" t="str">
        <f>HYPERLINK("https://images.diginfra.net/iiif/NL-HaNA_1.01.02/3816/NL-HaNA_1.01.02_3816_0447.jpg/1444,1407,936,309/full/0/default.jpg", "iiif_url")</f>
        <v>iiif_url</v>
      </c>
      <c r="P93" t="s">
        <v>409</v>
      </c>
      <c r="Q93" t="str">
        <f>HYPERLINK("https://images.diginfra.net/framed3.html?imagesetuuid=1c2c3458-ea9f-4ec5-811c-cef54972a496&amp;uri=https://images.diginfra.net/iiif/NL-HaNA_1.01.02/3816/NL-HaNA_1.01.02_3816_0451.jpg", "next_meeting_viewer_url")</f>
        <v>next_meeting_viewer_url</v>
      </c>
      <c r="R93" t="str">
        <f>HYPERLINK("https://images.diginfra.net/iiif/NL-HaNA_1.01.02/3816/NL-HaNA_1.01.02_3816_0451.jpg/345,1693,808,311/full/0/default.jpg", "next_meeting_iiif_url")</f>
        <v>next_meeting_iiif_url</v>
      </c>
      <c r="S93" t="s">
        <v>410</v>
      </c>
      <c r="T93" t="str">
        <f>HYPERLINK("https://images.diginfra.net/framed3.html?imagesetuuid=1c2c3458-ea9f-4ec5-811c-cef54972a496&amp;uri=https://images.diginfra.net/iiif/NL-HaNA_1.01.02/3816/NL-HaNA_1.01.02_3816_0445.jpg", "prev_meeting_viewer_url")</f>
        <v>prev_meeting_viewer_url</v>
      </c>
      <c r="U93" t="str">
        <f>HYPERLINK("https://images.diginfra.net/iiif/NL-HaNA_1.01.02/3816/NL-HaNA_1.01.02_3816_0445.jpg/512,2574,803,312/full/0/default.jpg", "prev_meeting_iiif_url")</f>
        <v>prev_meeting_iiif_url</v>
      </c>
    </row>
    <row r="94" spans="1:21" x14ac:dyDescent="0.2">
      <c r="A94" t="s">
        <v>411</v>
      </c>
      <c r="B94" t="s">
        <v>71</v>
      </c>
      <c r="D94" t="b">
        <v>1</v>
      </c>
      <c r="E94" t="b">
        <v>1</v>
      </c>
      <c r="F94">
        <v>0</v>
      </c>
      <c r="G94" t="s">
        <v>412</v>
      </c>
      <c r="H94">
        <v>3834</v>
      </c>
      <c r="I94">
        <v>494</v>
      </c>
      <c r="J94">
        <v>986</v>
      </c>
      <c r="K94">
        <v>2</v>
      </c>
      <c r="L94">
        <v>0</v>
      </c>
      <c r="M94">
        <v>0</v>
      </c>
      <c r="N94" t="str">
        <f>HYPERLINK("https://images.diginfra.net/framed3.html?imagesetuuid=bf11cd8e-e3f4-444c-9caa-dcdfd20137d7&amp;uri=https://images.diginfra.net/iiif/NL-HaNA_1.01.02/3834/NL-HaNA_1.01.02_3834_0494.jpg", "viewer_url")</f>
        <v>viewer_url</v>
      </c>
      <c r="O94" t="str">
        <f>HYPERLINK("https://images.diginfra.net/iiif/NL-HaNA_1.01.02/3834/NL-HaNA_1.01.02_3834_0494.jpg/1661,311,334,308/full/0/default.jpg", "iiif_url")</f>
        <v>iiif_url</v>
      </c>
      <c r="T94" t="str">
        <f>HYPERLINK("https://images.diginfra.net/framed3.html?imagesetuuid=bf11cd8e-e3f4-444c-9caa-dcdfd20137d7&amp;uri=https://images.diginfra.net/iiif/NL-HaNA_1.01.02/3834/NL-HaNA_1.01.02_3834_0494.jpg", "prev_meeting_viewer_url")</f>
        <v>prev_meeting_viewer_url</v>
      </c>
      <c r="U94" t="str">
        <f>HYPERLINK("https://images.diginfra.net/iiif/NL-HaNA_1.01.02/3834/NL-HaNA_1.01.02_3834_0494.jpg/1661,311,334,308/full/0/default.jpg", "prev_meeting_iiif_url")</f>
        <v>prev_meeting_iiif_url</v>
      </c>
    </row>
    <row r="95" spans="1:21" x14ac:dyDescent="0.2">
      <c r="A95" t="s">
        <v>413</v>
      </c>
      <c r="B95" t="s">
        <v>38</v>
      </c>
      <c r="C95" t="s">
        <v>414</v>
      </c>
      <c r="D95" t="b">
        <v>1</v>
      </c>
      <c r="E95" t="b">
        <v>1</v>
      </c>
      <c r="F95">
        <v>1</v>
      </c>
      <c r="G95" t="s">
        <v>415</v>
      </c>
      <c r="H95">
        <v>3766</v>
      </c>
      <c r="I95">
        <v>791</v>
      </c>
      <c r="J95">
        <v>1581</v>
      </c>
      <c r="K95">
        <v>1</v>
      </c>
      <c r="L95">
        <v>3</v>
      </c>
      <c r="M95">
        <v>0</v>
      </c>
      <c r="N95" t="str">
        <f>HYPERLINK("https://images.diginfra.net/framed3.html?imagesetuuid=a6b973ba-587c-4902-9423-42544f6e97a0&amp;uri=https://images.diginfra.net/iiif/NL-HaNA_1.01.02/3766/NL-HaNA_1.01.02_3766_0791.jpg", "viewer_url")</f>
        <v>viewer_url</v>
      </c>
      <c r="O95" t="str">
        <f>HYPERLINK("https://images.diginfra.net/iiif/NL-HaNA_1.01.02/3766/NL-HaNA_1.01.02_3766_0791.jpg/3574,1312,752,319/full/0/default.jpg", "iiif_url")</f>
        <v>iiif_url</v>
      </c>
      <c r="P95" t="s">
        <v>416</v>
      </c>
      <c r="Q95" t="str">
        <f>HYPERLINK("https://images.diginfra.net/framed3.html?imagesetuuid=a6b973ba-587c-4902-9423-42544f6e97a0&amp;uri=https://images.diginfra.net/iiif/NL-HaNA_1.01.02/3766/NL-HaNA_1.01.02_3766_0796.jpg", "next_meeting_viewer_url")</f>
        <v>next_meeting_viewer_url</v>
      </c>
      <c r="R95" t="str">
        <f>HYPERLINK("https://images.diginfra.net/iiif/NL-HaNA_1.01.02/3766/NL-HaNA_1.01.02_3766_0796.jpg/1415,865,823,310/full/0/default.jpg", "next_meeting_iiif_url")</f>
        <v>next_meeting_iiif_url</v>
      </c>
    </row>
    <row r="96" spans="1:21" x14ac:dyDescent="0.2">
      <c r="A96" t="s">
        <v>417</v>
      </c>
      <c r="B96" t="s">
        <v>44</v>
      </c>
      <c r="D96" t="b">
        <v>1</v>
      </c>
      <c r="E96" t="b">
        <v>0</v>
      </c>
      <c r="F96">
        <v>0</v>
      </c>
      <c r="S96" t="s">
        <v>418</v>
      </c>
      <c r="T96" t="str">
        <f>HYPERLINK("https://images.diginfra.net/framed3.html?imagesetuuid=5a5120d1-2872-4244-a382-402d77c3ee84&amp;uri=https://images.diginfra.net/iiif/NL-HaNA_1.01.02/3862/NL-HaNA_1.01.02_3862_0410.jpg", "prev_meeting_viewer_url")</f>
        <v>prev_meeting_viewer_url</v>
      </c>
      <c r="U96" t="str">
        <f>HYPERLINK("https://images.diginfra.net/iiif/NL-HaNA_1.01.02/3862/NL-HaNA_1.01.02_3862_0410.jpg/2465,2800,793,311/full/0/default.jpg", "prev_meeting_iiif_url")</f>
        <v>prev_meeting_iiif_url</v>
      </c>
    </row>
    <row r="97" spans="1:21" x14ac:dyDescent="0.2">
      <c r="A97" t="s">
        <v>419</v>
      </c>
      <c r="B97" t="s">
        <v>27</v>
      </c>
      <c r="C97" t="s">
        <v>420</v>
      </c>
      <c r="D97" t="b">
        <v>0</v>
      </c>
      <c r="E97" t="b">
        <v>1</v>
      </c>
      <c r="F97">
        <v>1</v>
      </c>
      <c r="G97" t="s">
        <v>421</v>
      </c>
      <c r="H97">
        <v>3819</v>
      </c>
      <c r="I97">
        <v>205</v>
      </c>
      <c r="J97">
        <v>408</v>
      </c>
      <c r="K97">
        <v>1</v>
      </c>
      <c r="L97">
        <v>1</v>
      </c>
      <c r="M97">
        <v>0</v>
      </c>
      <c r="N97" t="str">
        <f>HYPERLINK("https://images.diginfra.net/framed3.html?imagesetuuid=711b4f86-3dbd-47ca-af9d-52eb1c30bc58&amp;uri=https://images.diginfra.net/iiif/NL-HaNA_1.01.02/3819/NL-HaNA_1.01.02_3819_0205.jpg", "viewer_url")</f>
        <v>viewer_url</v>
      </c>
      <c r="O97" t="str">
        <f>HYPERLINK("https://images.diginfra.net/iiif/NL-HaNA_1.01.02/3819/NL-HaNA_1.01.02_3819_0205.jpg/1399,2557,761,312/full/0/default.jpg", "iiif_url")</f>
        <v>iiif_url</v>
      </c>
      <c r="P97" t="s">
        <v>420</v>
      </c>
      <c r="Q97" t="str">
        <f>HYPERLINK("https://images.diginfra.net/framed3.html?imagesetuuid=711b4f86-3dbd-47ca-af9d-52eb1c30bc58&amp;uri=https://images.diginfra.net/iiif/NL-HaNA_1.01.02/3819/NL-HaNA_1.01.02_3819_0205.jpg", "next_meeting_viewer_url")</f>
        <v>next_meeting_viewer_url</v>
      </c>
      <c r="R97" t="str">
        <f>HYPERLINK("https://images.diginfra.net/iiif/NL-HaNA_1.01.02/3819/NL-HaNA_1.01.02_3819_0205.jpg/1399,2557,761,312/full/0/default.jpg", "next_meeting_iiif_url")</f>
        <v>next_meeting_iiif_url</v>
      </c>
      <c r="S97" t="s">
        <v>422</v>
      </c>
      <c r="T97" t="str">
        <f>HYPERLINK("https://images.diginfra.net/framed3.html?imagesetuuid=711b4f86-3dbd-47ca-af9d-52eb1c30bc58&amp;uri=https://images.diginfra.net/iiif/NL-HaNA_1.01.02/3819/NL-HaNA_1.01.02_3819_0203.jpg", "prev_meeting_viewer_url")</f>
        <v>prev_meeting_viewer_url</v>
      </c>
      <c r="U97" t="str">
        <f>HYPERLINK("https://images.diginfra.net/iiif/NL-HaNA_1.01.02/3819/NL-HaNA_1.01.02_3819_0203.jpg/3538,2592,731,321/full/0/default.jpg", "prev_meeting_iiif_url")</f>
        <v>prev_meeting_iiif_url</v>
      </c>
    </row>
    <row r="98" spans="1:21" x14ac:dyDescent="0.2">
      <c r="A98" t="s">
        <v>423</v>
      </c>
      <c r="B98" t="s">
        <v>104</v>
      </c>
      <c r="D98" t="b">
        <v>1</v>
      </c>
      <c r="E98" t="b">
        <v>0</v>
      </c>
      <c r="F98">
        <v>0</v>
      </c>
    </row>
    <row r="99" spans="1:21" x14ac:dyDescent="0.2">
      <c r="A99" t="s">
        <v>424</v>
      </c>
      <c r="B99" t="s">
        <v>71</v>
      </c>
      <c r="C99" t="s">
        <v>425</v>
      </c>
      <c r="D99" t="b">
        <v>1</v>
      </c>
      <c r="E99" t="b">
        <v>1</v>
      </c>
      <c r="F99">
        <v>1</v>
      </c>
      <c r="G99" t="s">
        <v>426</v>
      </c>
      <c r="H99">
        <v>3812</v>
      </c>
      <c r="I99">
        <v>421</v>
      </c>
      <c r="J99">
        <v>841</v>
      </c>
      <c r="K99">
        <v>0</v>
      </c>
      <c r="L99">
        <v>0</v>
      </c>
      <c r="M99">
        <v>33</v>
      </c>
      <c r="N99" t="str">
        <f>HYPERLINK("https://images.diginfra.net/framed3.html?imagesetuuid=2068053a-a1c4-40f9-a503-3778784a1420&amp;uri=https://images.diginfra.net/iiif/NL-HaNA_1.01.02/3812/NL-HaNA_1.01.02_3812_0421.jpg", "viewer_url")</f>
        <v>viewer_url</v>
      </c>
      <c r="O99" t="str">
        <f>HYPERLINK("https://images.diginfra.net/iiif/NL-HaNA_1.01.02/3812/NL-HaNA_1.01.02_3812_0421.jpg/2361,1653,958,309/full/0/default.jpg", "iiif_url")</f>
        <v>iiif_url</v>
      </c>
      <c r="P99" t="s">
        <v>427</v>
      </c>
      <c r="Q99" t="str">
        <f>HYPERLINK("https://images.diginfra.net/framed3.html?imagesetuuid=2068053a-a1c4-40f9-a503-3778784a1420&amp;uri=https://images.diginfra.net/iiif/NL-HaNA_1.01.02/3812/NL-HaNA_1.01.02_3812_0424.jpg", "next_meeting_viewer_url")</f>
        <v>next_meeting_viewer_url</v>
      </c>
      <c r="R99" t="str">
        <f>HYPERLINK("https://images.diginfra.net/iiif/NL-HaNA_1.01.02/3812/NL-HaNA_1.01.02_3812_0424.jpg/3418,1430,803,311/full/0/default.jpg", "next_meeting_iiif_url")</f>
        <v>next_meeting_iiif_url</v>
      </c>
      <c r="S99" t="s">
        <v>428</v>
      </c>
      <c r="T99" t="str">
        <f>HYPERLINK("https://images.diginfra.net/framed3.html?imagesetuuid=2068053a-a1c4-40f9-a503-3778784a1420&amp;uri=https://images.diginfra.net/iiif/NL-HaNA_1.01.02/3812/NL-HaNA_1.01.02_3812_0419.jpg", "prev_meeting_viewer_url")</f>
        <v>prev_meeting_viewer_url</v>
      </c>
      <c r="U99" t="str">
        <f>HYPERLINK("https://images.diginfra.net/iiif/NL-HaNA_1.01.02/3812/NL-HaNA_1.01.02_3812_0419.jpg/3396,2018,828,311/full/0/default.jpg", "prev_meeting_iiif_url")</f>
        <v>prev_meeting_iiif_url</v>
      </c>
    </row>
    <row r="100" spans="1:21" x14ac:dyDescent="0.2">
      <c r="A100" t="s">
        <v>429</v>
      </c>
      <c r="B100" t="s">
        <v>38</v>
      </c>
      <c r="C100" t="s">
        <v>430</v>
      </c>
      <c r="D100" t="b">
        <v>1</v>
      </c>
      <c r="E100" t="b">
        <v>1</v>
      </c>
      <c r="F100">
        <v>1</v>
      </c>
      <c r="G100" t="s">
        <v>431</v>
      </c>
      <c r="H100">
        <v>3816</v>
      </c>
      <c r="I100">
        <v>235</v>
      </c>
      <c r="J100">
        <v>469</v>
      </c>
      <c r="K100">
        <v>0</v>
      </c>
      <c r="L100">
        <v>3</v>
      </c>
      <c r="M100">
        <v>0</v>
      </c>
      <c r="N100" t="str">
        <f>HYPERLINK("https://images.diginfra.net/framed3.html?imagesetuuid=1c2c3458-ea9f-4ec5-811c-cef54972a496&amp;uri=https://images.diginfra.net/iiif/NL-HaNA_1.01.02/3816/NL-HaNA_1.01.02_3816_0235.jpg", "viewer_url")</f>
        <v>viewer_url</v>
      </c>
      <c r="O100" t="str">
        <f>HYPERLINK("https://images.diginfra.net/iiif/NL-HaNA_1.01.02/3816/NL-HaNA_1.01.02_3816_0235.jpg/2546,2261,694,312/full/0/default.jpg", "iiif_url")</f>
        <v>iiif_url</v>
      </c>
      <c r="P100" t="s">
        <v>432</v>
      </c>
      <c r="Q100" t="str">
        <f>HYPERLINK("https://images.diginfra.net/framed3.html?imagesetuuid=1c2c3458-ea9f-4ec5-811c-cef54972a496&amp;uri=https://images.diginfra.net/iiif/NL-HaNA_1.01.02/3816/NL-HaNA_1.01.02_3816_0238.jpg", "next_meeting_viewer_url")</f>
        <v>next_meeting_viewer_url</v>
      </c>
      <c r="R100" t="str">
        <f>HYPERLINK("https://images.diginfra.net/iiif/NL-HaNA_1.01.02/3816/NL-HaNA_1.01.02_3816_0238.jpg/430,260,713,310/full/0/default.jpg", "next_meeting_iiif_url")</f>
        <v>next_meeting_iiif_url</v>
      </c>
    </row>
    <row r="101" spans="1:21" x14ac:dyDescent="0.2">
      <c r="A101" t="s">
        <v>433</v>
      </c>
      <c r="B101" t="s">
        <v>104</v>
      </c>
      <c r="C101" t="s">
        <v>114</v>
      </c>
      <c r="D101" t="b">
        <v>1</v>
      </c>
      <c r="E101" t="b">
        <v>1</v>
      </c>
      <c r="F101">
        <v>1</v>
      </c>
      <c r="G101" t="s">
        <v>434</v>
      </c>
      <c r="H101">
        <v>3808</v>
      </c>
      <c r="I101">
        <v>359</v>
      </c>
      <c r="J101">
        <v>717</v>
      </c>
      <c r="K101">
        <v>1</v>
      </c>
      <c r="L101">
        <v>1</v>
      </c>
      <c r="M101">
        <v>19</v>
      </c>
      <c r="N101" t="str">
        <f>HYPERLINK("https://images.diginfra.net/framed3.html?imagesetuuid=d7b14369-fedc-4c2f-b4ba-0014f4e297b6&amp;uri=https://images.diginfra.net/iiif/NL-HaNA_1.01.02/3808/NL-HaNA_1.01.02_3808_0359.jpg", "viewer_url")</f>
        <v>viewer_url</v>
      </c>
      <c r="O101" t="str">
        <f>HYPERLINK("https://images.diginfra.net/iiif/NL-HaNA_1.01.02/3808/NL-HaNA_1.01.02_3808_0359.jpg/3377,1614,856,317/full/0/default.jpg", "iiif_url")</f>
        <v>iiif_url</v>
      </c>
      <c r="P101" t="s">
        <v>435</v>
      </c>
      <c r="Q101" t="str">
        <f>HYPERLINK("https://images.diginfra.net/framed3.html?imagesetuuid=d7b14369-fedc-4c2f-b4ba-0014f4e297b6&amp;uri=https://images.diginfra.net/iiif/NL-HaNA_1.01.02/3808/NL-HaNA_1.01.02_3808_0361.jpg", "next_meeting_viewer_url")</f>
        <v>next_meeting_viewer_url</v>
      </c>
      <c r="R101" t="str">
        <f>HYPERLINK("https://images.diginfra.net/iiif/NL-HaNA_1.01.02/3808/NL-HaNA_1.01.02_3808_0361.jpg/1387,2141,779,310/full/0/default.jpg", "next_meeting_iiif_url")</f>
        <v>next_meeting_iiif_url</v>
      </c>
      <c r="S101" t="s">
        <v>112</v>
      </c>
      <c r="T101" t="str">
        <f>HYPERLINK("https://images.diginfra.net/framed3.html?imagesetuuid=d7b14369-fedc-4c2f-b4ba-0014f4e297b6&amp;uri=https://images.diginfra.net/iiif/NL-HaNA_1.01.02/3808/NL-HaNA_1.01.02_3808_0359.jpg", "prev_meeting_viewer_url")</f>
        <v>prev_meeting_viewer_url</v>
      </c>
      <c r="U101" t="str">
        <f>HYPERLINK("https://images.diginfra.net/iiif/NL-HaNA_1.01.02/3808/NL-HaNA_1.01.02_3808_0359.jpg/437,329,815,310/full/0/default.jpg", "prev_meeting_iiif_url")</f>
        <v>prev_meeting_iiif_url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BC48-42D1-6A47-9E4D-B2352633980D}">
  <dimension ref="A1:H101"/>
  <sheetViews>
    <sheetView tabSelected="1" workbookViewId="0">
      <selection activeCell="D9" sqref="D9"/>
    </sheetView>
  </sheetViews>
  <sheetFormatPr baseColWidth="10" defaultRowHeight="15" x14ac:dyDescent="0.2"/>
  <cols>
    <col min="4" max="4" width="18" bestFit="1" customWidth="1"/>
    <col min="5" max="5" width="14.83203125" bestFit="1" customWidth="1"/>
    <col min="6" max="6" width="5" bestFit="1" customWidth="1"/>
    <col min="7" max="7" width="6.33203125" bestFit="1" customWidth="1"/>
    <col min="8" max="8" width="10" bestFit="1" customWidth="1"/>
  </cols>
  <sheetData>
    <row r="1" spans="1:8" x14ac:dyDescent="0.2">
      <c r="A1" t="s">
        <v>4</v>
      </c>
      <c r="B1" t="s">
        <v>436</v>
      </c>
    </row>
    <row r="2" spans="1:8" x14ac:dyDescent="0.2">
      <c r="A2" t="b">
        <v>1</v>
      </c>
      <c r="B2">
        <v>1</v>
      </c>
    </row>
    <row r="3" spans="1:8" x14ac:dyDescent="0.2">
      <c r="A3" t="b">
        <v>1</v>
      </c>
      <c r="B3">
        <v>1</v>
      </c>
    </row>
    <row r="4" spans="1:8" x14ac:dyDescent="0.2">
      <c r="A4" t="b">
        <v>1</v>
      </c>
      <c r="B4">
        <v>1</v>
      </c>
    </row>
    <row r="5" spans="1:8" x14ac:dyDescent="0.2">
      <c r="A5" t="b">
        <v>1</v>
      </c>
      <c r="B5">
        <v>1</v>
      </c>
    </row>
    <row r="6" spans="1:8" x14ac:dyDescent="0.2">
      <c r="A6" t="b">
        <v>1</v>
      </c>
      <c r="B6">
        <v>1</v>
      </c>
    </row>
    <row r="7" spans="1:8" x14ac:dyDescent="0.2">
      <c r="A7" t="b">
        <v>1</v>
      </c>
      <c r="B7">
        <v>1</v>
      </c>
    </row>
    <row r="8" spans="1:8" x14ac:dyDescent="0.2">
      <c r="A8" t="b">
        <v>0</v>
      </c>
      <c r="B8">
        <v>1</v>
      </c>
    </row>
    <row r="9" spans="1:8" x14ac:dyDescent="0.2">
      <c r="A9" t="b">
        <v>0</v>
      </c>
      <c r="B9">
        <v>0</v>
      </c>
      <c r="D9" s="2" t="s">
        <v>437</v>
      </c>
      <c r="E9" s="2" t="s">
        <v>441</v>
      </c>
    </row>
    <row r="10" spans="1:8" x14ac:dyDescent="0.2">
      <c r="A10" t="b">
        <v>1</v>
      </c>
      <c r="B10">
        <v>1</v>
      </c>
      <c r="D10" s="2" t="s">
        <v>438</v>
      </c>
      <c r="E10" t="s">
        <v>442</v>
      </c>
      <c r="F10" t="s">
        <v>443</v>
      </c>
      <c r="G10" t="s">
        <v>439</v>
      </c>
      <c r="H10" t="s">
        <v>440</v>
      </c>
    </row>
    <row r="11" spans="1:8" x14ac:dyDescent="0.2">
      <c r="A11" t="b">
        <v>1</v>
      </c>
      <c r="B11">
        <v>1</v>
      </c>
      <c r="D11" s="3">
        <v>0</v>
      </c>
      <c r="E11" s="1">
        <v>8</v>
      </c>
      <c r="F11" s="1">
        <v>12</v>
      </c>
      <c r="G11" s="1"/>
      <c r="H11" s="1">
        <v>20</v>
      </c>
    </row>
    <row r="12" spans="1:8" x14ac:dyDescent="0.2">
      <c r="A12" t="b">
        <v>0</v>
      </c>
      <c r="B12">
        <v>1</v>
      </c>
      <c r="D12" s="3">
        <v>1</v>
      </c>
      <c r="E12" s="1">
        <v>10</v>
      </c>
      <c r="F12" s="1">
        <v>70</v>
      </c>
      <c r="G12" s="1"/>
      <c r="H12" s="1">
        <v>80</v>
      </c>
    </row>
    <row r="13" spans="1:8" x14ac:dyDescent="0.2">
      <c r="A13" t="b">
        <v>1</v>
      </c>
      <c r="B13">
        <v>1</v>
      </c>
      <c r="D13" s="3" t="s">
        <v>439</v>
      </c>
      <c r="E13" s="1"/>
      <c r="F13" s="1"/>
      <c r="G13" s="1"/>
      <c r="H13" s="1"/>
    </row>
    <row r="14" spans="1:8" x14ac:dyDescent="0.2">
      <c r="A14" t="b">
        <v>1</v>
      </c>
      <c r="B14">
        <v>1</v>
      </c>
      <c r="D14" s="3" t="s">
        <v>440</v>
      </c>
      <c r="E14" s="1">
        <v>18</v>
      </c>
      <c r="F14" s="1">
        <v>82</v>
      </c>
      <c r="G14" s="1"/>
      <c r="H14" s="1">
        <v>100</v>
      </c>
    </row>
    <row r="15" spans="1:8" x14ac:dyDescent="0.2">
      <c r="A15" t="b">
        <v>1</v>
      </c>
      <c r="B15">
        <v>0</v>
      </c>
    </row>
    <row r="16" spans="1:8" x14ac:dyDescent="0.2">
      <c r="A16" t="b">
        <v>1</v>
      </c>
      <c r="B16">
        <v>1</v>
      </c>
    </row>
    <row r="17" spans="1:2" x14ac:dyDescent="0.2">
      <c r="A17" t="b">
        <v>1</v>
      </c>
      <c r="B17">
        <v>1</v>
      </c>
    </row>
    <row r="18" spans="1:2" x14ac:dyDescent="0.2">
      <c r="A18" t="b">
        <v>1</v>
      </c>
      <c r="B18">
        <v>1</v>
      </c>
    </row>
    <row r="19" spans="1:2" x14ac:dyDescent="0.2">
      <c r="A19" t="b">
        <v>1</v>
      </c>
      <c r="B19">
        <v>1</v>
      </c>
    </row>
    <row r="20" spans="1:2" x14ac:dyDescent="0.2">
      <c r="A20" t="b">
        <v>1</v>
      </c>
      <c r="B20">
        <v>1</v>
      </c>
    </row>
    <row r="21" spans="1:2" x14ac:dyDescent="0.2">
      <c r="A21" t="b">
        <v>0</v>
      </c>
      <c r="B21">
        <v>1</v>
      </c>
    </row>
    <row r="22" spans="1:2" x14ac:dyDescent="0.2">
      <c r="A22" t="b">
        <v>1</v>
      </c>
      <c r="B22">
        <v>1</v>
      </c>
    </row>
    <row r="23" spans="1:2" x14ac:dyDescent="0.2">
      <c r="A23" t="b">
        <v>1</v>
      </c>
      <c r="B23">
        <v>1</v>
      </c>
    </row>
    <row r="24" spans="1:2" x14ac:dyDescent="0.2">
      <c r="A24" t="b">
        <v>1</v>
      </c>
      <c r="B24">
        <v>1</v>
      </c>
    </row>
    <row r="25" spans="1:2" x14ac:dyDescent="0.2">
      <c r="A25" t="b">
        <v>1</v>
      </c>
      <c r="B25">
        <v>0</v>
      </c>
    </row>
    <row r="26" spans="1:2" x14ac:dyDescent="0.2">
      <c r="A26" t="b">
        <v>1</v>
      </c>
      <c r="B26">
        <v>1</v>
      </c>
    </row>
    <row r="27" spans="1:2" x14ac:dyDescent="0.2">
      <c r="A27" t="b">
        <v>1</v>
      </c>
      <c r="B27">
        <v>1</v>
      </c>
    </row>
    <row r="28" spans="1:2" x14ac:dyDescent="0.2">
      <c r="A28" t="b">
        <v>1</v>
      </c>
      <c r="B28">
        <v>0</v>
      </c>
    </row>
    <row r="29" spans="1:2" x14ac:dyDescent="0.2">
      <c r="A29" t="b">
        <v>1</v>
      </c>
      <c r="B29">
        <v>1</v>
      </c>
    </row>
    <row r="30" spans="1:2" x14ac:dyDescent="0.2">
      <c r="A30" t="b">
        <v>1</v>
      </c>
      <c r="B30">
        <v>1</v>
      </c>
    </row>
    <row r="31" spans="1:2" x14ac:dyDescent="0.2">
      <c r="A31" t="b">
        <v>1</v>
      </c>
      <c r="B31">
        <v>1</v>
      </c>
    </row>
    <row r="32" spans="1:2" x14ac:dyDescent="0.2">
      <c r="A32" t="b">
        <v>1</v>
      </c>
      <c r="B32">
        <v>1</v>
      </c>
    </row>
    <row r="33" spans="1:2" x14ac:dyDescent="0.2">
      <c r="A33" t="b">
        <v>1</v>
      </c>
      <c r="B33">
        <v>1</v>
      </c>
    </row>
    <row r="34" spans="1:2" x14ac:dyDescent="0.2">
      <c r="A34" t="b">
        <v>1</v>
      </c>
      <c r="B34">
        <v>1</v>
      </c>
    </row>
    <row r="35" spans="1:2" x14ac:dyDescent="0.2">
      <c r="A35" t="b">
        <v>0</v>
      </c>
      <c r="B35">
        <v>1</v>
      </c>
    </row>
    <row r="36" spans="1:2" x14ac:dyDescent="0.2">
      <c r="A36" t="b">
        <v>0</v>
      </c>
      <c r="B36">
        <v>0</v>
      </c>
    </row>
    <row r="37" spans="1:2" x14ac:dyDescent="0.2">
      <c r="A37" t="b">
        <v>1</v>
      </c>
      <c r="B37">
        <v>1</v>
      </c>
    </row>
    <row r="38" spans="1:2" x14ac:dyDescent="0.2">
      <c r="A38" t="b">
        <v>1</v>
      </c>
      <c r="B38">
        <v>1</v>
      </c>
    </row>
    <row r="39" spans="1:2" x14ac:dyDescent="0.2">
      <c r="A39" t="b">
        <v>1</v>
      </c>
      <c r="B39">
        <v>0</v>
      </c>
    </row>
    <row r="40" spans="1:2" x14ac:dyDescent="0.2">
      <c r="A40" t="b">
        <v>1</v>
      </c>
      <c r="B40">
        <v>0</v>
      </c>
    </row>
    <row r="41" spans="1:2" x14ac:dyDescent="0.2">
      <c r="A41" t="b">
        <v>1</v>
      </c>
      <c r="B41">
        <v>1</v>
      </c>
    </row>
    <row r="42" spans="1:2" x14ac:dyDescent="0.2">
      <c r="A42" t="b">
        <v>0</v>
      </c>
      <c r="B42">
        <v>1</v>
      </c>
    </row>
    <row r="43" spans="1:2" x14ac:dyDescent="0.2">
      <c r="A43" t="b">
        <v>1</v>
      </c>
      <c r="B43">
        <v>1</v>
      </c>
    </row>
    <row r="44" spans="1:2" x14ac:dyDescent="0.2">
      <c r="A44" t="b">
        <v>1</v>
      </c>
      <c r="B44">
        <v>1</v>
      </c>
    </row>
    <row r="45" spans="1:2" x14ac:dyDescent="0.2">
      <c r="A45" t="b">
        <v>1</v>
      </c>
      <c r="B45">
        <v>1</v>
      </c>
    </row>
    <row r="46" spans="1:2" x14ac:dyDescent="0.2">
      <c r="A46" t="b">
        <v>0</v>
      </c>
      <c r="B46">
        <v>1</v>
      </c>
    </row>
    <row r="47" spans="1:2" x14ac:dyDescent="0.2">
      <c r="A47" t="b">
        <v>1</v>
      </c>
      <c r="B47">
        <v>1</v>
      </c>
    </row>
    <row r="48" spans="1:2" x14ac:dyDescent="0.2">
      <c r="A48" t="b">
        <v>1</v>
      </c>
      <c r="B48">
        <v>1</v>
      </c>
    </row>
    <row r="49" spans="1:2" x14ac:dyDescent="0.2">
      <c r="A49" t="b">
        <v>1</v>
      </c>
      <c r="B49">
        <v>1</v>
      </c>
    </row>
    <row r="50" spans="1:2" x14ac:dyDescent="0.2">
      <c r="A50" t="b">
        <v>1</v>
      </c>
      <c r="B50">
        <v>1</v>
      </c>
    </row>
    <row r="51" spans="1:2" x14ac:dyDescent="0.2">
      <c r="A51" t="b">
        <v>1</v>
      </c>
      <c r="B51">
        <v>1</v>
      </c>
    </row>
    <row r="52" spans="1:2" x14ac:dyDescent="0.2">
      <c r="A52" t="b">
        <v>0</v>
      </c>
      <c r="B52">
        <v>0</v>
      </c>
    </row>
    <row r="53" spans="1:2" x14ac:dyDescent="0.2">
      <c r="A53" t="b">
        <v>1</v>
      </c>
      <c r="B53">
        <v>1</v>
      </c>
    </row>
    <row r="54" spans="1:2" x14ac:dyDescent="0.2">
      <c r="A54" t="b">
        <v>1</v>
      </c>
      <c r="B54">
        <v>1</v>
      </c>
    </row>
    <row r="55" spans="1:2" x14ac:dyDescent="0.2">
      <c r="A55" t="b">
        <v>1</v>
      </c>
      <c r="B55">
        <v>1</v>
      </c>
    </row>
    <row r="56" spans="1:2" x14ac:dyDescent="0.2">
      <c r="A56" t="b">
        <v>1</v>
      </c>
      <c r="B56">
        <v>1</v>
      </c>
    </row>
    <row r="57" spans="1:2" x14ac:dyDescent="0.2">
      <c r="A57" t="b">
        <v>1</v>
      </c>
      <c r="B57">
        <v>0</v>
      </c>
    </row>
    <row r="58" spans="1:2" x14ac:dyDescent="0.2">
      <c r="A58" t="b">
        <v>1</v>
      </c>
      <c r="B58">
        <v>1</v>
      </c>
    </row>
    <row r="59" spans="1:2" x14ac:dyDescent="0.2">
      <c r="A59" t="b">
        <v>1</v>
      </c>
      <c r="B59">
        <v>1</v>
      </c>
    </row>
    <row r="60" spans="1:2" x14ac:dyDescent="0.2">
      <c r="A60" t="b">
        <v>1</v>
      </c>
      <c r="B60">
        <v>1</v>
      </c>
    </row>
    <row r="61" spans="1:2" x14ac:dyDescent="0.2">
      <c r="A61" t="b">
        <v>1</v>
      </c>
      <c r="B61">
        <v>1</v>
      </c>
    </row>
    <row r="62" spans="1:2" x14ac:dyDescent="0.2">
      <c r="A62" t="b">
        <v>1</v>
      </c>
      <c r="B62">
        <v>1</v>
      </c>
    </row>
    <row r="63" spans="1:2" x14ac:dyDescent="0.2">
      <c r="A63" t="b">
        <v>0</v>
      </c>
      <c r="B63">
        <v>0</v>
      </c>
    </row>
    <row r="64" spans="1:2" x14ac:dyDescent="0.2">
      <c r="A64" t="b">
        <v>0</v>
      </c>
      <c r="B64">
        <v>1</v>
      </c>
    </row>
    <row r="65" spans="1:2" x14ac:dyDescent="0.2">
      <c r="A65" t="b">
        <v>1</v>
      </c>
      <c r="B65">
        <v>0</v>
      </c>
    </row>
    <row r="66" spans="1:2" x14ac:dyDescent="0.2">
      <c r="A66" t="b">
        <v>1</v>
      </c>
      <c r="B66">
        <v>1</v>
      </c>
    </row>
    <row r="67" spans="1:2" x14ac:dyDescent="0.2">
      <c r="A67" t="b">
        <v>0</v>
      </c>
      <c r="B67">
        <v>0</v>
      </c>
    </row>
    <row r="68" spans="1:2" x14ac:dyDescent="0.2">
      <c r="A68" t="b">
        <v>1</v>
      </c>
      <c r="B68">
        <v>1</v>
      </c>
    </row>
    <row r="69" spans="1:2" x14ac:dyDescent="0.2">
      <c r="A69" t="b">
        <v>1</v>
      </c>
      <c r="B69">
        <v>1</v>
      </c>
    </row>
    <row r="70" spans="1:2" x14ac:dyDescent="0.2">
      <c r="A70" t="b">
        <v>1</v>
      </c>
      <c r="B70">
        <v>1</v>
      </c>
    </row>
    <row r="71" spans="1:2" x14ac:dyDescent="0.2">
      <c r="A71" t="b">
        <v>1</v>
      </c>
      <c r="B71">
        <v>1</v>
      </c>
    </row>
    <row r="72" spans="1:2" x14ac:dyDescent="0.2">
      <c r="A72" t="b">
        <v>1</v>
      </c>
      <c r="B72">
        <v>1</v>
      </c>
    </row>
    <row r="73" spans="1:2" x14ac:dyDescent="0.2">
      <c r="A73" t="b">
        <v>1</v>
      </c>
      <c r="B73">
        <v>1</v>
      </c>
    </row>
    <row r="74" spans="1:2" x14ac:dyDescent="0.2">
      <c r="A74" t="b">
        <v>0</v>
      </c>
      <c r="B74">
        <v>1</v>
      </c>
    </row>
    <row r="75" spans="1:2" x14ac:dyDescent="0.2">
      <c r="A75" t="b">
        <v>1</v>
      </c>
      <c r="B75">
        <v>1</v>
      </c>
    </row>
    <row r="76" spans="1:2" x14ac:dyDescent="0.2">
      <c r="A76" t="b">
        <v>1</v>
      </c>
      <c r="B76">
        <v>0</v>
      </c>
    </row>
    <row r="77" spans="1:2" x14ac:dyDescent="0.2">
      <c r="A77" t="b">
        <v>1</v>
      </c>
      <c r="B77">
        <v>0</v>
      </c>
    </row>
    <row r="78" spans="1:2" x14ac:dyDescent="0.2">
      <c r="A78" t="b">
        <v>1</v>
      </c>
      <c r="B78">
        <v>1</v>
      </c>
    </row>
    <row r="79" spans="1:2" x14ac:dyDescent="0.2">
      <c r="A79" t="b">
        <v>1</v>
      </c>
      <c r="B79">
        <v>0</v>
      </c>
    </row>
    <row r="80" spans="1:2" x14ac:dyDescent="0.2">
      <c r="A80" t="b">
        <v>1</v>
      </c>
      <c r="B80">
        <v>1</v>
      </c>
    </row>
    <row r="81" spans="1:2" x14ac:dyDescent="0.2">
      <c r="A81" t="b">
        <v>1</v>
      </c>
      <c r="B81">
        <v>1</v>
      </c>
    </row>
    <row r="82" spans="1:2" x14ac:dyDescent="0.2">
      <c r="A82" t="b">
        <v>0</v>
      </c>
      <c r="B82">
        <v>1</v>
      </c>
    </row>
    <row r="83" spans="1:2" x14ac:dyDescent="0.2">
      <c r="A83" t="b">
        <v>0</v>
      </c>
      <c r="B83">
        <v>0</v>
      </c>
    </row>
    <row r="84" spans="1:2" x14ac:dyDescent="0.2">
      <c r="A84" t="b">
        <v>1</v>
      </c>
      <c r="B84">
        <v>1</v>
      </c>
    </row>
    <row r="85" spans="1:2" x14ac:dyDescent="0.2">
      <c r="A85" t="b">
        <v>1</v>
      </c>
      <c r="B85">
        <v>1</v>
      </c>
    </row>
    <row r="86" spans="1:2" x14ac:dyDescent="0.2">
      <c r="A86" t="b">
        <v>1</v>
      </c>
      <c r="B86">
        <v>1</v>
      </c>
    </row>
    <row r="87" spans="1:2" x14ac:dyDescent="0.2">
      <c r="A87" t="b">
        <v>0</v>
      </c>
      <c r="B87">
        <v>1</v>
      </c>
    </row>
    <row r="88" spans="1:2" x14ac:dyDescent="0.2">
      <c r="A88" t="b">
        <v>1</v>
      </c>
      <c r="B88">
        <v>1</v>
      </c>
    </row>
    <row r="89" spans="1:2" x14ac:dyDescent="0.2">
      <c r="A89" t="b">
        <v>1</v>
      </c>
      <c r="B89">
        <v>1</v>
      </c>
    </row>
    <row r="90" spans="1:2" x14ac:dyDescent="0.2">
      <c r="A90" t="b">
        <v>1</v>
      </c>
      <c r="B90">
        <v>0</v>
      </c>
    </row>
    <row r="91" spans="1:2" x14ac:dyDescent="0.2">
      <c r="A91" t="b">
        <v>1</v>
      </c>
      <c r="B91">
        <v>1</v>
      </c>
    </row>
    <row r="92" spans="1:2" x14ac:dyDescent="0.2">
      <c r="A92" t="b">
        <v>1</v>
      </c>
      <c r="B92">
        <v>1</v>
      </c>
    </row>
    <row r="93" spans="1:2" x14ac:dyDescent="0.2">
      <c r="A93" t="b">
        <v>1</v>
      </c>
      <c r="B93">
        <v>1</v>
      </c>
    </row>
    <row r="94" spans="1:2" x14ac:dyDescent="0.2">
      <c r="A94" t="b">
        <v>1</v>
      </c>
      <c r="B94">
        <v>0</v>
      </c>
    </row>
    <row r="95" spans="1:2" x14ac:dyDescent="0.2">
      <c r="A95" t="b">
        <v>1</v>
      </c>
      <c r="B95">
        <v>1</v>
      </c>
    </row>
    <row r="96" spans="1:2" x14ac:dyDescent="0.2">
      <c r="A96" t="b">
        <v>0</v>
      </c>
      <c r="B96">
        <v>0</v>
      </c>
    </row>
    <row r="97" spans="1:2" x14ac:dyDescent="0.2">
      <c r="A97" t="b">
        <v>1</v>
      </c>
      <c r="B97">
        <v>1</v>
      </c>
    </row>
    <row r="98" spans="1:2" x14ac:dyDescent="0.2">
      <c r="A98" t="b">
        <v>0</v>
      </c>
      <c r="B98">
        <v>0</v>
      </c>
    </row>
    <row r="99" spans="1:2" x14ac:dyDescent="0.2">
      <c r="A99" t="b">
        <v>1</v>
      </c>
      <c r="B99">
        <v>1</v>
      </c>
    </row>
    <row r="100" spans="1:2" x14ac:dyDescent="0.2">
      <c r="A100" t="b">
        <v>1</v>
      </c>
      <c r="B100">
        <v>1</v>
      </c>
    </row>
    <row r="101" spans="1:2" x14ac:dyDescent="0.2">
      <c r="A101" t="b">
        <v>1</v>
      </c>
      <c r="B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2020-03-16T16:58:21Z</dcterms:created>
  <dcterms:modified xsi:type="dcterms:W3CDTF">2020-04-02T09:15:44Z</dcterms:modified>
</cp:coreProperties>
</file>