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hocr-parser/notebooks/"/>
    </mc:Choice>
  </mc:AlternateContent>
  <xr:revisionPtr revIDLastSave="0" documentId="13_ncr:1_{00520200-874D-3747-AC53-C3639DFFB4AE}" xr6:coauthVersionLast="36" xr6:coauthVersionMax="36" xr10:uidLastSave="{00000000-0000-0000-0000-000000000000}"/>
  <bookViews>
    <workbookView xWindow="780" yWindow="460" windowWidth="28020" windowHeight="1754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V100" i="1" l="1"/>
  <c r="U100" i="1"/>
  <c r="S100" i="1"/>
  <c r="R100" i="1"/>
  <c r="P100" i="1"/>
  <c r="O100" i="1"/>
  <c r="V99" i="1"/>
  <c r="U99" i="1"/>
  <c r="S99" i="1"/>
  <c r="R99" i="1"/>
  <c r="P99" i="1"/>
  <c r="O99" i="1"/>
  <c r="V98" i="1"/>
  <c r="U98" i="1"/>
  <c r="S98" i="1"/>
  <c r="R98" i="1"/>
  <c r="P98" i="1"/>
  <c r="O98" i="1"/>
  <c r="V97" i="1"/>
  <c r="U97" i="1"/>
  <c r="S97" i="1"/>
  <c r="R97" i="1"/>
  <c r="P97" i="1"/>
  <c r="O97" i="1"/>
  <c r="V96" i="1"/>
  <c r="U96" i="1"/>
  <c r="S96" i="1"/>
  <c r="R96" i="1"/>
  <c r="P96" i="1"/>
  <c r="O96" i="1"/>
  <c r="V95" i="1"/>
  <c r="U95" i="1"/>
  <c r="S95" i="1"/>
  <c r="R95" i="1"/>
  <c r="P95" i="1"/>
  <c r="O95" i="1"/>
  <c r="V94" i="1"/>
  <c r="U94" i="1"/>
  <c r="S94" i="1"/>
  <c r="R94" i="1"/>
  <c r="P94" i="1"/>
  <c r="O94" i="1"/>
  <c r="V93" i="1"/>
  <c r="U93" i="1"/>
  <c r="S93" i="1"/>
  <c r="R93" i="1"/>
  <c r="P93" i="1"/>
  <c r="O93" i="1"/>
  <c r="V92" i="1"/>
  <c r="U92" i="1"/>
  <c r="S92" i="1"/>
  <c r="R92" i="1"/>
  <c r="P92" i="1"/>
  <c r="O92" i="1"/>
  <c r="V91" i="1"/>
  <c r="U91" i="1"/>
  <c r="S91" i="1"/>
  <c r="R91" i="1"/>
  <c r="P91" i="1"/>
  <c r="O91" i="1"/>
  <c r="V90" i="1"/>
  <c r="U90" i="1"/>
  <c r="S90" i="1"/>
  <c r="R90" i="1"/>
  <c r="P90" i="1"/>
  <c r="O90" i="1"/>
  <c r="V89" i="1"/>
  <c r="U89" i="1"/>
  <c r="S89" i="1"/>
  <c r="R89" i="1"/>
  <c r="P89" i="1"/>
  <c r="O89" i="1"/>
  <c r="V88" i="1"/>
  <c r="U88" i="1"/>
  <c r="S88" i="1"/>
  <c r="R88" i="1"/>
  <c r="P88" i="1"/>
  <c r="O88" i="1"/>
  <c r="V87" i="1"/>
  <c r="U87" i="1"/>
  <c r="P87" i="1"/>
  <c r="O87" i="1"/>
  <c r="V86" i="1"/>
  <c r="U86" i="1"/>
  <c r="S86" i="1"/>
  <c r="R86" i="1"/>
  <c r="P86" i="1"/>
  <c r="O86" i="1"/>
  <c r="V85" i="1"/>
  <c r="U85" i="1"/>
  <c r="P85" i="1"/>
  <c r="O85" i="1"/>
  <c r="V84" i="1"/>
  <c r="U84" i="1"/>
  <c r="S84" i="1"/>
  <c r="R84" i="1"/>
  <c r="P84" i="1"/>
  <c r="O84" i="1"/>
  <c r="S83" i="1"/>
  <c r="R83" i="1"/>
  <c r="P83" i="1"/>
  <c r="O83" i="1"/>
  <c r="V82" i="1"/>
  <c r="U82" i="1"/>
  <c r="S82" i="1"/>
  <c r="R82" i="1"/>
  <c r="P82" i="1"/>
  <c r="O82" i="1"/>
  <c r="V81" i="1"/>
  <c r="U81" i="1"/>
  <c r="S81" i="1"/>
  <c r="R81" i="1"/>
  <c r="P81" i="1"/>
  <c r="O81" i="1"/>
  <c r="V80" i="1"/>
  <c r="U80" i="1"/>
  <c r="P80" i="1"/>
  <c r="O80" i="1"/>
  <c r="V79" i="1"/>
  <c r="U79" i="1"/>
  <c r="S79" i="1"/>
  <c r="R79" i="1"/>
  <c r="P79" i="1"/>
  <c r="O79" i="1"/>
  <c r="V78" i="1"/>
  <c r="U78" i="1"/>
  <c r="S78" i="1"/>
  <c r="R78" i="1"/>
  <c r="P78" i="1"/>
  <c r="O78" i="1"/>
  <c r="V77" i="1"/>
  <c r="U77" i="1"/>
  <c r="S77" i="1"/>
  <c r="R77" i="1"/>
  <c r="P77" i="1"/>
  <c r="O77" i="1"/>
  <c r="V76" i="1"/>
  <c r="U76" i="1"/>
  <c r="S76" i="1"/>
  <c r="R76" i="1"/>
  <c r="P76" i="1"/>
  <c r="O76" i="1"/>
  <c r="V75" i="1"/>
  <c r="U75" i="1"/>
  <c r="S75" i="1"/>
  <c r="R75" i="1"/>
  <c r="P75" i="1"/>
  <c r="O75" i="1"/>
  <c r="V74" i="1"/>
  <c r="U74" i="1"/>
  <c r="S74" i="1"/>
  <c r="R74" i="1"/>
  <c r="P74" i="1"/>
  <c r="O74" i="1"/>
  <c r="V73" i="1"/>
  <c r="U73" i="1"/>
  <c r="S73" i="1"/>
  <c r="R73" i="1"/>
  <c r="P73" i="1"/>
  <c r="O73" i="1"/>
  <c r="V72" i="1"/>
  <c r="U72" i="1"/>
  <c r="S72" i="1"/>
  <c r="R72" i="1"/>
  <c r="P72" i="1"/>
  <c r="O72" i="1"/>
  <c r="V71" i="1"/>
  <c r="U71" i="1"/>
  <c r="S71" i="1"/>
  <c r="R71" i="1"/>
  <c r="P71" i="1"/>
  <c r="O71" i="1"/>
  <c r="V70" i="1"/>
  <c r="U70" i="1"/>
  <c r="S70" i="1"/>
  <c r="R70" i="1"/>
  <c r="P70" i="1"/>
  <c r="O70" i="1"/>
  <c r="V69" i="1"/>
  <c r="U69" i="1"/>
  <c r="S69" i="1"/>
  <c r="R69" i="1"/>
  <c r="P69" i="1"/>
  <c r="O69" i="1"/>
  <c r="S68" i="1"/>
  <c r="R68" i="1"/>
  <c r="P68" i="1"/>
  <c r="O68" i="1"/>
  <c r="S67" i="1"/>
  <c r="R67" i="1"/>
  <c r="P67" i="1"/>
  <c r="O67" i="1"/>
  <c r="V66" i="1"/>
  <c r="U66" i="1"/>
  <c r="S66" i="1"/>
  <c r="R66" i="1"/>
  <c r="P66" i="1"/>
  <c r="O66" i="1"/>
  <c r="V65" i="1"/>
  <c r="U65" i="1"/>
  <c r="S65" i="1"/>
  <c r="R65" i="1"/>
  <c r="P65" i="1"/>
  <c r="O65" i="1"/>
  <c r="V64" i="1"/>
  <c r="U64" i="1"/>
  <c r="S64" i="1"/>
  <c r="R64" i="1"/>
  <c r="P64" i="1"/>
  <c r="O64" i="1"/>
  <c r="P63" i="1"/>
  <c r="O63" i="1"/>
  <c r="S62" i="1"/>
  <c r="R62" i="1"/>
  <c r="P62" i="1"/>
  <c r="O62" i="1"/>
  <c r="V61" i="1"/>
  <c r="U61" i="1"/>
  <c r="S61" i="1"/>
  <c r="R61" i="1"/>
  <c r="P61" i="1"/>
  <c r="O61" i="1"/>
  <c r="V60" i="1"/>
  <c r="U60" i="1"/>
  <c r="S60" i="1"/>
  <c r="R60" i="1"/>
  <c r="P60" i="1"/>
  <c r="O60" i="1"/>
  <c r="V59" i="1"/>
  <c r="U59" i="1"/>
  <c r="S59" i="1"/>
  <c r="R59" i="1"/>
  <c r="P59" i="1"/>
  <c r="O59" i="1"/>
  <c r="V58" i="1"/>
  <c r="U58" i="1"/>
  <c r="S58" i="1"/>
  <c r="R58" i="1"/>
  <c r="P58" i="1"/>
  <c r="O58" i="1"/>
  <c r="P57" i="1"/>
  <c r="O57" i="1"/>
  <c r="V56" i="1"/>
  <c r="U56" i="1"/>
  <c r="S56" i="1"/>
  <c r="R56" i="1"/>
  <c r="P56" i="1"/>
  <c r="O56" i="1"/>
  <c r="V55" i="1"/>
  <c r="U55" i="1"/>
  <c r="S55" i="1"/>
  <c r="R55" i="1"/>
  <c r="P55" i="1"/>
  <c r="O55" i="1"/>
  <c r="V54" i="1"/>
  <c r="U54" i="1"/>
  <c r="S54" i="1"/>
  <c r="R54" i="1"/>
  <c r="P54" i="1"/>
  <c r="O54" i="1"/>
  <c r="V53" i="1"/>
  <c r="U53" i="1"/>
  <c r="S53" i="1"/>
  <c r="R53" i="1"/>
  <c r="P53" i="1"/>
  <c r="O53" i="1"/>
  <c r="V52" i="1"/>
  <c r="U52" i="1"/>
  <c r="S52" i="1"/>
  <c r="R52" i="1"/>
  <c r="P52" i="1"/>
  <c r="O52" i="1"/>
  <c r="P51" i="1"/>
  <c r="O51" i="1"/>
  <c r="V50" i="1"/>
  <c r="U50" i="1"/>
  <c r="S50" i="1"/>
  <c r="R50" i="1"/>
  <c r="P50" i="1"/>
  <c r="O50" i="1"/>
  <c r="V49" i="1"/>
  <c r="U49" i="1"/>
  <c r="S49" i="1"/>
  <c r="R49" i="1"/>
  <c r="P49" i="1"/>
  <c r="O49" i="1"/>
  <c r="V48" i="1"/>
  <c r="U48" i="1"/>
  <c r="S48" i="1"/>
  <c r="R48" i="1"/>
  <c r="P48" i="1"/>
  <c r="O48" i="1"/>
  <c r="V47" i="1"/>
  <c r="U47" i="1"/>
  <c r="S47" i="1"/>
  <c r="R47" i="1"/>
  <c r="P47" i="1"/>
  <c r="O47" i="1"/>
  <c r="V46" i="1"/>
  <c r="U46" i="1"/>
  <c r="S46" i="1"/>
  <c r="R46" i="1"/>
  <c r="P46" i="1"/>
  <c r="O46" i="1"/>
  <c r="S45" i="1"/>
  <c r="R45" i="1"/>
  <c r="P45" i="1"/>
  <c r="O45" i="1"/>
  <c r="V44" i="1"/>
  <c r="U44" i="1"/>
  <c r="S44" i="1"/>
  <c r="R44" i="1"/>
  <c r="P44" i="1"/>
  <c r="O44" i="1"/>
  <c r="S43" i="1"/>
  <c r="R43" i="1"/>
  <c r="P43" i="1"/>
  <c r="O43" i="1"/>
  <c r="V42" i="1"/>
  <c r="U42" i="1"/>
  <c r="S42" i="1"/>
  <c r="R42" i="1"/>
  <c r="P42" i="1"/>
  <c r="O42" i="1"/>
  <c r="V41" i="1"/>
  <c r="U41" i="1"/>
  <c r="S41" i="1"/>
  <c r="R41" i="1"/>
  <c r="P41" i="1"/>
  <c r="O41" i="1"/>
  <c r="P40" i="1"/>
  <c r="O40" i="1"/>
  <c r="V39" i="1"/>
  <c r="U39" i="1"/>
  <c r="P39" i="1"/>
  <c r="O39" i="1"/>
  <c r="V38" i="1"/>
  <c r="U38" i="1"/>
  <c r="S38" i="1"/>
  <c r="R38" i="1"/>
  <c r="P38" i="1"/>
  <c r="O38" i="1"/>
  <c r="V37" i="1"/>
  <c r="U37" i="1"/>
  <c r="P37" i="1"/>
  <c r="O37" i="1"/>
  <c r="V36" i="1"/>
  <c r="U36" i="1"/>
  <c r="P36" i="1"/>
  <c r="O36" i="1"/>
  <c r="V35" i="1"/>
  <c r="U35" i="1"/>
  <c r="S35" i="1"/>
  <c r="R35" i="1"/>
  <c r="P35" i="1"/>
  <c r="O35" i="1"/>
  <c r="V34" i="1"/>
  <c r="U34" i="1"/>
  <c r="S34" i="1"/>
  <c r="R34" i="1"/>
  <c r="P34" i="1"/>
  <c r="O34" i="1"/>
  <c r="V33" i="1"/>
  <c r="U33" i="1"/>
  <c r="S33" i="1"/>
  <c r="R33" i="1"/>
  <c r="P33" i="1"/>
  <c r="O33" i="1"/>
  <c r="V32" i="1"/>
  <c r="U32" i="1"/>
  <c r="S32" i="1"/>
  <c r="R32" i="1"/>
  <c r="P32" i="1"/>
  <c r="O32" i="1"/>
  <c r="V31" i="1"/>
  <c r="U31" i="1"/>
  <c r="S31" i="1"/>
  <c r="R31" i="1"/>
  <c r="P31" i="1"/>
  <c r="O31" i="1"/>
  <c r="V30" i="1"/>
  <c r="U30" i="1"/>
  <c r="S30" i="1"/>
  <c r="R30" i="1"/>
  <c r="P30" i="1"/>
  <c r="O30" i="1"/>
  <c r="V29" i="1"/>
  <c r="U29" i="1"/>
  <c r="P29" i="1"/>
  <c r="O29" i="1"/>
  <c r="V28" i="1"/>
  <c r="U28" i="1"/>
  <c r="S28" i="1"/>
  <c r="R28" i="1"/>
  <c r="P28" i="1"/>
  <c r="O28" i="1"/>
  <c r="V27" i="1"/>
  <c r="U27" i="1"/>
  <c r="S27" i="1"/>
  <c r="R27" i="1"/>
  <c r="P27" i="1"/>
  <c r="O27" i="1"/>
  <c r="V26" i="1"/>
  <c r="U26" i="1"/>
  <c r="S26" i="1"/>
  <c r="R26" i="1"/>
  <c r="P26" i="1"/>
  <c r="O26" i="1"/>
  <c r="V25" i="1"/>
  <c r="U25" i="1"/>
  <c r="S25" i="1"/>
  <c r="R25" i="1"/>
  <c r="P25" i="1"/>
  <c r="O25" i="1"/>
  <c r="V24" i="1"/>
  <c r="U24" i="1"/>
  <c r="S24" i="1"/>
  <c r="R24" i="1"/>
  <c r="P24" i="1"/>
  <c r="O24" i="1"/>
  <c r="V23" i="1"/>
  <c r="U23" i="1"/>
  <c r="S23" i="1"/>
  <c r="R23" i="1"/>
  <c r="P23" i="1"/>
  <c r="O23" i="1"/>
  <c r="V22" i="1"/>
  <c r="U22" i="1"/>
  <c r="S22" i="1"/>
  <c r="R22" i="1"/>
  <c r="P22" i="1"/>
  <c r="O22" i="1"/>
  <c r="V21" i="1"/>
  <c r="U21" i="1"/>
  <c r="S21" i="1"/>
  <c r="R21" i="1"/>
  <c r="P21" i="1"/>
  <c r="O21" i="1"/>
  <c r="V20" i="1"/>
  <c r="U20" i="1"/>
  <c r="P20" i="1"/>
  <c r="O20" i="1"/>
  <c r="V19" i="1"/>
  <c r="U19" i="1"/>
  <c r="S19" i="1"/>
  <c r="R19" i="1"/>
  <c r="P19" i="1"/>
  <c r="O19" i="1"/>
  <c r="V18" i="1"/>
  <c r="U18" i="1"/>
  <c r="S18" i="1"/>
  <c r="R18" i="1"/>
  <c r="P18" i="1"/>
  <c r="O18" i="1"/>
  <c r="V17" i="1"/>
  <c r="U17" i="1"/>
  <c r="P17" i="1"/>
  <c r="O17" i="1"/>
  <c r="V16" i="1"/>
  <c r="U16" i="1"/>
  <c r="S16" i="1"/>
  <c r="R16" i="1"/>
  <c r="P16" i="1"/>
  <c r="O16" i="1"/>
  <c r="V15" i="1"/>
  <c r="U15" i="1"/>
  <c r="S15" i="1"/>
  <c r="R15" i="1"/>
  <c r="P15" i="1"/>
  <c r="O15" i="1"/>
  <c r="V14" i="1"/>
  <c r="U14" i="1"/>
  <c r="S14" i="1"/>
  <c r="R14" i="1"/>
  <c r="P14" i="1"/>
  <c r="O14" i="1"/>
  <c r="V13" i="1"/>
  <c r="U13" i="1"/>
  <c r="S13" i="1"/>
  <c r="R13" i="1"/>
  <c r="P13" i="1"/>
  <c r="O13" i="1"/>
  <c r="V12" i="1"/>
  <c r="U12" i="1"/>
  <c r="S12" i="1"/>
  <c r="R12" i="1"/>
  <c r="P12" i="1"/>
  <c r="O12" i="1"/>
  <c r="V11" i="1"/>
  <c r="U11" i="1"/>
  <c r="S11" i="1"/>
  <c r="R11" i="1"/>
  <c r="P11" i="1"/>
  <c r="O11" i="1"/>
  <c r="V10" i="1"/>
  <c r="U10" i="1"/>
  <c r="S10" i="1"/>
  <c r="R10" i="1"/>
  <c r="P10" i="1"/>
  <c r="O10" i="1"/>
  <c r="S9" i="1"/>
  <c r="R9" i="1"/>
  <c r="P9" i="1"/>
  <c r="O9" i="1"/>
  <c r="V8" i="1"/>
  <c r="U8" i="1"/>
  <c r="S8" i="1"/>
  <c r="R8" i="1"/>
  <c r="P8" i="1"/>
  <c r="O8" i="1"/>
  <c r="V7" i="1"/>
  <c r="U7" i="1"/>
  <c r="S7" i="1"/>
  <c r="R7" i="1"/>
  <c r="P7" i="1"/>
  <c r="O7" i="1"/>
  <c r="V6" i="1"/>
  <c r="U6" i="1"/>
  <c r="S6" i="1"/>
  <c r="R6" i="1"/>
  <c r="P6" i="1"/>
  <c r="O6" i="1"/>
  <c r="V5" i="1"/>
  <c r="U5" i="1"/>
  <c r="S5" i="1"/>
  <c r="R5" i="1"/>
  <c r="P5" i="1"/>
  <c r="O5" i="1"/>
  <c r="V4" i="1"/>
  <c r="U4" i="1"/>
  <c r="S4" i="1"/>
  <c r="R4" i="1"/>
  <c r="P4" i="1"/>
  <c r="O4" i="1"/>
  <c r="V3" i="1"/>
  <c r="U3" i="1"/>
  <c r="P3" i="1"/>
  <c r="O3" i="1"/>
  <c r="V2" i="1"/>
  <c r="U2" i="1"/>
  <c r="S2" i="1"/>
  <c r="R2" i="1"/>
  <c r="P2" i="1"/>
  <c r="O2" i="1"/>
</calcChain>
</file>

<file path=xl/sharedStrings.xml><?xml version="1.0" encoding="utf-8"?>
<sst xmlns="http://schemas.openxmlformats.org/spreadsheetml/2006/main" count="521" uniqueCount="427">
  <si>
    <t>date</t>
  </si>
  <si>
    <t>weekday</t>
  </si>
  <si>
    <t>match_string</t>
  </si>
  <si>
    <t>is_work_day</t>
  </si>
  <si>
    <t>has_meeting</t>
  </si>
  <si>
    <t>id</t>
  </si>
  <si>
    <t>inventory_num</t>
  </si>
  <si>
    <t>scan_num</t>
  </si>
  <si>
    <t>page_num</t>
  </si>
  <si>
    <t>column_index</t>
  </si>
  <si>
    <t>textregion_index</t>
  </si>
  <si>
    <t>line_index</t>
  </si>
  <si>
    <t>viewer_url</t>
  </si>
  <si>
    <t>iiif_url</t>
  </si>
  <si>
    <t>next_meeting_match_string</t>
  </si>
  <si>
    <t>next_meeting_viewer_url</t>
  </si>
  <si>
    <t>next_meeting_iiif_url</t>
  </si>
  <si>
    <t>prev_meeting_match_string</t>
  </si>
  <si>
    <t>prev_meeting_viewer_url</t>
  </si>
  <si>
    <t>prev_meeting_iiif_url</t>
  </si>
  <si>
    <t>1780-05-24</t>
  </si>
  <si>
    <t>Mercurii</t>
  </si>
  <si>
    <t>Mercuri den 24 Mey</t>
  </si>
  <si>
    <t>NL-HaNA_3835_0324-page-646-col-0-tr-2-line-0</t>
  </si>
  <si>
    <t>Jovis den 25 Mey</t>
  </si>
  <si>
    <t>Martis den 13 Mey</t>
  </si>
  <si>
    <t>1794-03-28</t>
  </si>
  <si>
    <t>Veneris</t>
  </si>
  <si>
    <t>Jovis den 3 April</t>
  </si>
  <si>
    <t>1718-08-23</t>
  </si>
  <si>
    <t>Martis</t>
  </si>
  <si>
    <t>Martis den 23. Anguft</t>
  </si>
  <si>
    <t>NL-HaNA_3773_0401-page-801-col-1-tr-1-line-0</t>
  </si>
  <si>
    <t>Mercuriiden 24. Auguftì</t>
  </si>
  <si>
    <t>Lune den 22. Augusti</t>
  </si>
  <si>
    <t>1757-08-21</t>
  </si>
  <si>
    <t>Dominica</t>
  </si>
  <si>
    <t>Lune den 22 Augusty</t>
  </si>
  <si>
    <t>Veneris den 19 Augufty</t>
  </si>
  <si>
    <t>1787-01-03</t>
  </si>
  <si>
    <t>Mercurit den 3 January</t>
  </si>
  <si>
    <t>NL-HaNA_3848_0133-page-265-col-1-tr-2-line-0</t>
  </si>
  <si>
    <t>Jovis den 4 January</t>
  </si>
  <si>
    <t>Martis den 2 January</t>
  </si>
  <si>
    <t>1734-12-27</t>
  </si>
  <si>
    <t>Lunae</t>
  </si>
  <si>
    <t>Lun den 27. December</t>
  </si>
  <si>
    <t>NL-HaNA_3789_0375-page-748-col-1-tr-1-line-0</t>
  </si>
  <si>
    <t>Martis den 28. Decembe</t>
  </si>
  <si>
    <t>Veneris den 24. Decembe</t>
  </si>
  <si>
    <t>1729-02-02</t>
  </si>
  <si>
    <t>Mercurii den 2. Februari</t>
  </si>
  <si>
    <t>NL-HaNA_3784_0076-page-150-col-1-tr-1-line-0</t>
  </si>
  <si>
    <t>Jovis den 3. Februari</t>
  </si>
  <si>
    <t>Martis den 1, Februari</t>
  </si>
  <si>
    <t>1766-08-27</t>
  </si>
  <si>
    <t>Mercurii den 27 Angusty</t>
  </si>
  <si>
    <t>NL-HaNA_3821_0328-page-654-col-2-tr-2-line-1</t>
  </si>
  <si>
    <t>Fovis den 283 Aueuft</t>
  </si>
  <si>
    <t>1776-02-13</t>
  </si>
  <si>
    <t>Martis den 13 February</t>
  </si>
  <si>
    <t>NL-HaNA_3831_0138-page-275-col-0-tr-2-line-0</t>
  </si>
  <si>
    <t>Mercurii den 14 February</t>
  </si>
  <si>
    <t>Lane den 12 February</t>
  </si>
  <si>
    <t>1766-07-24</t>
  </si>
  <si>
    <t>Jovis</t>
  </si>
  <si>
    <t>NL-HaNA_3821_0301-page-600-col-0-tr-1-line-2</t>
  </si>
  <si>
    <t>Veneris den 45 Taly</t>
  </si>
  <si>
    <t>Mercurii den 13 July</t>
  </si>
  <si>
    <t>1747-05-03</t>
  </si>
  <si>
    <t>Mercurii den 3 Mey</t>
  </si>
  <si>
    <t>NL-HaNA_3802_0215-page-429-col-0-tr-2-line-0</t>
  </si>
  <si>
    <t>Martis den 2 Mey</t>
  </si>
  <si>
    <t>1749-11-08</t>
  </si>
  <si>
    <t>Sabbathi</t>
  </si>
  <si>
    <t>Sabbatthi den 8 Novembe</t>
  </si>
  <si>
    <t>NL-HaNA_3804_0420-page-839-col-0-tr-1-line-0</t>
  </si>
  <si>
    <t>Veneris den 7 November</t>
  </si>
  <si>
    <t>1739-01-11</t>
  </si>
  <si>
    <t>Lune den 12. January</t>
  </si>
  <si>
    <t>Sabbathi den 10 Januars</t>
  </si>
  <si>
    <t>1746-02-18</t>
  </si>
  <si>
    <t>Veneris den 18 February</t>
  </si>
  <si>
    <t>NL-HaNA_3801_0109-page-217-col-1-tr-3-line-0</t>
  </si>
  <si>
    <t>Sabbathi den 19 February</t>
  </si>
  <si>
    <t>Jovis den 17 February</t>
  </si>
  <si>
    <t>1790-06-30</t>
  </si>
  <si>
    <t>Mercurii den 30 Jany</t>
  </si>
  <si>
    <t>NL-HaNA_3853_0309-page-617-col-0-tr-2-line-0</t>
  </si>
  <si>
    <t>Jovis den I July</t>
  </si>
  <si>
    <t>Martis den 29 Juny</t>
  </si>
  <si>
    <t>1738-07-09</t>
  </si>
  <si>
    <t>Mercurii den 9. Jul</t>
  </si>
  <si>
    <t>NL-HaNA_3793_0244-page-486-col-0-tr-1-line-0</t>
  </si>
  <si>
    <t>Martis den 8. Jul</t>
  </si>
  <si>
    <t>1748-07-13</t>
  </si>
  <si>
    <t>Sabbathi den 13 July</t>
  </si>
  <si>
    <t>NL-HaNA_3803_0299-page-597-col-1-tr-2-line-0</t>
  </si>
  <si>
    <t>Lane den 15 July</t>
  </si>
  <si>
    <t>Veneris den 11 Jaly</t>
  </si>
  <si>
    <t>1726-10-23</t>
  </si>
  <si>
    <t>Mercurii den 23. Oftobe</t>
  </si>
  <si>
    <t>NL-HaNA_3781_0419-page-837-col-1-tr-2-line-0</t>
  </si>
  <si>
    <t>Jovis den 24. Octobe</t>
  </si>
  <si>
    <t>Martis den 22. Octobe</t>
  </si>
  <si>
    <t>1719-01-07</t>
  </si>
  <si>
    <t>Sabbathi den 7. Januari</t>
  </si>
  <si>
    <t>NL-HaNA_3774_0050-page-98-col-0-tr-0-line-0</t>
  </si>
  <si>
    <t>Veneris den 6. anuarii</t>
  </si>
  <si>
    <t>1772-08-06</t>
  </si>
  <si>
    <t>Jovis den. 6 August</t>
  </si>
  <si>
    <t>NL-HaNA_3827_0355-page-709-col-0-tr-1-line-7</t>
  </si>
  <si>
    <t>Veneris den 7 Aucu[ty</t>
  </si>
  <si>
    <t>Mercurii den 5 Augusty</t>
  </si>
  <si>
    <t>1782-07-21</t>
  </si>
  <si>
    <t>Luna den 22 July</t>
  </si>
  <si>
    <t>Veneris den 19 July</t>
  </si>
  <si>
    <t>1793-03-10</t>
  </si>
  <si>
    <t>Lune den 11 Maart</t>
  </si>
  <si>
    <t>Veneris den 8 Maart</t>
  </si>
  <si>
    <t>1759-06-04</t>
  </si>
  <si>
    <t>Martis dens Juny</t>
  </si>
  <si>
    <t>Veneris den 1 Jany</t>
  </si>
  <si>
    <t>1776-03-26</t>
  </si>
  <si>
    <t>Martis den 26 Maart</t>
  </si>
  <si>
    <t>NL-HaNA_3831_0186-page-370-col-0-tr-0-line-0</t>
  </si>
  <si>
    <t>Merturii den 27 Maart</t>
  </si>
  <si>
    <t>Lune den 25 Maart</t>
  </si>
  <si>
    <t>1712-03-18</t>
  </si>
  <si>
    <t>Veneris den 18. Maer</t>
  </si>
  <si>
    <t>NL-HaNA_3767_0156-page-311-col-0-tr-2-line-0</t>
  </si>
  <si>
    <t>Sabbathi den 19. Maer</t>
  </si>
  <si>
    <t>Jovis den 17. Maer</t>
  </si>
  <si>
    <t>1715-04-06</t>
  </si>
  <si>
    <t>Sabbathi den 6. Apri</t>
  </si>
  <si>
    <t>NL-HaNA_3770_0188-page-375-col-3-tr-1-line-0</t>
  </si>
  <si>
    <t>Lane den $. April</t>
  </si>
  <si>
    <t>Veneris den 5. Äpri</t>
  </si>
  <si>
    <t>1747-09-15</t>
  </si>
  <si>
    <t>Veneris den 15 September</t>
  </si>
  <si>
    <t>NL-HaNA_3802_0387-page-772-col-0-tr-1-line-0</t>
  </si>
  <si>
    <t>Sabbathi den 16 September</t>
  </si>
  <si>
    <t>Jovis den 14 September</t>
  </si>
  <si>
    <t>1753-12-26</t>
  </si>
  <si>
    <t>Lune den 24 December</t>
  </si>
  <si>
    <t>1780-03-23</t>
  </si>
  <si>
    <t>Jovis den 23 Maart</t>
  </si>
  <si>
    <t>NL-HaNA_3835_0222-page-442-col-1-tr-2-line-0</t>
  </si>
  <si>
    <t>Venerie den 24 Maart</t>
  </si>
  <si>
    <t>Mercurii den 22 Maart</t>
  </si>
  <si>
    <t>1777-07-13</t>
  </si>
  <si>
    <t>Veneris den 15 Augu</t>
  </si>
  <si>
    <t>1767-04-04</t>
  </si>
  <si>
    <t>Lune den 6 April</t>
  </si>
  <si>
    <t>Veneris den 3 April</t>
  </si>
  <si>
    <t>1706-12-24</t>
  </si>
  <si>
    <t>Veneris den 54. Decembe</t>
  </si>
  <si>
    <t>NL-HaNA_3761_0725-page-1449-col-0-tr-1-line-0</t>
  </si>
  <si>
    <t>Luna den 27. December</t>
  </si>
  <si>
    <t>Jovis den 23. Decembe</t>
  </si>
  <si>
    <t>1764-06-21</t>
  </si>
  <si>
    <t>Jovis den 21 Jfun</t>
  </si>
  <si>
    <t>NL-HaNA_3819_0284-page-567-col-1-tr-1-line-0</t>
  </si>
  <si>
    <t>Veneris den 22 Funy</t>
  </si>
  <si>
    <t>Mercurii den 20 Juny</t>
  </si>
  <si>
    <t>1713-06-05</t>
  </si>
  <si>
    <t>Martis den 6. Juni</t>
  </si>
  <si>
    <t>Sabbathi den 3. Juni</t>
  </si>
  <si>
    <t>1777-06-22</t>
  </si>
  <si>
    <t xml:space="preserve">Dominica den 17 Aug </t>
  </si>
  <si>
    <t>NL-HaNA_3832_0380-page-758-col-1-tr-1-line-0</t>
  </si>
  <si>
    <t>1788-02-11</t>
  </si>
  <si>
    <t>Lune den 11 February</t>
  </si>
  <si>
    <t>NL-HaNA_3850_0058-page-114-col-1-tr-2-line-0</t>
  </si>
  <si>
    <t>Veneris den 8 February</t>
  </si>
  <si>
    <t>1714-06-21</t>
  </si>
  <si>
    <t>Jovis den 21. Funi</t>
  </si>
  <si>
    <t>NL-HaNA_3769_0352-page-702-col-1-tr-2-line-0</t>
  </si>
  <si>
    <t>Veneris den 22. Juni</t>
  </si>
  <si>
    <t>Mercurii den 20. Juni</t>
  </si>
  <si>
    <t>1775-11-17</t>
  </si>
  <si>
    <t>Veneris den 17 November</t>
  </si>
  <si>
    <t>NL-HaNA_3830_0457-page-912-col-1-tr-0-line-62</t>
  </si>
  <si>
    <t>Jovis den 16 November</t>
  </si>
  <si>
    <t>1733-08-25</t>
  </si>
  <si>
    <t>1782-08-24</t>
  </si>
  <si>
    <t>Lune den 26 Auausty</t>
  </si>
  <si>
    <t>Veneris den 23 Augusty</t>
  </si>
  <si>
    <t>1774-07-13</t>
  </si>
  <si>
    <t>Mercuri den 13 July</t>
  </si>
  <si>
    <t>NL-HaNA_3829_0312-page-622-col-0-tr-2-line-0</t>
  </si>
  <si>
    <t>Jous den 14 July</t>
  </si>
  <si>
    <t>Martis den 11 July</t>
  </si>
  <si>
    <t>1771-07-07</t>
  </si>
  <si>
    <t>Lune den 15 July</t>
  </si>
  <si>
    <t>1742-03-30</t>
  </si>
  <si>
    <t>Veneris dem 30 Maart</t>
  </si>
  <si>
    <t>NL-HaNA_3797_0154-page-307-col-0-tr-2-line-0</t>
  </si>
  <si>
    <t>Sabbathi den 31 Maart</t>
  </si>
  <si>
    <t>Jovis den 29 Maart</t>
  </si>
  <si>
    <t>1765-03-14</t>
  </si>
  <si>
    <t>Veneris den 15 Maart</t>
  </si>
  <si>
    <t>1730-11-05</t>
  </si>
  <si>
    <t>NL-HaNA_3785_0381-page-760-col-1-tr-3-line-1</t>
  </si>
  <si>
    <t>Lune den 6. November</t>
  </si>
  <si>
    <t>abbathi den 4. November</t>
  </si>
  <si>
    <t>1739-09-01</t>
  </si>
  <si>
    <t>Martis den 1 September</t>
  </si>
  <si>
    <t>NL-HaNA_3794_0277-page-553-col-1-tr-1-line-0</t>
  </si>
  <si>
    <t>Mercurii den 2 September</t>
  </si>
  <si>
    <t>Lune den 31 Angafiy</t>
  </si>
  <si>
    <t>1705-04-06</t>
  </si>
  <si>
    <t xml:space="preserve">Lane den6: April </t>
  </si>
  <si>
    <t>NL-HaNA_3760_0239-page-477-col-0-tr-1-line-1</t>
  </si>
  <si>
    <t>Martis den 7. Aprl</t>
  </si>
  <si>
    <t>1738-03-31</t>
  </si>
  <si>
    <t>Martis den 1, Apri</t>
  </si>
  <si>
    <t>Sabbathi den 20, Maar</t>
  </si>
  <si>
    <t>1756-10-22</t>
  </si>
  <si>
    <t>NL-HaNA_3811_0354-page-707-col-0-tr-0-line-0</t>
  </si>
  <si>
    <t>Liné den 25 Oober</t>
  </si>
  <si>
    <t>1733-11-16</t>
  </si>
  <si>
    <t>1749-11-16</t>
  </si>
  <si>
    <t>Luna den 17 November</t>
  </si>
  <si>
    <t>Subbatthi den 1e Novembe</t>
  </si>
  <si>
    <t>1708-03-04</t>
  </si>
  <si>
    <t>Luna den v. Maert</t>
  </si>
  <si>
    <t>Sabbathi den 3. Maer</t>
  </si>
  <si>
    <t>1789-11-13</t>
  </si>
  <si>
    <t>NL-HaNA_3852_0499-page-997-col-0-tr-1-line-1</t>
  </si>
  <si>
    <t>Lune den 16 November</t>
  </si>
  <si>
    <t>Jovis den 12 November</t>
  </si>
  <si>
    <t>1779-11-01</t>
  </si>
  <si>
    <t>Luna den 8 November</t>
  </si>
  <si>
    <t>NL-HaNA_3834_0536-page-1070-col-2-tr-0-line-39</t>
  </si>
  <si>
    <t>Martis den o November</t>
  </si>
  <si>
    <t>1791-06-07</t>
  </si>
  <si>
    <t>Martis den 7 Jany</t>
  </si>
  <si>
    <t>NL-HaNA_3854_0327-page-652-col-0-tr-0-line-0</t>
  </si>
  <si>
    <t>Mercurii den 8 Juny</t>
  </si>
  <si>
    <t>Lune den 6 Juuy</t>
  </si>
  <si>
    <t>1757-12-06</t>
  </si>
  <si>
    <t>Martis den 6 December</t>
  </si>
  <si>
    <t>NL-HaNA_3812_0497-page-992-col-1-tr-2-line-0</t>
  </si>
  <si>
    <t>1735-12-16</t>
  </si>
  <si>
    <t>Veneris den 16. Decembe</t>
  </si>
  <si>
    <t>NL-HaNA_3790_0395-page-789-col-0-tr-0-line-6</t>
  </si>
  <si>
    <t>Sabbathi den 17. Decembe</t>
  </si>
  <si>
    <t>Jovis den 15. Decembe</t>
  </si>
  <si>
    <t>1766-09-08</t>
  </si>
  <si>
    <t>Martiv den 9 September</t>
  </si>
  <si>
    <t>Veneris den September</t>
  </si>
  <si>
    <t>1709-04-20</t>
  </si>
  <si>
    <t>NL-HaNA_3764_0226-page-451-col-0-tr-0-line-0</t>
  </si>
  <si>
    <t>Luna den 22. April</t>
  </si>
  <si>
    <t>Veneris den 19. Apri</t>
  </si>
  <si>
    <t>1711-10-22</t>
  </si>
  <si>
    <t>Jovis den 22. Octobe</t>
  </si>
  <si>
    <t>NL-HaNA_3766_0652-page-1302-col-0-tr-3-line-0</t>
  </si>
  <si>
    <t>Veneris den 23. Oftobe</t>
  </si>
  <si>
    <t>Mercuri den 21. Oftober</t>
  </si>
  <si>
    <t>1769-03-20</t>
  </si>
  <si>
    <t>Lue den 20 Maart</t>
  </si>
  <si>
    <t>NL-HaNA_3824_0181-page-361-col-0-tr-2-line-0</t>
  </si>
  <si>
    <t>Mayrtis den 21 Maar</t>
  </si>
  <si>
    <t>1796-05-03</t>
  </si>
  <si>
    <t>1707-08-29</t>
  </si>
  <si>
    <t>Luna den 29. Augusti</t>
  </si>
  <si>
    <t>NL-HaNA_3762_0459-page-916-col-0-tr-1-line-0</t>
  </si>
  <si>
    <t>Martis den 20. August</t>
  </si>
  <si>
    <t>Sabbathi den 27. Auguft</t>
  </si>
  <si>
    <t>1785-05-23</t>
  </si>
  <si>
    <t>Lune den 23 Mey</t>
  </si>
  <si>
    <t>NL-HaNA_3844_0361-page-721-col-0-tr-1-line-0</t>
  </si>
  <si>
    <t>Martis den z4 Mey</t>
  </si>
  <si>
    <t>Veneris den 0 Meg</t>
  </si>
  <si>
    <t>1782-03-02</t>
  </si>
  <si>
    <t>Lune den 4 Maart</t>
  </si>
  <si>
    <t>1775-02-27</t>
  </si>
  <si>
    <t>Lune den 27 February</t>
  </si>
  <si>
    <t>NL-HaNA_3830_0159-page-316-col-0-tr-0-line-48</t>
  </si>
  <si>
    <t>Martis den 28 February</t>
  </si>
  <si>
    <t>1777-04-04</t>
  </si>
  <si>
    <t>Lane den 5 April:</t>
  </si>
  <si>
    <t>1710-02-12</t>
  </si>
  <si>
    <t>Mercurii den 12. Februari</t>
  </si>
  <si>
    <t>NL-HaNA_3765_0101-page-201-col-1-tr-2-line-0</t>
  </si>
  <si>
    <t>Jovis den 13. Februari</t>
  </si>
  <si>
    <t>Martis dn 11. Februarij</t>
  </si>
  <si>
    <t>1770-06-27</t>
  </si>
  <si>
    <t>Mercuri den 27 Jany</t>
  </si>
  <si>
    <t>NL-HaNA_3825_0332-page-662-col-1-tr-1-line-1</t>
  </si>
  <si>
    <t>Jovis den 28 Juny</t>
  </si>
  <si>
    <t>Martis den 265 Jan</t>
  </si>
  <si>
    <t>1751-04-17</t>
  </si>
  <si>
    <t>Sabbatthi den 17 Apri</t>
  </si>
  <si>
    <t>NL-HaNA_3806_0163-page-324-col-0-tr-0-line-49</t>
  </si>
  <si>
    <t>Lune den 10 April</t>
  </si>
  <si>
    <t>Veneris den 16 April</t>
  </si>
  <si>
    <t>1773-07-14</t>
  </si>
  <si>
    <t>Mercurit den 14 July</t>
  </si>
  <si>
    <t>NL-HaNA_3828_0312-page-622-col-1-tr-2-line-0</t>
  </si>
  <si>
    <t>Jovis den 15 July</t>
  </si>
  <si>
    <t>Martis den 13 July</t>
  </si>
  <si>
    <t>1774-06-04</t>
  </si>
  <si>
    <t>Lune den 6 Jans</t>
  </si>
  <si>
    <t>Peneris den 3 Jany</t>
  </si>
  <si>
    <t>1724-07-12</t>
  </si>
  <si>
    <t>Mercurii den 12. Jul</t>
  </si>
  <si>
    <t>NL-HaNA_3779_0262-page-523-col-1-tr-0-line-0</t>
  </si>
  <si>
    <t>Jovis den 13, Jul</t>
  </si>
  <si>
    <t>Martis den 11, Jul</t>
  </si>
  <si>
    <t>1750-09-17</t>
  </si>
  <si>
    <t>Fovis den 17 September</t>
  </si>
  <si>
    <t>NL-HaNA_3805_0355-page-708-col-1-tr-0-line-8</t>
  </si>
  <si>
    <t>Veneris den 18 September</t>
  </si>
  <si>
    <t>1706-06-23</t>
  </si>
  <si>
    <t>Jovis den 24. Juni</t>
  </si>
  <si>
    <t>Martis den 22. Juni</t>
  </si>
  <si>
    <t>1710-09-10</t>
  </si>
  <si>
    <t xml:space="preserve">Mercuri den 0. September </t>
  </si>
  <si>
    <t>NL-HaNA_3765_0515-page-1029-col-1-tr-2-line-0</t>
  </si>
  <si>
    <t>Jovis den 11. Septembe</t>
  </si>
  <si>
    <t>Martis den 9. Septembe</t>
  </si>
  <si>
    <t>1719-07-26</t>
  </si>
  <si>
    <t>Mercurii den 26. Jul</t>
  </si>
  <si>
    <t>NL-HaNA_3774_0344-page-687-col-2-tr-3-line-0</t>
  </si>
  <si>
    <t>Jovis den 27. al:</t>
  </si>
  <si>
    <t>Martis den 25. TJa</t>
  </si>
  <si>
    <t>1793-05-31</t>
  </si>
  <si>
    <t>Veneris den 31 Mey</t>
  </si>
  <si>
    <t>NL-HaNA_3858_0319-page-637-col-1-tr-1-line-0</t>
  </si>
  <si>
    <t>Lane den 3. Juny</t>
  </si>
  <si>
    <t>Jovis den 30 Mey</t>
  </si>
  <si>
    <t>1741-12-30</t>
  </si>
  <si>
    <t>NL-HaNA_3796_0488-page-974-col-0-tr-0-line-1</t>
  </si>
  <si>
    <t>Lune den 25 December</t>
  </si>
  <si>
    <t>1739-10-23</t>
  </si>
  <si>
    <t>Veneris den 23 October</t>
  </si>
  <si>
    <t>NL-HaNA_3794_0347-page-693-col-0-tr-2-line-0</t>
  </si>
  <si>
    <t>Sabbathi den 24 Oftober</t>
  </si>
  <si>
    <t>1743-02-12</t>
  </si>
  <si>
    <t>Martis den 12 February</t>
  </si>
  <si>
    <t>NL-HaNA_3798_0086-page-171-col-1-tr-1-line-0</t>
  </si>
  <si>
    <t>Mercuri den 13 February</t>
  </si>
  <si>
    <t>Lune den it February</t>
  </si>
  <si>
    <t>1720-08-22</t>
  </si>
  <si>
    <t>Veneris den 23. August</t>
  </si>
  <si>
    <t>1781-01-11</t>
  </si>
  <si>
    <t>Jovis den 11 January</t>
  </si>
  <si>
    <t>NL-HaNA_3836_0164-page-326-col-0-tr-1-line-0</t>
  </si>
  <si>
    <t>Mercurii den 10 Jannary</t>
  </si>
  <si>
    <t>1726-06-11</t>
  </si>
  <si>
    <t>Martis den 11, Juni</t>
  </si>
  <si>
    <t>NL-HaNA_3781_0248-page-494-col-2-tr-1-line-0</t>
  </si>
  <si>
    <t>Sabbathi den 8. Juni</t>
  </si>
  <si>
    <t>1719-07-30</t>
  </si>
  <si>
    <t>Dominica den 22 Juli</t>
  </si>
  <si>
    <t>NL-HaNA_3774_0341-page-680-col-1-tr-2-line-0</t>
  </si>
  <si>
    <t>Lune den 31. Juli</t>
  </si>
  <si>
    <t>Sabbathi den 29. Jal</t>
  </si>
  <si>
    <t>1755-02-28</t>
  </si>
  <si>
    <t>Veneris den 28 February</t>
  </si>
  <si>
    <t>NL-HaNA_3810_0120-page-238-col-1-tr-0-line-0</t>
  </si>
  <si>
    <t>Jovis den 27 February</t>
  </si>
  <si>
    <t>1709-02-22</t>
  </si>
  <si>
    <t>Veneris den 22. Februari</t>
  </si>
  <si>
    <t>NL-HaNA_3764_0105-page-209-col-1-tr-2-line-0</t>
  </si>
  <si>
    <t>Sabbathi den 23. Februari</t>
  </si>
  <si>
    <t>1757-06-28</t>
  </si>
  <si>
    <t>Martis den 28 JFun</t>
  </si>
  <si>
    <t>NL-HaNA_3812_0307-page-613-col-0-tr-3-line-0</t>
  </si>
  <si>
    <t>Lune den 27 Juny</t>
  </si>
  <si>
    <t>1715-10-04</t>
  </si>
  <si>
    <t>Veneris den 4. Octobe</t>
  </si>
  <si>
    <t>NL-HaNA_3770_0463-page-925-col-1-tr-1-line-0</t>
  </si>
  <si>
    <t>Sabbathi den 5. Octobe</t>
  </si>
  <si>
    <t>Jovis den 3. Octobe</t>
  </si>
  <si>
    <t>1739-09-17</t>
  </si>
  <si>
    <t>Jovis den 17 September</t>
  </si>
  <si>
    <t>NL-HaNA_3794_0293-page-584-col-0-tr-2-line-0</t>
  </si>
  <si>
    <t>Mercurii den 16 September</t>
  </si>
  <si>
    <t>1789-12-29</t>
  </si>
  <si>
    <t>Martis den 29 December</t>
  </si>
  <si>
    <t>NL-HaNA_3852_0567-page-1133-col-0-tr-1-line-0</t>
  </si>
  <si>
    <t>Mercurii den 320 Decembe</t>
  </si>
  <si>
    <t>Lune den 28 December</t>
  </si>
  <si>
    <t>1745-06-16</t>
  </si>
  <si>
    <t>Mercurii den 16 Funy</t>
  </si>
  <si>
    <t>NL-HaNA_3800_0282-page-562-col-0-tr-2-line-0</t>
  </si>
  <si>
    <t>Jovis den 17 Juny</t>
  </si>
  <si>
    <t>Martis den 15 Funy</t>
  </si>
  <si>
    <t>1706-02-06</t>
  </si>
  <si>
    <t>Sabbathi den 6. Februari</t>
  </si>
  <si>
    <t>NL-HaNA_3761_0073-page-145-col-0-tr-1-line-0</t>
  </si>
  <si>
    <t>Luna den 8. Februarii</t>
  </si>
  <si>
    <t>Veneris den z. Februari</t>
  </si>
  <si>
    <t>1719-05-01</t>
  </si>
  <si>
    <t>Martis den 2. Me</t>
  </si>
  <si>
    <t>Sabbathi den 29. Apri</t>
  </si>
  <si>
    <t>1710-08-07</t>
  </si>
  <si>
    <t>Fovis den 7. August</t>
  </si>
  <si>
    <t>NL-HaNA_3765_0459-page-916-col-1-tr-2-line-0</t>
  </si>
  <si>
    <t>Veneris den 8. August</t>
  </si>
  <si>
    <t>Mereurii den 6. August</t>
  </si>
  <si>
    <t>1776-12-13</t>
  </si>
  <si>
    <t>NL-HaNA_3831_0494-page-987-col-0-tr-0-line-3</t>
  </si>
  <si>
    <t>Lune den 16 December</t>
  </si>
  <si>
    <t>1715-11-13</t>
  </si>
  <si>
    <t>Mercurii den 13. Novembe</t>
  </si>
  <si>
    <t>NL-HaNA_3770_0525-page-1049-col-0-tr-0-line-0</t>
  </si>
  <si>
    <t>ouvis den 14. Novembe</t>
  </si>
  <si>
    <t>Martis den 12. Novembe</t>
  </si>
  <si>
    <t>1745-06-05</t>
  </si>
  <si>
    <t>Sabbathi den $ TFuny</t>
  </si>
  <si>
    <t>NL-HaNA_3800_0272-page-543-col-0-tr-3-line-0</t>
  </si>
  <si>
    <t>Martis den 8 Funy</t>
  </si>
  <si>
    <t>Veneris den 4 Tuny</t>
  </si>
  <si>
    <t>1762-02-18</t>
  </si>
  <si>
    <t>Jovis den 18 February</t>
  </si>
  <si>
    <t>NL-HaNA_3817_0149-page-297-col-0-tr-1-line-0</t>
  </si>
  <si>
    <t>Veneris den 19 February</t>
  </si>
  <si>
    <t>Mercurii den 17 February</t>
  </si>
  <si>
    <t>correct</t>
  </si>
  <si>
    <t>reason</t>
  </si>
  <si>
    <t>column missing from PageXML</t>
  </si>
  <si>
    <t>too many lines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</si>
</sst>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workbookViewId="0">
      <selection activeCell="G40" sqref="G40"/>
    </sheetView>
  </sheetViews>
  <sheetFormatPr baseColWidth="10" defaultColWidth="8.83203125" defaultRowHeight="15" x14ac:dyDescent="0.2"/>
  <cols>
    <col min="1" max="1" width="12.5" customWidth="1"/>
    <col min="3" max="3" width="23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423</v>
      </c>
      <c r="G1" t="s">
        <v>424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20</v>
      </c>
      <c r="B2" t="s">
        <v>21</v>
      </c>
      <c r="C2" t="s">
        <v>22</v>
      </c>
      <c r="D2" t="b">
        <v>1</v>
      </c>
      <c r="E2" t="b">
        <v>1</v>
      </c>
      <c r="F2">
        <v>1</v>
      </c>
      <c r="H2" t="s">
        <v>23</v>
      </c>
      <c r="I2">
        <v>3835</v>
      </c>
      <c r="J2">
        <v>324</v>
      </c>
      <c r="K2">
        <v>646</v>
      </c>
      <c r="L2">
        <v>0</v>
      </c>
      <c r="M2">
        <v>2</v>
      </c>
      <c r="N2">
        <v>0</v>
      </c>
      <c r="O2" t="str">
        <f>HYPERLINK("https://images.diginfra.net/framed3.html?imagesetuuid=473594ee-2ab0-4fbf-9da7-0e9d12acef41&amp;uri=https://images.diginfra.net/iiif/NL-HaNA_1.01.02/3835/NL-HaNA_1.01.02_3835_0324.jpg", "viewer_url")</f>
        <v>viewer_url</v>
      </c>
      <c r="P2" t="str">
        <f>HYPERLINK("https://images.diginfra.net/iiif/NL-HaNA_1.01.02/3835/NL-HaNA_1.01.02_3835_0324.jpg/298,1899,1082,1474/full/0/default.jpg", "iiif_url")</f>
        <v>iiif_url</v>
      </c>
      <c r="Q2" t="s">
        <v>24</v>
      </c>
      <c r="R2" t="str">
        <f>HYPERLINK("https://images.diginfra.net/framed3.html?imagesetuuid=473594ee-2ab0-4fbf-9da7-0e9d12acef41&amp;uri=https://images.diginfra.net/iiif/NL-HaNA_1.01.02/3835/NL-HaNA_1.01.02_3835_0326.jpg", "next_meeting_viewer_url")</f>
        <v>next_meeting_viewer_url</v>
      </c>
      <c r="S2" t="str">
        <f>HYPERLINK("https://images.diginfra.net/iiif/NL-HaNA_1.01.02/3835/NL-HaNA_1.01.02_3835_0326.jpg/1302,1995,1015,1371/full/0/default.jpg", "next_meeting_iiif_url")</f>
        <v>next_meeting_iiif_url</v>
      </c>
      <c r="T2" t="s">
        <v>25</v>
      </c>
      <c r="U2" t="str">
        <f>HYPERLINK("https://images.diginfra.net/framed3.html?imagesetuuid=473594ee-2ab0-4fbf-9da7-0e9d12acef41&amp;uri=https://images.diginfra.net/iiif/NL-HaNA_1.01.02/3835/NL-HaNA_1.01.02_3835_0322.jpg", "prev_meeting_viewer_url")</f>
        <v>prev_meeting_viewer_url</v>
      </c>
      <c r="V2" t="str">
        <f>HYPERLINK("https://images.diginfra.net/iiif/NL-HaNA_1.01.02/3835/NL-HaNA_1.01.02_3835_0322.jpg/3295,1886,1034,1422/full/0/default.jpg", "prev_meeting_iiif_url")</f>
        <v>prev_meeting_iiif_url</v>
      </c>
    </row>
    <row r="3" spans="1:22" x14ac:dyDescent="0.2">
      <c r="A3" t="s">
        <v>26</v>
      </c>
      <c r="B3" t="s">
        <v>27</v>
      </c>
      <c r="D3" t="b">
        <v>1</v>
      </c>
      <c r="E3" t="b">
        <v>0</v>
      </c>
      <c r="F3">
        <v>0</v>
      </c>
      <c r="G3" t="s">
        <v>425</v>
      </c>
      <c r="I3">
        <v>3860</v>
      </c>
      <c r="J3">
        <v>138</v>
      </c>
      <c r="K3">
        <v>275</v>
      </c>
      <c r="L3">
        <v>0</v>
      </c>
      <c r="O3" t="str">
        <f>HYPERLINK("None", "viewer_url")</f>
        <v>viewer_url</v>
      </c>
      <c r="P3" t="str">
        <f>HYPERLINK("None", "iiif_url")</f>
        <v>iiif_url</v>
      </c>
      <c r="T3" t="s">
        <v>28</v>
      </c>
      <c r="U3" t="str">
        <f>HYPERLINK("https://images.diginfra.net/framed3.html?imagesetuuid=85a72eaa-4faa-4148-a025-9b1c9fb4c2c1&amp;uri=https://images.diginfra.net/iiif/NL-HaNA_1.01.02/3860/NL-HaNA_1.01.02_3860_0147.jpg", "prev_meeting_viewer_url")</f>
        <v>prev_meeting_viewer_url</v>
      </c>
      <c r="V3" t="str">
        <f>HYPERLINK("https://images.diginfra.net/iiif/NL-HaNA_1.01.02/3860/NL-HaNA_1.01.02_3860_0147.jpg/1211,2752,1030,648/full/0/default.jpg", "prev_meeting_iiif_url")</f>
        <v>prev_meeting_iiif_url</v>
      </c>
    </row>
    <row r="4" spans="1:22" x14ac:dyDescent="0.2">
      <c r="A4" t="s">
        <v>29</v>
      </c>
      <c r="B4" t="s">
        <v>30</v>
      </c>
      <c r="C4" t="s">
        <v>31</v>
      </c>
      <c r="D4" t="b">
        <v>1</v>
      </c>
      <c r="E4" t="b">
        <v>1</v>
      </c>
      <c r="F4">
        <v>1</v>
      </c>
      <c r="H4" t="s">
        <v>32</v>
      </c>
      <c r="I4">
        <v>3773</v>
      </c>
      <c r="J4">
        <v>401</v>
      </c>
      <c r="K4">
        <v>801</v>
      </c>
      <c r="L4">
        <v>1</v>
      </c>
      <c r="M4">
        <v>1</v>
      </c>
      <c r="N4">
        <v>0</v>
      </c>
      <c r="O4" t="str">
        <f>HYPERLINK("https://images.diginfra.net/framed3.html?imagesetuuid=0d0ede5e-a7f6-4a03-b996-493e50528c24&amp;uri=https://images.diginfra.net/iiif/NL-HaNA_1.01.02/3773/NL-HaNA_1.01.02_3773_0401.jpg", "viewer_url")</f>
        <v>viewer_url</v>
      </c>
      <c r="P4" t="str">
        <f>HYPERLINK("https://images.diginfra.net/iiif/NL-HaNA_1.01.02/3773/NL-HaNA_1.01.02_3773_0401.jpg/3368,962,1096,2430/full/0/default.jpg", "iiif_url")</f>
        <v>iiif_url</v>
      </c>
      <c r="Q4" t="s">
        <v>33</v>
      </c>
      <c r="R4" t="str">
        <f>HYPERLINK("https://images.diginfra.net/framed3.html?imagesetuuid=0d0ede5e-a7f6-4a03-b996-493e50528c24&amp;uri=https://images.diginfra.net/iiif/NL-HaNA_1.01.02/3773/NL-HaNA_1.01.02_3773_0404.jpg", "next_meeting_viewer_url")</f>
        <v>next_meeting_viewer_url</v>
      </c>
      <c r="S4" t="str">
        <f>HYPERLINK("https://images.diginfra.net/iiif/NL-HaNA_1.01.02/3773/NL-HaNA_1.01.02_3773_0404.jpg/227,1399,1097,1959/full/0/default.jpg", "next_meeting_iiif_url")</f>
        <v>next_meeting_iiif_url</v>
      </c>
      <c r="T4" t="s">
        <v>34</v>
      </c>
      <c r="U4" t="str">
        <f>HYPERLINK("https://images.diginfra.net/framed3.html?imagesetuuid=0d0ede5e-a7f6-4a03-b996-493e50528c24&amp;uri=https://images.diginfra.net/iiif/NL-HaNA_1.01.02/3773/NL-HaNA_1.01.02_3773_0400.jpg", "prev_meeting_viewer_url")</f>
        <v>prev_meeting_viewer_url</v>
      </c>
      <c r="V4" t="str">
        <f>HYPERLINK("https://images.diginfra.net/iiif/NL-HaNA_1.01.02/3773/NL-HaNA_1.01.02_3773_0400.jpg/3348,2584,1019,845/full/0/default.jpg", "prev_meeting_iiif_url")</f>
        <v>prev_meeting_iiif_url</v>
      </c>
    </row>
    <row r="5" spans="1:22" x14ac:dyDescent="0.2">
      <c r="A5" t="s">
        <v>35</v>
      </c>
      <c r="B5" t="s">
        <v>36</v>
      </c>
      <c r="D5" t="b">
        <v>0</v>
      </c>
      <c r="E5" t="b">
        <v>0</v>
      </c>
      <c r="F5">
        <v>1</v>
      </c>
      <c r="O5" t="str">
        <f>HYPERLINK("None", "viewer_url")</f>
        <v>viewer_url</v>
      </c>
      <c r="P5" t="str">
        <f>HYPERLINK("None", "iiif_url")</f>
        <v>iiif_url</v>
      </c>
      <c r="Q5" t="s">
        <v>37</v>
      </c>
      <c r="R5" t="str">
        <f>HYPERLINK("https://images.diginfra.net/framed3.html?imagesetuuid=2068053a-a1c4-40f9-a503-3778784a1420&amp;uri=https://images.diginfra.net/iiif/NL-HaNA_1.01.02/3812/NL-HaNA_1.01.02_3812_0380.jpg", "next_meeting_viewer_url")</f>
        <v>next_meeting_viewer_url</v>
      </c>
      <c r="S5" t="str">
        <f>HYPERLINK("https://images.diginfra.net/iiif/NL-HaNA_1.01.02/3812/NL-HaNA_1.01.02_3812_0380.jpg/2338,634,1107,2829/full/0/default.jpg", "next_meeting_iiif_url")</f>
        <v>next_meeting_iiif_url</v>
      </c>
      <c r="T5" t="s">
        <v>38</v>
      </c>
      <c r="U5" t="str">
        <f>HYPERLINK("https://images.diginfra.net/framed3.html?imagesetuuid=2068053a-a1c4-40f9-a503-3778784a1420&amp;uri=https://images.diginfra.net/iiif/NL-HaNA_1.01.02/3812/NL-HaNA_1.01.02_3812_0377.jpg", "prev_meeting_viewer_url")</f>
        <v>prev_meeting_viewer_url</v>
      </c>
      <c r="V5" t="str">
        <f>HYPERLINK("https://images.diginfra.net/iiif/NL-HaNA_1.01.02/3812/NL-HaNA_1.01.02_3812_0377.jpg/3372,2320,1054,1040/full/0/default.jpg", "prev_meeting_iiif_url")</f>
        <v>prev_meeting_iiif_url</v>
      </c>
    </row>
    <row r="6" spans="1:22" x14ac:dyDescent="0.2">
      <c r="A6" t="s">
        <v>39</v>
      </c>
      <c r="B6" t="s">
        <v>21</v>
      </c>
      <c r="C6" t="s">
        <v>40</v>
      </c>
      <c r="D6" t="b">
        <v>1</v>
      </c>
      <c r="E6" t="b">
        <v>1</v>
      </c>
      <c r="F6">
        <v>1</v>
      </c>
      <c r="H6" t="s">
        <v>41</v>
      </c>
      <c r="I6">
        <v>3848</v>
      </c>
      <c r="J6">
        <v>133</v>
      </c>
      <c r="K6">
        <v>265</v>
      </c>
      <c r="L6">
        <v>1</v>
      </c>
      <c r="M6">
        <v>2</v>
      </c>
      <c r="N6">
        <v>0</v>
      </c>
      <c r="O6" t="str">
        <f>HYPERLINK("https://images.diginfra.net/framed3.html?imagesetuuid=0359a1ea-7930-4de5-8687-7aa11d9043bd&amp;uri=https://images.diginfra.net/iiif/NL-HaNA_1.01.02/3848/NL-HaNA_1.01.02_3848_0133.jpg", "viewer_url")</f>
        <v>viewer_url</v>
      </c>
      <c r="P6" t="str">
        <f>HYPERLINK("https://images.diginfra.net/iiif/NL-HaNA_1.01.02/3848/NL-HaNA_1.01.02_3848_0133.jpg/3316,1044,1079,2411/full/0/default.jpg", "iiif_url")</f>
        <v>iiif_url</v>
      </c>
      <c r="Q6" t="s">
        <v>42</v>
      </c>
      <c r="R6" t="str">
        <f>HYPERLINK("https://images.diginfra.net/framed3.html?imagesetuuid=0359a1ea-7930-4de5-8687-7aa11d9043bd&amp;uri=https://images.diginfra.net/iiif/NL-HaNA_1.01.02/3848/NL-HaNA_1.01.02_3848_0135.jpg", "next_meeting_viewer_url")</f>
        <v>next_meeting_viewer_url</v>
      </c>
      <c r="S6" t="str">
        <f>HYPERLINK("https://images.diginfra.net/iiif/NL-HaNA_1.01.02/3848/NL-HaNA_1.01.02_3848_0135.jpg/2368,1783,1070,1573/full/0/default.jpg", "next_meeting_iiif_url")</f>
        <v>next_meeting_iiif_url</v>
      </c>
      <c r="T6" t="s">
        <v>43</v>
      </c>
      <c r="U6" t="str">
        <f>HYPERLINK("https://images.diginfra.net/framed3.html?imagesetuuid=0359a1ea-7930-4de5-8687-7aa11d9043bd&amp;uri=https://images.diginfra.net/iiif/NL-HaNA_1.01.02/3848/NL-HaNA_1.01.02_3848_0131.jpg", "prev_meeting_viewer_url")</f>
        <v>prev_meeting_viewer_url</v>
      </c>
      <c r="V6" t="str">
        <f>HYPERLINK("https://images.diginfra.net/iiif/NL-HaNA_1.01.02/3848/NL-HaNA_1.01.02_3848_0131.jpg/2472,1308,1026,2072/full/0/default.jpg", "prev_meeting_iiif_url")</f>
        <v>prev_meeting_iiif_url</v>
      </c>
    </row>
    <row r="7" spans="1:22" x14ac:dyDescent="0.2">
      <c r="A7" t="s">
        <v>44</v>
      </c>
      <c r="B7" t="s">
        <v>45</v>
      </c>
      <c r="C7" t="s">
        <v>46</v>
      </c>
      <c r="D7" t="b">
        <v>1</v>
      </c>
      <c r="E7" t="b">
        <v>1</v>
      </c>
      <c r="F7">
        <v>1</v>
      </c>
      <c r="H7" t="s">
        <v>47</v>
      </c>
      <c r="I7">
        <v>3789</v>
      </c>
      <c r="J7">
        <v>375</v>
      </c>
      <c r="K7">
        <v>748</v>
      </c>
      <c r="L7">
        <v>1</v>
      </c>
      <c r="M7">
        <v>1</v>
      </c>
      <c r="N7">
        <v>0</v>
      </c>
      <c r="O7" t="str">
        <f>HYPERLINK("https://images.diginfra.net/framed3.html?imagesetuuid=b2a3e6f4-5cd7-4539-b0af-036095fc5ec2&amp;uri=https://images.diginfra.net/iiif/NL-HaNA_1.01.02/3789/NL-HaNA_1.01.02_3789_0375.jpg", "viewer_url")</f>
        <v>viewer_url</v>
      </c>
      <c r="P7" t="str">
        <f>HYPERLINK("https://images.diginfra.net/iiif/NL-HaNA_1.01.02/3789/NL-HaNA_1.01.02_3789_0375.jpg/1300,2409,1030,1048/full/0/default.jpg", "iiif_url")</f>
        <v>iiif_url</v>
      </c>
      <c r="Q7" t="s">
        <v>48</v>
      </c>
      <c r="R7" t="str">
        <f>HYPERLINK("https://images.diginfra.net/framed3.html?imagesetuuid=b2a3e6f4-5cd7-4539-b0af-036095fc5ec2&amp;uri=https://images.diginfra.net/iiif/NL-HaNA_1.01.02/3789/NL-HaNA_1.01.02_3789_0377.jpg", "next_meeting_viewer_url")</f>
        <v>next_meeting_viewer_url</v>
      </c>
      <c r="S7" t="str">
        <f>HYPERLINK("https://images.diginfra.net/iiif/NL-HaNA_1.01.02/3789/NL-HaNA_1.01.02_3789_0377.jpg/1249,546,1126,2908/full/0/default.jpg", "next_meeting_iiif_url")</f>
        <v>next_meeting_iiif_url</v>
      </c>
      <c r="T7" t="s">
        <v>49</v>
      </c>
      <c r="U7" t="str">
        <f>HYPERLINK("https://images.diginfra.net/framed3.html?imagesetuuid=b2a3e6f4-5cd7-4539-b0af-036095fc5ec2&amp;uri=https://images.diginfra.net/iiif/NL-HaNA_1.01.02/3789/NL-HaNA_1.01.02_3789_0374.jpg", "prev_meeting_viewer_url")</f>
        <v>prev_meeting_viewer_url</v>
      </c>
      <c r="V7" t="str">
        <f>HYPERLINK("https://images.diginfra.net/iiif/NL-HaNA_1.01.02/3789/NL-HaNA_1.01.02_3789_0374.jpg/2522,2212,1030,1231/full/0/default.jpg", "prev_meeting_iiif_url")</f>
        <v>prev_meeting_iiif_url</v>
      </c>
    </row>
    <row r="8" spans="1:22" x14ac:dyDescent="0.2">
      <c r="A8" t="s">
        <v>50</v>
      </c>
      <c r="B8" t="s">
        <v>21</v>
      </c>
      <c r="C8" t="s">
        <v>51</v>
      </c>
      <c r="D8" t="b">
        <v>1</v>
      </c>
      <c r="E8" t="b">
        <v>1</v>
      </c>
      <c r="F8">
        <v>1</v>
      </c>
      <c r="H8" t="s">
        <v>52</v>
      </c>
      <c r="I8">
        <v>3784</v>
      </c>
      <c r="J8">
        <v>76</v>
      </c>
      <c r="K8">
        <v>150</v>
      </c>
      <c r="L8">
        <v>1</v>
      </c>
      <c r="M8">
        <v>1</v>
      </c>
      <c r="N8">
        <v>0</v>
      </c>
      <c r="O8" t="str">
        <f>HYPERLINK("https://images.diginfra.net/framed3.html?imagesetuuid=cb2f6e2d-502d-41d8-a51c-455c64ed98c9&amp;uri=https://images.diginfra.net/iiif/NL-HaNA_1.01.02/3784/NL-HaNA_1.01.02_3784_0076.jpg", "viewer_url")</f>
        <v>viewer_url</v>
      </c>
      <c r="P8" t="str">
        <f>HYPERLINK("https://images.diginfra.net/iiif/NL-HaNA_1.01.02/3784/NL-HaNA_1.01.02_3784_0076.jpg/1180,1176,1107,2239/full/0/default.jpg", "iiif_url")</f>
        <v>iiif_url</v>
      </c>
      <c r="Q8" t="s">
        <v>53</v>
      </c>
      <c r="R8" t="str">
        <f>HYPERLINK("https://images.diginfra.net/framed3.html?imagesetuuid=cb2f6e2d-502d-41d8-a51c-455c64ed98c9&amp;uri=https://images.diginfra.net/iiif/NL-HaNA_1.01.02/3784/NL-HaNA_1.01.02_3784_0076.jpg", "next_meeting_viewer_url")</f>
        <v>next_meeting_viewer_url</v>
      </c>
      <c r="S8" t="str">
        <f>HYPERLINK("https://images.diginfra.net/iiif/NL-HaNA_1.01.02/3784/NL-HaNA_1.01.02_3784_0076.jpg/3362,2866,1046,549/full/0/default.jpg", "next_meeting_iiif_url")</f>
        <v>next_meeting_iiif_url</v>
      </c>
      <c r="T8" t="s">
        <v>54</v>
      </c>
      <c r="U8" t="str">
        <f>HYPERLINK("https://images.diginfra.net/framed3.html?imagesetuuid=cb2f6e2d-502d-41d8-a51c-455c64ed98c9&amp;uri=https://images.diginfra.net/iiif/NL-HaNA_1.01.02/3784/NL-HaNA_1.01.02_3784_0074.jpg", "prev_meeting_viewer_url")</f>
        <v>prev_meeting_viewer_url</v>
      </c>
      <c r="V8" t="str">
        <f>HYPERLINK("https://images.diginfra.net/iiif/NL-HaNA_1.01.02/3784/NL-HaNA_1.01.02_3784_0074.jpg/3259,496,1105,2965/full/0/default.jpg", "prev_meeting_iiif_url")</f>
        <v>prev_meeting_iiif_url</v>
      </c>
    </row>
    <row r="9" spans="1:22" x14ac:dyDescent="0.2">
      <c r="A9" t="s">
        <v>55</v>
      </c>
      <c r="B9" t="s">
        <v>21</v>
      </c>
      <c r="C9" t="s">
        <v>56</v>
      </c>
      <c r="D9" t="b">
        <v>1</v>
      </c>
      <c r="E9" t="b">
        <v>1</v>
      </c>
      <c r="F9">
        <v>1</v>
      </c>
      <c r="H9" t="s">
        <v>57</v>
      </c>
      <c r="I9">
        <v>3821</v>
      </c>
      <c r="J9">
        <v>328</v>
      </c>
      <c r="K9">
        <v>654</v>
      </c>
      <c r="L9">
        <v>2</v>
      </c>
      <c r="M9">
        <v>2</v>
      </c>
      <c r="N9">
        <v>1</v>
      </c>
      <c r="O9" t="str">
        <f>HYPERLINK("https://images.diginfra.net/framed3.html?imagesetuuid=d2997452-8788-4796-912c-2151f3b459f9&amp;uri=https://images.diginfra.net/iiif/NL-HaNA_1.01.02/3821/NL-HaNA_1.01.02_3821_0328.jpg", "viewer_url")</f>
        <v>viewer_url</v>
      </c>
      <c r="P9" t="str">
        <f>HYPERLINK("https://images.diginfra.net/iiif/NL-HaNA_1.01.02/3821/NL-HaNA_1.01.02_3821_0328.jpg/1156,2486,1097,839/full/0/default.jpg", "iiif_url")</f>
        <v>iiif_url</v>
      </c>
      <c r="Q9" t="s">
        <v>58</v>
      </c>
      <c r="R9" t="str">
        <f>HYPERLINK("https://images.diginfra.net/framed3.html?imagesetuuid=d2997452-8788-4796-912c-2151f3b459f9&amp;uri=https://images.diginfra.net/iiif/NL-HaNA_1.01.02/3821/NL-HaNA_1.01.02_3821_0329.jpg", "next_meeting_viewer_url")</f>
        <v>next_meeting_viewer_url</v>
      </c>
      <c r="S9" t="str">
        <f>HYPERLINK("https://images.diginfra.net/iiif/NL-HaNA_1.01.02/3821/NL-HaNA_1.01.02_3821_0329.jpg/201,2036,1078,1432/full/0/default.jpg", "next_meeting_iiif_url")</f>
        <v>next_meeting_iiif_url</v>
      </c>
    </row>
    <row r="10" spans="1:22" x14ac:dyDescent="0.2">
      <c r="A10" t="s">
        <v>59</v>
      </c>
      <c r="B10" t="s">
        <v>30</v>
      </c>
      <c r="C10" t="s">
        <v>60</v>
      </c>
      <c r="D10" t="b">
        <v>1</v>
      </c>
      <c r="E10" t="b">
        <v>1</v>
      </c>
      <c r="F10">
        <v>1</v>
      </c>
      <c r="H10" t="s">
        <v>61</v>
      </c>
      <c r="I10">
        <v>3831</v>
      </c>
      <c r="J10">
        <v>138</v>
      </c>
      <c r="K10">
        <v>275</v>
      </c>
      <c r="L10">
        <v>0</v>
      </c>
      <c r="M10">
        <v>2</v>
      </c>
      <c r="N10">
        <v>0</v>
      </c>
      <c r="O10" t="str">
        <f>HYPERLINK("https://images.diginfra.net/framed3.html?imagesetuuid=fbccadee-0831-4262-9b53-6f48467f765a&amp;uri=https://images.diginfra.net/iiif/NL-HaNA_1.01.02/3831/NL-HaNA_1.01.02_3831_0138.jpg", "viewer_url")</f>
        <v>viewer_url</v>
      </c>
      <c r="P10" t="str">
        <f>HYPERLINK("https://images.diginfra.net/iiif/NL-HaNA_1.01.02/3831/NL-HaNA_1.01.02_3831_0138.jpg/2438,2835,1022,599/full/0/default.jpg", "iiif_url")</f>
        <v>iiif_url</v>
      </c>
      <c r="Q10" t="s">
        <v>62</v>
      </c>
      <c r="R10" t="str">
        <f>HYPERLINK("https://images.diginfra.net/framed3.html?imagesetuuid=fbccadee-0831-4262-9b53-6f48467f765a&amp;uri=https://images.diginfra.net/iiif/NL-HaNA_1.01.02/3831/NL-HaNA_1.01.02_3831_0140.jpg", "next_meeting_viewer_url")</f>
        <v>next_meeting_viewer_url</v>
      </c>
      <c r="S10" t="str">
        <f>HYPERLINK("https://images.diginfra.net/iiif/NL-HaNA_1.01.02/3831/NL-HaNA_1.01.02_3831_0140.jpg/311,2278,1010,1130/full/0/default.jpg", "next_meeting_iiif_url")</f>
        <v>next_meeting_iiif_url</v>
      </c>
      <c r="T10" t="s">
        <v>63</v>
      </c>
      <c r="U10" t="str">
        <f>HYPERLINK("https://images.diginfra.net/framed3.html?imagesetuuid=fbccadee-0831-4262-9b53-6f48467f765a&amp;uri=https://images.diginfra.net/iiif/NL-HaNA_1.01.02/3831/NL-HaNA_1.01.02_3831_0137.jpg", "prev_meeting_viewer_url")</f>
        <v>prev_meeting_viewer_url</v>
      </c>
      <c r="V10" t="str">
        <f>HYPERLINK("https://images.diginfra.net/iiif/NL-HaNA_1.01.02/3831/NL-HaNA_1.01.02_3831_0137.jpg/276,1201,1058,2214/full/0/default.jpg", "prev_meeting_iiif_url")</f>
        <v>prev_meeting_iiif_url</v>
      </c>
    </row>
    <row r="11" spans="1:22" x14ac:dyDescent="0.2">
      <c r="A11" t="s">
        <v>64</v>
      </c>
      <c r="B11" t="s">
        <v>65</v>
      </c>
      <c r="D11" t="b">
        <v>1</v>
      </c>
      <c r="E11" t="b">
        <v>1</v>
      </c>
      <c r="F11">
        <v>1</v>
      </c>
      <c r="H11" t="s">
        <v>66</v>
      </c>
      <c r="I11">
        <v>3821</v>
      </c>
      <c r="J11">
        <v>301</v>
      </c>
      <c r="K11">
        <v>600</v>
      </c>
      <c r="L11">
        <v>0</v>
      </c>
      <c r="M11">
        <v>1</v>
      </c>
      <c r="N11">
        <v>2</v>
      </c>
      <c r="O11" t="str">
        <f>HYPERLINK("https://images.diginfra.net/framed3.html?imagesetuuid=d2997452-8788-4796-912c-2151f3b459f9&amp;uri=https://images.diginfra.net/iiif/NL-HaNA_1.01.02/3821/NL-HaNA_1.01.02_3821_0301.jpg", "viewer_url")</f>
        <v>viewer_url</v>
      </c>
      <c r="P11" t="str">
        <f>HYPERLINK("https://images.diginfra.net/iiif/NL-HaNA_1.01.02/3821/NL-HaNA_1.01.02_3821_0301.jpg/233,1182,1078,2294/full/0/default.jpg", "iiif_url")</f>
        <v>iiif_url</v>
      </c>
      <c r="Q11" t="s">
        <v>67</v>
      </c>
      <c r="R11" t="str">
        <f>HYPERLINK("https://images.diginfra.net/framed3.html?imagesetuuid=d2997452-8788-4796-912c-2151f3b459f9&amp;uri=https://images.diginfra.net/iiif/NL-HaNA_1.01.02/3821/NL-HaNA_1.01.02_3821_0302.jpg", "next_meeting_viewer_url")</f>
        <v>next_meeting_viewer_url</v>
      </c>
      <c r="S11" t="str">
        <f>HYPERLINK("https://images.diginfra.net/iiif/NL-HaNA_1.01.02/3821/NL-HaNA_1.01.02_3821_0302.jpg/2316,313,1069,3082/full/0/default.jpg", "next_meeting_iiif_url")</f>
        <v>next_meeting_iiif_url</v>
      </c>
      <c r="T11" t="s">
        <v>68</v>
      </c>
      <c r="U11" t="str">
        <f>HYPERLINK("https://images.diginfra.net/framed3.html?imagesetuuid=d2997452-8788-4796-912c-2151f3b459f9&amp;uri=https://images.diginfra.net/iiif/NL-HaNA_1.01.02/3821/NL-HaNA_1.01.02_3821_0299.jpg", "prev_meeting_viewer_url")</f>
        <v>prev_meeting_viewer_url</v>
      </c>
      <c r="V11" t="str">
        <f>HYPERLINK("https://images.diginfra.net/iiif/NL-HaNA_1.01.02/3821/NL-HaNA_1.01.02_3821_0299.jpg/247,1165,1065,2239/full/0/default.jpg", "prev_meeting_iiif_url")</f>
        <v>prev_meeting_iiif_url</v>
      </c>
    </row>
    <row r="12" spans="1:22" x14ac:dyDescent="0.2">
      <c r="A12" t="s">
        <v>69</v>
      </c>
      <c r="B12" t="s">
        <v>21</v>
      </c>
      <c r="C12" t="s">
        <v>70</v>
      </c>
      <c r="D12" t="b">
        <v>1</v>
      </c>
      <c r="E12" t="b">
        <v>1</v>
      </c>
      <c r="F12">
        <v>1</v>
      </c>
      <c r="H12" t="s">
        <v>71</v>
      </c>
      <c r="I12">
        <v>3802</v>
      </c>
      <c r="J12">
        <v>215</v>
      </c>
      <c r="K12">
        <v>429</v>
      </c>
      <c r="L12">
        <v>0</v>
      </c>
      <c r="M12">
        <v>2</v>
      </c>
      <c r="N12">
        <v>0</v>
      </c>
      <c r="O12" t="str">
        <f>HYPERLINK("https://images.diginfra.net/framed3.html?imagesetuuid=42a0dd68-0122-4267-985e-43a657deae45&amp;uri=https://images.diginfra.net/iiif/NL-HaNA_1.01.02/3802/NL-HaNA_1.01.02_3802_0215.jpg", "viewer_url")</f>
        <v>viewer_url</v>
      </c>
      <c r="P12" t="str">
        <f>HYPERLINK("https://images.diginfra.net/iiif/NL-HaNA_1.01.02/3802/NL-HaNA_1.01.02_3802_0215.jpg/2487,2419,1043,1021/full/0/default.jpg", "iiif_url")</f>
        <v>iiif_url</v>
      </c>
      <c r="R12" t="str">
        <f>HYPERLINK("https://images.diginfra.net/framed3.html?imagesetuuid=42a0dd68-0122-4267-985e-43a657deae45&amp;uri=https://images.diginfra.net/iiif/NL-HaNA_1.01.02/3802/NL-HaNA_1.01.02_3802_0216.jpg", "next_meeting_viewer_url")</f>
        <v>next_meeting_viewer_url</v>
      </c>
      <c r="S12" t="str">
        <f>HYPERLINK("https://images.diginfra.net/iiif/NL-HaNA_1.01.02/3802/NL-HaNA_1.01.02_3802_0216.jpg/1208,352,1137,3059/full/0/default.jpg", "next_meeting_iiif_url")</f>
        <v>next_meeting_iiif_url</v>
      </c>
      <c r="T12" t="s">
        <v>72</v>
      </c>
      <c r="U12" t="str">
        <f>HYPERLINK("https://images.diginfra.net/framed3.html?imagesetuuid=42a0dd68-0122-4267-985e-43a657deae45&amp;uri=https://images.diginfra.net/iiif/NL-HaNA_1.01.02/3802/NL-HaNA_1.01.02_3802_0214.jpg", "prev_meeting_viewer_url")</f>
        <v>prev_meeting_viewer_url</v>
      </c>
      <c r="V12" t="str">
        <f>HYPERLINK("https://images.diginfra.net/iiif/NL-HaNA_1.01.02/3802/NL-HaNA_1.01.02_3802_0214.jpg/1293,1752,1048,1676/full/0/default.jpg", "prev_meeting_iiif_url")</f>
        <v>prev_meeting_iiif_url</v>
      </c>
    </row>
    <row r="13" spans="1:22" x14ac:dyDescent="0.2">
      <c r="A13" t="s">
        <v>73</v>
      </c>
      <c r="B13" t="s">
        <v>74</v>
      </c>
      <c r="C13" t="s">
        <v>75</v>
      </c>
      <c r="D13" t="b">
        <v>1</v>
      </c>
      <c r="E13" t="b">
        <v>1</v>
      </c>
      <c r="F13">
        <v>1</v>
      </c>
      <c r="H13" t="s">
        <v>76</v>
      </c>
      <c r="I13">
        <v>3804</v>
      </c>
      <c r="J13">
        <v>420</v>
      </c>
      <c r="K13">
        <v>839</v>
      </c>
      <c r="L13">
        <v>0</v>
      </c>
      <c r="M13">
        <v>1</v>
      </c>
      <c r="N13">
        <v>0</v>
      </c>
      <c r="O13" t="str">
        <f>HYPERLINK("https://images.diginfra.net/framed3.html?imagesetuuid=278358e3-85df-45df-a4c3-0043ae8e62fa&amp;uri=https://images.diginfra.net/iiif/NL-HaNA_1.01.02/3804/NL-HaNA_1.01.02_3804_0420.jpg", "viewer_url")</f>
        <v>viewer_url</v>
      </c>
      <c r="P13" t="str">
        <f>HYPERLINK("https://images.diginfra.net/iiif/NL-HaNA_1.01.02/3804/NL-HaNA_1.01.02_3804_0420.jpg/2426,2449,1095,899/full/0/default.jpg", "iiif_url")</f>
        <v>iiif_url</v>
      </c>
      <c r="R13" t="str">
        <f>HYPERLINK("https://images.diginfra.net/framed3.html?imagesetuuid=278358e3-85df-45df-a4c3-0043ae8e62fa&amp;uri=https://images.diginfra.net/iiif/NL-HaNA_1.01.02/3804/NL-HaNA_1.01.02_3804_0423.jpg", "next_meeting_viewer_url")</f>
        <v>next_meeting_viewer_url</v>
      </c>
      <c r="S13" t="str">
        <f>HYPERLINK("https://images.diginfra.net/iiif/NL-HaNA_1.01.02/3804/NL-HaNA_1.01.02_3804_0423.jpg/283,1560,1093,1882/full/0/default.jpg", "next_meeting_iiif_url")</f>
        <v>next_meeting_iiif_url</v>
      </c>
      <c r="T13" t="s">
        <v>77</v>
      </c>
      <c r="U13" t="str">
        <f>HYPERLINK("https://images.diginfra.net/framed3.html?imagesetuuid=278358e3-85df-45df-a4c3-0043ae8e62fa&amp;uri=https://images.diginfra.net/iiif/NL-HaNA_1.01.02/3804/NL-HaNA_1.01.02_3804_0419.jpg", "prev_meeting_viewer_url")</f>
        <v>prev_meeting_viewer_url</v>
      </c>
      <c r="V13" t="str">
        <f>HYPERLINK("https://images.diginfra.net/iiif/NL-HaNA_1.01.02/3804/NL-HaNA_1.01.02_3804_0419.jpg/1246,1253,1104,2098/full/0/default.jpg", "prev_meeting_iiif_url")</f>
        <v>prev_meeting_iiif_url</v>
      </c>
    </row>
    <row r="14" spans="1:22" x14ac:dyDescent="0.2">
      <c r="A14" t="s">
        <v>78</v>
      </c>
      <c r="B14" t="s">
        <v>36</v>
      </c>
      <c r="D14" t="b">
        <v>0</v>
      </c>
      <c r="E14" t="b">
        <v>0</v>
      </c>
      <c r="F14">
        <v>1</v>
      </c>
      <c r="O14" t="str">
        <f>HYPERLINK("None", "viewer_url")</f>
        <v>viewer_url</v>
      </c>
      <c r="P14" t="str">
        <f>HYPERLINK("None", "iiif_url")</f>
        <v>iiif_url</v>
      </c>
      <c r="Q14" t="s">
        <v>79</v>
      </c>
      <c r="R14" t="str">
        <f>HYPERLINK("https://images.diginfra.net/framed3.html?imagesetuuid=5debb5c6-ae39-480e-845e-6e10690f8984&amp;uri=https://images.diginfra.net/iiif/NL-HaNA_1.01.02/3794/NL-HaNA_1.01.02_3794_0058.jpg", "next_meeting_viewer_url")</f>
        <v>next_meeting_viewer_url</v>
      </c>
      <c r="S14" t="str">
        <f>HYPERLINK("https://images.diginfra.net/iiif/NL-HaNA_1.01.02/3794/NL-HaNA_1.01.02_3794_0058.jpg/1267,1695,1086,1605/full/0/default.jpg", "next_meeting_iiif_url")</f>
        <v>next_meeting_iiif_url</v>
      </c>
      <c r="T14" t="s">
        <v>80</v>
      </c>
      <c r="U14" t="str">
        <f>HYPERLINK("https://images.diginfra.net/framed3.html?imagesetuuid=5debb5c6-ae39-480e-845e-6e10690f8984&amp;uri=https://images.diginfra.net/iiif/NL-HaNA_1.01.02/3794/NL-HaNA_1.01.02_3794_0057.jpg", "prev_meeting_viewer_url")</f>
        <v>prev_meeting_viewer_url</v>
      </c>
      <c r="V14" t="str">
        <f>HYPERLINK("https://images.diginfra.net/iiif/NL-HaNA_1.01.02/3794/NL-HaNA_1.01.02_3794_0057.jpg/3421,2367,1035,1060/full/0/default.jpg", "prev_meeting_iiif_url")</f>
        <v>prev_meeting_iiif_url</v>
      </c>
    </row>
    <row r="15" spans="1:22" x14ac:dyDescent="0.2">
      <c r="A15" t="s">
        <v>81</v>
      </c>
      <c r="B15" t="s">
        <v>27</v>
      </c>
      <c r="C15" t="s">
        <v>82</v>
      </c>
      <c r="D15" t="b">
        <v>1</v>
      </c>
      <c r="E15" t="b">
        <v>1</v>
      </c>
      <c r="F15">
        <v>1</v>
      </c>
      <c r="H15" t="s">
        <v>83</v>
      </c>
      <c r="I15">
        <v>3801</v>
      </c>
      <c r="J15">
        <v>109</v>
      </c>
      <c r="K15">
        <v>217</v>
      </c>
      <c r="L15">
        <v>1</v>
      </c>
      <c r="M15">
        <v>3</v>
      </c>
      <c r="N15">
        <v>0</v>
      </c>
      <c r="O15" t="str">
        <f>HYPERLINK("https://images.diginfra.net/framed3.html?imagesetuuid=f36c8416-59a8-4b1a-a82a-ef225cbd1971&amp;uri=https://images.diginfra.net/iiif/NL-HaNA_1.01.02/3801/NL-HaNA_1.01.02_3801_0109.jpg", "viewer_url")</f>
        <v>viewer_url</v>
      </c>
      <c r="P15" t="str">
        <f>HYPERLINK("https://images.diginfra.net/iiif/NL-HaNA_1.01.02/3801/NL-HaNA_1.01.02_3801_0109.jpg/3434,2557,1037,847/full/0/default.jpg", "iiif_url")</f>
        <v>iiif_url</v>
      </c>
      <c r="Q15" t="s">
        <v>84</v>
      </c>
      <c r="R15" t="str">
        <f>HYPERLINK("https://images.diginfra.net/framed3.html?imagesetuuid=f36c8416-59a8-4b1a-a82a-ef225cbd1971&amp;uri=https://images.diginfra.net/iiif/NL-HaNA_1.01.02/3801/NL-HaNA_1.01.02_3801_0111.jpg", "next_meeting_viewer_url")</f>
        <v>next_meeting_viewer_url</v>
      </c>
      <c r="S15" t="str">
        <f>HYPERLINK("https://images.diginfra.net/iiif/NL-HaNA_1.01.02/3801/NL-HaNA_1.01.02_3801_0111.jpg/1296,1544,1103,1816/full/0/default.jpg", "next_meeting_iiif_url")</f>
        <v>next_meeting_iiif_url</v>
      </c>
      <c r="T15" t="s">
        <v>85</v>
      </c>
      <c r="U15" t="str">
        <f>HYPERLINK("https://images.diginfra.net/framed3.html?imagesetuuid=f36c8416-59a8-4b1a-a82a-ef225cbd1971&amp;uri=https://images.diginfra.net/iiif/NL-HaNA_1.01.02/3801/NL-HaNA_1.01.02_3801_0109.jpg", "prev_meeting_viewer_url")</f>
        <v>prev_meeting_viewer_url</v>
      </c>
      <c r="V15" t="str">
        <f>HYPERLINK("https://images.diginfra.net/iiif/NL-HaNA_1.01.02/3801/NL-HaNA_1.01.02_3801_0109.jpg/373,2315,1029,1012/full/0/default.jpg", "prev_meeting_iiif_url")</f>
        <v>prev_meeting_iiif_url</v>
      </c>
    </row>
    <row r="16" spans="1:22" x14ac:dyDescent="0.2">
      <c r="A16" t="s">
        <v>86</v>
      </c>
      <c r="B16" t="s">
        <v>21</v>
      </c>
      <c r="C16" t="s">
        <v>87</v>
      </c>
      <c r="D16" t="b">
        <v>1</v>
      </c>
      <c r="E16" t="b">
        <v>1</v>
      </c>
      <c r="F16">
        <v>1</v>
      </c>
      <c r="H16" t="s">
        <v>88</v>
      </c>
      <c r="I16">
        <v>3853</v>
      </c>
      <c r="J16">
        <v>309</v>
      </c>
      <c r="K16">
        <v>617</v>
      </c>
      <c r="L16">
        <v>0</v>
      </c>
      <c r="M16">
        <v>2</v>
      </c>
      <c r="N16">
        <v>0</v>
      </c>
      <c r="O16" t="str">
        <f>HYPERLINK("https://images.diginfra.net/framed3.html?imagesetuuid=70af21ed-3dea-44e0-a125-396f50f1c89e&amp;uri=https://images.diginfra.net/iiif/NL-HaNA_1.01.02/3853/NL-HaNA_1.01.02_3853_0309.jpg", "viewer_url")</f>
        <v>viewer_url</v>
      </c>
      <c r="P16" t="str">
        <f>HYPERLINK("https://images.diginfra.net/iiif/NL-HaNA_1.01.02/3853/NL-HaNA_1.01.02_3853_0309.jpg/2515,1715,1070,1664/full/0/default.jpg", "iiif_url")</f>
        <v>iiif_url</v>
      </c>
      <c r="Q16" t="s">
        <v>89</v>
      </c>
      <c r="R16" t="str">
        <f>HYPERLINK("https://images.diginfra.net/framed3.html?imagesetuuid=70af21ed-3dea-44e0-a125-396f50f1c89e&amp;uri=https://images.diginfra.net/iiif/NL-HaNA_1.01.02/3853/NL-HaNA_1.01.02_3853_0313.jpg", "next_meeting_viewer_url")</f>
        <v>next_meeting_viewer_url</v>
      </c>
      <c r="S16" t="str">
        <f>HYPERLINK("https://images.diginfra.net/iiif/NL-HaNA_1.01.02/3853/NL-HaNA_1.01.02_3853_0313.jpg/2462,1382,1083,1980/full/0/default.jpg", "next_meeting_iiif_url")</f>
        <v>next_meeting_iiif_url</v>
      </c>
      <c r="T16" t="s">
        <v>90</v>
      </c>
      <c r="U16" t="str">
        <f>HYPERLINK("https://images.diginfra.net/framed3.html?imagesetuuid=70af21ed-3dea-44e0-a125-396f50f1c89e&amp;uri=https://images.diginfra.net/iiif/NL-HaNA_1.01.02/3853/NL-HaNA_1.01.02_3853_0308.jpg", "prev_meeting_viewer_url")</f>
        <v>prev_meeting_viewer_url</v>
      </c>
      <c r="V16" t="str">
        <f>HYPERLINK("https://images.diginfra.net/iiif/NL-HaNA_1.01.02/3853/NL-HaNA_1.01.02_3853_0308.jpg/353,2493,1024,882/full/0/default.jpg", "prev_meeting_iiif_url")</f>
        <v>prev_meeting_iiif_url</v>
      </c>
    </row>
    <row r="17" spans="1:22" x14ac:dyDescent="0.2">
      <c r="A17" t="s">
        <v>91</v>
      </c>
      <c r="B17" t="s">
        <v>21</v>
      </c>
      <c r="C17" t="s">
        <v>92</v>
      </c>
      <c r="D17" t="b">
        <v>1</v>
      </c>
      <c r="E17" t="b">
        <v>1</v>
      </c>
      <c r="F17">
        <v>1</v>
      </c>
      <c r="H17" t="s">
        <v>93</v>
      </c>
      <c r="I17">
        <v>3793</v>
      </c>
      <c r="J17">
        <v>244</v>
      </c>
      <c r="K17">
        <v>486</v>
      </c>
      <c r="L17">
        <v>0</v>
      </c>
      <c r="M17">
        <v>1</v>
      </c>
      <c r="N17">
        <v>0</v>
      </c>
      <c r="O17" t="str">
        <f>HYPERLINK("https://images.diginfra.net/framed3.html?imagesetuuid=8305a309-5c79-4c0c-a981-7e350c76be32&amp;uri=https://images.diginfra.net/iiif/NL-HaNA_1.01.02/3793/NL-HaNA_1.01.02_3793_0244.jpg", "viewer_url")</f>
        <v>viewer_url</v>
      </c>
      <c r="P17" t="str">
        <f>HYPERLINK("https://images.diginfra.net/iiif/NL-HaNA_1.01.02/3793/NL-HaNA_1.01.02_3793_0244.jpg/292,610,1083,2590/full/0/default.jpg", "iiif_url")</f>
        <v>iiif_url</v>
      </c>
      <c r="T17" t="s">
        <v>94</v>
      </c>
      <c r="U17" t="str">
        <f>HYPERLINK("https://images.diginfra.net/framed3.html?imagesetuuid=8305a309-5c79-4c0c-a981-7e350c76be32&amp;uri=https://images.diginfra.net/iiif/NL-HaNA_1.01.02/3793/NL-HaNA_1.01.02_3793_0243.jpg", "prev_meeting_viewer_url")</f>
        <v>prev_meeting_viewer_url</v>
      </c>
      <c r="V17" t="str">
        <f>HYPERLINK("https://images.diginfra.net/iiif/NL-HaNA_1.01.02/3793/NL-HaNA_1.01.02_3793_0243.jpg/2429,447,1106,2916/full/0/default.jpg", "prev_meeting_iiif_url")</f>
        <v>prev_meeting_iiif_url</v>
      </c>
    </row>
    <row r="18" spans="1:22" x14ac:dyDescent="0.2">
      <c r="A18" t="s">
        <v>95</v>
      </c>
      <c r="B18" t="s">
        <v>74</v>
      </c>
      <c r="C18" t="s">
        <v>96</v>
      </c>
      <c r="D18" t="b">
        <v>1</v>
      </c>
      <c r="E18" t="b">
        <v>1</v>
      </c>
      <c r="F18">
        <v>1</v>
      </c>
      <c r="H18" t="s">
        <v>97</v>
      </c>
      <c r="I18">
        <v>3803</v>
      </c>
      <c r="J18">
        <v>299</v>
      </c>
      <c r="K18">
        <v>597</v>
      </c>
      <c r="L18">
        <v>1</v>
      </c>
      <c r="M18">
        <v>2</v>
      </c>
      <c r="N18">
        <v>0</v>
      </c>
      <c r="O18" t="str">
        <f>HYPERLINK("https://images.diginfra.net/framed3.html?imagesetuuid=38df7783-1913-47c1-b96e-bdb08c6574dc&amp;uri=https://images.diginfra.net/iiif/NL-HaNA_1.01.02/3803/NL-HaNA_1.01.02_3803_0299.jpg", "viewer_url")</f>
        <v>viewer_url</v>
      </c>
      <c r="P18" t="str">
        <f>HYPERLINK("https://images.diginfra.net/iiif/NL-HaNA_1.01.02/3803/NL-HaNA_1.01.02_3803_0299.jpg/3361,2514,1041,835/full/0/default.jpg", "iiif_url")</f>
        <v>iiif_url</v>
      </c>
      <c r="Q18" t="s">
        <v>98</v>
      </c>
      <c r="R18" t="str">
        <f>HYPERLINK("https://images.diginfra.net/framed3.html?imagesetuuid=38df7783-1913-47c1-b96e-bdb08c6574dc&amp;uri=https://images.diginfra.net/iiif/NL-HaNA_1.01.02/3803/NL-HaNA_1.01.02_3803_0300.jpg", "next_meeting_viewer_url")</f>
        <v>next_meeting_viewer_url</v>
      </c>
      <c r="S18" t="str">
        <f>HYPERLINK("https://images.diginfra.net/iiif/NL-HaNA_1.01.02/3803/NL-HaNA_1.01.02_3803_0300.jpg/3317,1343,1102,2042/full/0/default.jpg", "next_meeting_iiif_url")</f>
        <v>next_meeting_iiif_url</v>
      </c>
      <c r="T18" t="s">
        <v>99</v>
      </c>
      <c r="U18" t="str">
        <f>HYPERLINK("https://images.diginfra.net/framed3.html?imagesetuuid=38df7783-1913-47c1-b96e-bdb08c6574dc&amp;uri=https://images.diginfra.net/iiif/NL-HaNA_1.01.02/3803/NL-HaNA_1.01.02_3803_0297.jpg", "prev_meeting_viewer_url")</f>
        <v>prev_meeting_viewer_url</v>
      </c>
      <c r="V18" t="str">
        <f>HYPERLINK("https://images.diginfra.net/iiif/NL-HaNA_1.01.02/3803/NL-HaNA_1.01.02_3803_0297.jpg/3331,2379,1026,1018/full/0/default.jpg", "prev_meeting_iiif_url")</f>
        <v>prev_meeting_iiif_url</v>
      </c>
    </row>
    <row r="19" spans="1:22" x14ac:dyDescent="0.2">
      <c r="A19" t="s">
        <v>100</v>
      </c>
      <c r="B19" t="s">
        <v>21</v>
      </c>
      <c r="C19" t="s">
        <v>101</v>
      </c>
      <c r="D19" t="b">
        <v>1</v>
      </c>
      <c r="E19" t="b">
        <v>1</v>
      </c>
      <c r="F19">
        <v>1</v>
      </c>
      <c r="H19" t="s">
        <v>102</v>
      </c>
      <c r="I19">
        <v>3781</v>
      </c>
      <c r="J19">
        <v>419</v>
      </c>
      <c r="K19">
        <v>837</v>
      </c>
      <c r="L19">
        <v>1</v>
      </c>
      <c r="M19">
        <v>2</v>
      </c>
      <c r="N19">
        <v>0</v>
      </c>
      <c r="O19" t="str">
        <f>HYPERLINK("https://images.diginfra.net/framed3.html?imagesetuuid=7806433b-7f26-4d4e-8e76-37d108a188de&amp;uri=https://images.diginfra.net/iiif/NL-HaNA_1.01.02/3781/NL-HaNA_1.01.02_3781_0419.jpg", "viewer_url")</f>
        <v>viewer_url</v>
      </c>
      <c r="P19" t="str">
        <f>HYPERLINK("https://images.diginfra.net/iiif/NL-HaNA_1.01.02/3781/NL-HaNA_1.01.02_3781_0419.jpg/3409,1858,1104,1599/full/0/default.jpg", "iiif_url")</f>
        <v>iiif_url</v>
      </c>
      <c r="Q19" t="s">
        <v>103</v>
      </c>
      <c r="R19" t="str">
        <f>HYPERLINK("https://images.diginfra.net/framed3.html?imagesetuuid=7806433b-7f26-4d4e-8e76-37d108a188de&amp;uri=https://images.diginfra.net/iiif/NL-HaNA_1.01.02/3781/NL-HaNA_1.01.02_3781_0421.jpg", "next_meeting_viewer_url")</f>
        <v>next_meeting_viewer_url</v>
      </c>
      <c r="S19" t="str">
        <f>HYPERLINK("https://images.diginfra.net/iiif/NL-HaNA_1.01.02/3781/NL-HaNA_1.01.02_3781_0421.jpg/278,1183,1099,2245/full/0/default.jpg", "next_meeting_iiif_url")</f>
        <v>next_meeting_iiif_url</v>
      </c>
      <c r="T19" t="s">
        <v>104</v>
      </c>
      <c r="U19" t="str">
        <f>HYPERLINK("https://images.diginfra.net/framed3.html?imagesetuuid=7806433b-7f26-4d4e-8e76-37d108a188de&amp;uri=https://images.diginfra.net/iiif/NL-HaNA_1.01.02/3781/NL-HaNA_1.01.02_3781_0418.jpg", "prev_meeting_viewer_url")</f>
        <v>prev_meeting_viewer_url</v>
      </c>
      <c r="V19" t="str">
        <f>HYPERLINK("https://images.diginfra.net/iiif/NL-HaNA_1.01.02/3781/NL-HaNA_1.01.02_3781_0418.jpg/1205,460,1118,2928/full/0/default.jpg", "prev_meeting_iiif_url")</f>
        <v>prev_meeting_iiif_url</v>
      </c>
    </row>
    <row r="20" spans="1:22" x14ac:dyDescent="0.2">
      <c r="A20" t="s">
        <v>105</v>
      </c>
      <c r="B20" t="s">
        <v>74</v>
      </c>
      <c r="C20" t="s">
        <v>106</v>
      </c>
      <c r="D20" t="b">
        <v>1</v>
      </c>
      <c r="E20" t="b">
        <v>1</v>
      </c>
      <c r="F20">
        <v>1</v>
      </c>
      <c r="H20" t="s">
        <v>107</v>
      </c>
      <c r="I20">
        <v>3774</v>
      </c>
      <c r="J20">
        <v>50</v>
      </c>
      <c r="K20">
        <v>98</v>
      </c>
      <c r="L20">
        <v>0</v>
      </c>
      <c r="M20">
        <v>0</v>
      </c>
      <c r="N20">
        <v>0</v>
      </c>
      <c r="O20" t="str">
        <f>HYPERLINK("https://images.diginfra.net/framed3.html?imagesetuuid=a94d24a1-7932-4b81-a3e6-04161d471ec1&amp;uri=https://images.diginfra.net/iiif/NL-HaNA_1.01.02/3774/NL-HaNA_1.01.02_3774_0050.jpg", "viewer_url")</f>
        <v>viewer_url</v>
      </c>
      <c r="P20" t="str">
        <f>HYPERLINK("https://images.diginfra.net/iiif/NL-HaNA_1.01.02/3774/NL-HaNA_1.01.02_3774_0050.jpg/281,259,1098,3126/full/0/default.jpg", "iiif_url")</f>
        <v>iiif_url</v>
      </c>
      <c r="T20" t="s">
        <v>108</v>
      </c>
      <c r="U20" t="str">
        <f>HYPERLINK("https://images.diginfra.net/framed3.html?imagesetuuid=a94d24a1-7932-4b81-a3e6-04161d471ec1&amp;uri=https://images.diginfra.net/iiif/NL-HaNA_1.01.02/3774/NL-HaNA_1.01.02_3774_0049.jpg", "prev_meeting_viewer_url")</f>
        <v>prev_meeting_viewer_url</v>
      </c>
      <c r="V20" t="str">
        <f>HYPERLINK("https://images.diginfra.net/iiif/NL-HaNA_1.01.02/3774/NL-HaNA_1.01.02_3774_0049.jpg/305,1777,1087,1671/full/0/default.jpg", "prev_meeting_iiif_url")</f>
        <v>prev_meeting_iiif_url</v>
      </c>
    </row>
    <row r="21" spans="1:22" x14ac:dyDescent="0.2">
      <c r="A21" t="s">
        <v>109</v>
      </c>
      <c r="B21" t="s">
        <v>65</v>
      </c>
      <c r="C21" t="s">
        <v>110</v>
      </c>
      <c r="D21" t="b">
        <v>1</v>
      </c>
      <c r="E21" t="b">
        <v>1</v>
      </c>
      <c r="F21">
        <v>1</v>
      </c>
      <c r="H21" t="s">
        <v>111</v>
      </c>
      <c r="I21">
        <v>3827</v>
      </c>
      <c r="J21">
        <v>355</v>
      </c>
      <c r="K21">
        <v>709</v>
      </c>
      <c r="L21">
        <v>0</v>
      </c>
      <c r="M21">
        <v>1</v>
      </c>
      <c r="N21">
        <v>7</v>
      </c>
      <c r="O21" t="str">
        <f>HYPERLINK("https://images.diginfra.net/framed3.html?imagesetuuid=cb4f4e9c-bdd8-4992-9de8-6ddd9348148f&amp;uri=https://images.diginfra.net/iiif/NL-HaNA_1.01.02/3827/NL-HaNA_1.01.02_3827_0355.jpg", "viewer_url")</f>
        <v>viewer_url</v>
      </c>
      <c r="P21" t="str">
        <f>HYPERLINK("https://images.diginfra.net/iiif/NL-HaNA_1.01.02/3827/NL-HaNA_1.01.02_3827_0355.jpg/3260,1534,1071,1692/full/0/default.jpg", "iiif_url")</f>
        <v>iiif_url</v>
      </c>
      <c r="Q21" t="s">
        <v>112</v>
      </c>
      <c r="R21" t="str">
        <f>HYPERLINK("https://images.diginfra.net/framed3.html?imagesetuuid=cb4f4e9c-bdd8-4992-9de8-6ddd9348148f&amp;uri=https://images.diginfra.net/iiif/NL-HaNA_1.01.02/3827/NL-HaNA_1.01.02_3827_0357.jpg", "next_meeting_viewer_url")</f>
        <v>next_meeting_viewer_url</v>
      </c>
      <c r="S21" t="str">
        <f>HYPERLINK("https://images.diginfra.net/iiif/NL-HaNA_1.01.02/3827/NL-HaNA_1.01.02_3827_0357.jpg/218,1040,1078,2249/full/0/default.jpg", "next_meeting_iiif_url")</f>
        <v>next_meeting_iiif_url</v>
      </c>
      <c r="T21" t="s">
        <v>113</v>
      </c>
      <c r="U21" t="str">
        <f>HYPERLINK("https://images.diginfra.net/framed3.html?imagesetuuid=cb4f4e9c-bdd8-4992-9de8-6ddd9348148f&amp;uri=https://images.diginfra.net/iiif/NL-HaNA_1.01.02/3827/NL-HaNA_1.01.02_3827_0355.jpg", "prev_meeting_viewer_url")</f>
        <v>prev_meeting_viewer_url</v>
      </c>
      <c r="V21" t="str">
        <f>HYPERLINK("https://images.diginfra.net/iiif/NL-HaNA_1.01.02/3827/NL-HaNA_1.01.02_3827_0355.jpg/202,668,1080,2679/full/0/default.jpg", "prev_meeting_iiif_url")</f>
        <v>prev_meeting_iiif_url</v>
      </c>
    </row>
    <row r="22" spans="1:22" x14ac:dyDescent="0.2">
      <c r="A22" t="s">
        <v>114</v>
      </c>
      <c r="B22" t="s">
        <v>36</v>
      </c>
      <c r="D22" t="b">
        <v>0</v>
      </c>
      <c r="E22" t="b">
        <v>0</v>
      </c>
      <c r="F22">
        <v>1</v>
      </c>
      <c r="O22" t="str">
        <f>HYPERLINK("None", "viewer_url")</f>
        <v>viewer_url</v>
      </c>
      <c r="P22" t="str">
        <f>HYPERLINK("None", "iiif_url")</f>
        <v>iiif_url</v>
      </c>
      <c r="Q22" t="s">
        <v>115</v>
      </c>
      <c r="R22" t="str">
        <f>HYPERLINK("https://images.diginfra.net/framed3.html?imagesetuuid=bd074b51-3206-4dd9-b65b-2a404481d480&amp;uri=https://images.diginfra.net/iiif/NL-HaNA_1.01.02/3839/NL-HaNA_1.01.02_3839_0037.jpg", "next_meeting_viewer_url")</f>
        <v>next_meeting_viewer_url</v>
      </c>
      <c r="S22" t="str">
        <f>HYPERLINK("https://images.diginfra.net/iiif/NL-HaNA_1.01.02/3839/NL-HaNA_1.01.02_3839_0037.jpg/323,1573,1060,1850/full/0/default.jpg", "next_meeting_iiif_url")</f>
        <v>next_meeting_iiif_url</v>
      </c>
      <c r="T22" t="s">
        <v>116</v>
      </c>
      <c r="U22" t="str">
        <f>HYPERLINK("https://images.diginfra.net/framed3.html?imagesetuuid=bd074b51-3206-4dd9-b65b-2a404481d480&amp;uri=https://images.diginfra.net/iiif/NL-HaNA_1.01.02/3839/NL-HaNA_1.01.02_3839_0036.jpg", "prev_meeting_viewer_url")</f>
        <v>prev_meeting_viewer_url</v>
      </c>
      <c r="V22" t="str">
        <f>HYPERLINK("https://images.diginfra.net/iiif/NL-HaNA_1.01.02/3839/NL-HaNA_1.01.02_3839_0036.jpg/2359,1527,1055,1944/full/0/default.jpg", "prev_meeting_iiif_url")</f>
        <v>prev_meeting_iiif_url</v>
      </c>
    </row>
    <row r="23" spans="1:22" x14ac:dyDescent="0.2">
      <c r="A23" t="s">
        <v>117</v>
      </c>
      <c r="B23" t="s">
        <v>36</v>
      </c>
      <c r="D23" t="b">
        <v>0</v>
      </c>
      <c r="E23" t="b">
        <v>0</v>
      </c>
      <c r="F23">
        <v>1</v>
      </c>
      <c r="O23" t="str">
        <f>HYPERLINK("None", "viewer_url")</f>
        <v>viewer_url</v>
      </c>
      <c r="P23" t="str">
        <f>HYPERLINK("None", "iiif_url")</f>
        <v>iiif_url</v>
      </c>
      <c r="Q23" t="s">
        <v>118</v>
      </c>
      <c r="R23" t="str">
        <f>HYPERLINK("https://images.diginfra.net/framed3.html?imagesetuuid=667a361b-2da9-4c45-8d66-09c8b98015ec&amp;uri=https://images.diginfra.net/iiif/NL-HaNA_1.01.02/3858/NL-HaNA_1.01.02_3858_0146.jpg", "next_meeting_viewer_url")</f>
        <v>next_meeting_viewer_url</v>
      </c>
      <c r="S23" t="str">
        <f>HYPERLINK("https://images.diginfra.net/iiif/NL-HaNA_1.01.02/3858/NL-HaNA_1.01.02_3858_0146.jpg/2398,2379,1001,1087/full/0/default.jpg", "next_meeting_iiif_url")</f>
        <v>next_meeting_iiif_url</v>
      </c>
      <c r="T23" t="s">
        <v>119</v>
      </c>
      <c r="U23" t="str">
        <f>HYPERLINK("https://images.diginfra.net/framed3.html?imagesetuuid=667a361b-2da9-4c45-8d66-09c8b98015ec&amp;uri=https://images.diginfra.net/iiif/NL-HaNA_1.01.02/3858/NL-HaNA_1.01.02_3858_0144.jpg", "prev_meeting_viewer_url")</f>
        <v>prev_meeting_viewer_url</v>
      </c>
      <c r="V23" t="str">
        <f>HYPERLINK("https://images.diginfra.net/iiif/NL-HaNA_1.01.02/3858/NL-HaNA_1.01.02_3858_0144.jpg/314,2179,1021,1236/full/0/default.jpg", "prev_meeting_iiif_url")</f>
        <v>prev_meeting_iiif_url</v>
      </c>
    </row>
    <row r="24" spans="1:22" x14ac:dyDescent="0.2">
      <c r="A24" t="s">
        <v>120</v>
      </c>
      <c r="B24" t="s">
        <v>45</v>
      </c>
      <c r="D24" t="b">
        <v>0</v>
      </c>
      <c r="E24" t="b">
        <v>0</v>
      </c>
      <c r="F24">
        <v>1</v>
      </c>
      <c r="O24" t="str">
        <f>HYPERLINK("None", "viewer_url")</f>
        <v>viewer_url</v>
      </c>
      <c r="P24" t="str">
        <f>HYPERLINK("None", "iiif_url")</f>
        <v>iiif_url</v>
      </c>
      <c r="Q24" t="s">
        <v>121</v>
      </c>
      <c r="R24" t="str">
        <f>HYPERLINK("https://images.diginfra.net/framed3.html?imagesetuuid=a95427fd-d131-4f1b-a2ee-069d038f458a&amp;uri=https://images.diginfra.net/iiif/NL-HaNA_1.01.02/3814/NL-HaNA_1.01.02_3814_0285.jpg", "next_meeting_viewer_url")</f>
        <v>next_meeting_viewer_url</v>
      </c>
      <c r="S24" t="str">
        <f>HYPERLINK("https://images.diginfra.net/iiif/NL-HaNA_1.01.02/3814/NL-HaNA_1.01.02_3814_0285.jpg/3599,2731,738,633/full/0/default.jpg", "next_meeting_iiif_url")</f>
        <v>next_meeting_iiif_url</v>
      </c>
      <c r="T24" t="s">
        <v>122</v>
      </c>
      <c r="U24" t="str">
        <f>HYPERLINK("https://images.diginfra.net/framed3.html?imagesetuuid=a95427fd-d131-4f1b-a2ee-069d038f458a&amp;uri=https://images.diginfra.net/iiif/NL-HaNA_1.01.02/3814/NL-HaNA_1.01.02_3814_0284.jpg", "prev_meeting_viewer_url")</f>
        <v>prev_meeting_viewer_url</v>
      </c>
      <c r="V24" t="str">
        <f>HYPERLINK("https://images.diginfra.net/iiif/NL-HaNA_1.01.02/3814/NL-HaNA_1.01.02_3814_0284.jpg/328,748,1100,2631/full/0/default.jpg", "prev_meeting_iiif_url")</f>
        <v>prev_meeting_iiif_url</v>
      </c>
    </row>
    <row r="25" spans="1:22" x14ac:dyDescent="0.2">
      <c r="A25" t="s">
        <v>123</v>
      </c>
      <c r="B25" t="s">
        <v>30</v>
      </c>
      <c r="C25" t="s">
        <v>124</v>
      </c>
      <c r="D25" t="b">
        <v>1</v>
      </c>
      <c r="E25" t="b">
        <v>1</v>
      </c>
      <c r="F25">
        <v>1</v>
      </c>
      <c r="H25" t="s">
        <v>125</v>
      </c>
      <c r="I25">
        <v>3831</v>
      </c>
      <c r="J25">
        <v>186</v>
      </c>
      <c r="K25">
        <v>370</v>
      </c>
      <c r="L25">
        <v>0</v>
      </c>
      <c r="M25">
        <v>0</v>
      </c>
      <c r="N25">
        <v>0</v>
      </c>
      <c r="O25" t="str">
        <f>HYPERLINK("https://images.diginfra.net/framed3.html?imagesetuuid=fbccadee-0831-4262-9b53-6f48467f765a&amp;uri=https://images.diginfra.net/iiif/NL-HaNA_1.01.02/3831/NL-HaNA_1.01.02_3831_0186.jpg", "viewer_url")</f>
        <v>viewer_url</v>
      </c>
      <c r="P25" t="str">
        <f>HYPERLINK("https://images.diginfra.net/iiif/NL-HaNA_1.01.02/3831/NL-HaNA_1.01.02_3831_0186.jpg/253,278,1103,3122/full/0/default.jpg", "iiif_url")</f>
        <v>iiif_url</v>
      </c>
      <c r="Q25" t="s">
        <v>126</v>
      </c>
      <c r="R25" t="str">
        <f>HYPERLINK("https://images.diginfra.net/framed3.html?imagesetuuid=fbccadee-0831-4262-9b53-6f48467f765a&amp;uri=https://images.diginfra.net/iiif/NL-HaNA_1.01.02/3831/NL-HaNA_1.01.02_3831_0188.jpg", "next_meeting_viewer_url")</f>
        <v>next_meeting_viewer_url</v>
      </c>
      <c r="S25" t="str">
        <f>HYPERLINK("https://images.diginfra.net/iiif/NL-HaNA_1.01.02/3831/NL-HaNA_1.01.02_3831_0188.jpg/2365,1304,1066,2097/full/0/default.jpg", "next_meeting_iiif_url")</f>
        <v>next_meeting_iiif_url</v>
      </c>
      <c r="T25" t="s">
        <v>127</v>
      </c>
      <c r="U25" t="str">
        <f>HYPERLINK("https://images.diginfra.net/framed3.html?imagesetuuid=fbccadee-0831-4262-9b53-6f48467f765a&amp;uri=https://images.diginfra.net/iiif/NL-HaNA_1.01.02/3831/NL-HaNA_1.01.02_3831_0184.jpg", "prev_meeting_viewer_url")</f>
        <v>prev_meeting_viewer_url</v>
      </c>
      <c r="V25" t="str">
        <f>HYPERLINK("https://images.diginfra.net/iiif/NL-HaNA_1.01.02/3831/NL-HaNA_1.01.02_3831_0184.jpg/1180,839,1097,2533/full/0/default.jpg", "prev_meeting_iiif_url")</f>
        <v>prev_meeting_iiif_url</v>
      </c>
    </row>
    <row r="26" spans="1:22" x14ac:dyDescent="0.2">
      <c r="A26" t="s">
        <v>128</v>
      </c>
      <c r="B26" t="s">
        <v>27</v>
      </c>
      <c r="C26" t="s">
        <v>129</v>
      </c>
      <c r="D26" t="b">
        <v>1</v>
      </c>
      <c r="E26" t="b">
        <v>1</v>
      </c>
      <c r="F26">
        <v>1</v>
      </c>
      <c r="H26" t="s">
        <v>130</v>
      </c>
      <c r="I26">
        <v>3767</v>
      </c>
      <c r="J26">
        <v>156</v>
      </c>
      <c r="K26">
        <v>311</v>
      </c>
      <c r="L26">
        <v>0</v>
      </c>
      <c r="M26">
        <v>2</v>
      </c>
      <c r="N26">
        <v>0</v>
      </c>
      <c r="O26" t="str">
        <f>HYPERLINK("https://images.diginfra.net/framed3.html?imagesetuuid=1dfc3e45-daeb-4e8d-b5c8-e02b6196102c&amp;uri=https://images.diginfra.net/iiif/NL-HaNA_1.01.02/3767/NL-HaNA_1.01.02_3767_0156.jpg", "viewer_url")</f>
        <v>viewer_url</v>
      </c>
      <c r="P26" t="str">
        <f>HYPERLINK("https://images.diginfra.net/iiif/NL-HaNA_1.01.02/3767/NL-HaNA_1.01.02_3767_0156.jpg/2575,2386,1048,884/full/0/default.jpg", "iiif_url")</f>
        <v>iiif_url</v>
      </c>
      <c r="Q26" t="s">
        <v>131</v>
      </c>
      <c r="R26" t="str">
        <f>HYPERLINK("https://images.diginfra.net/framed3.html?imagesetuuid=1dfc3e45-daeb-4e8d-b5c8-e02b6196102c&amp;uri=https://images.diginfra.net/iiif/NL-HaNA_1.01.02/3767/NL-HaNA_1.01.02_3767_0160.jpg", "next_meeting_viewer_url")</f>
        <v>next_meeting_viewer_url</v>
      </c>
      <c r="S26" t="str">
        <f>HYPERLINK("https://images.diginfra.net/iiif/NL-HaNA_1.01.02/3767/NL-HaNA_1.01.02_3767_0160.jpg/3571,2855,1034,569/full/0/default.jpg", "next_meeting_iiif_url")</f>
        <v>next_meeting_iiif_url</v>
      </c>
      <c r="T26" t="s">
        <v>132</v>
      </c>
      <c r="U26" t="str">
        <f>HYPERLINK("https://images.diginfra.net/framed3.html?imagesetuuid=1dfc3e45-daeb-4e8d-b5c8-e02b6196102c&amp;uri=https://images.diginfra.net/iiif/NL-HaNA_1.01.02/3767/NL-HaNA_1.01.02_3767_0152.jpg", "prev_meeting_viewer_url")</f>
        <v>prev_meeting_viewer_url</v>
      </c>
      <c r="V26" t="str">
        <f>HYPERLINK("https://images.diginfra.net/iiif/NL-HaNA_1.01.02/3767/NL-HaNA_1.01.02_3767_0152.jpg/2477,2026,1106,1385/full/0/default.jpg", "prev_meeting_iiif_url")</f>
        <v>prev_meeting_iiif_url</v>
      </c>
    </row>
    <row r="27" spans="1:22" x14ac:dyDescent="0.2">
      <c r="A27" t="s">
        <v>133</v>
      </c>
      <c r="B27" t="s">
        <v>74</v>
      </c>
      <c r="C27" t="s">
        <v>134</v>
      </c>
      <c r="D27" t="b">
        <v>1</v>
      </c>
      <c r="E27" t="b">
        <v>1</v>
      </c>
      <c r="F27">
        <v>1</v>
      </c>
      <c r="H27" t="s">
        <v>135</v>
      </c>
      <c r="I27">
        <v>3770</v>
      </c>
      <c r="J27">
        <v>188</v>
      </c>
      <c r="K27">
        <v>375</v>
      </c>
      <c r="L27">
        <v>3</v>
      </c>
      <c r="M27">
        <v>1</v>
      </c>
      <c r="N27">
        <v>0</v>
      </c>
      <c r="O27" t="str">
        <f>HYPERLINK("https://images.diginfra.net/framed3.html?imagesetuuid=ee423b29-ca44-4ac9-bc3a-01422a0a6240&amp;uri=https://images.diginfra.net/iiif/NL-HaNA_1.01.02/3770/NL-HaNA_1.01.02_3770_0188.jpg", "viewer_url")</f>
        <v>viewer_url</v>
      </c>
      <c r="P27" t="str">
        <f>HYPERLINK("https://images.diginfra.net/iiif/NL-HaNA_1.01.02/3770/NL-HaNA_1.01.02_3770_0188.jpg/3295,2876,1031,571/full/0/default.jpg", "iiif_url")</f>
        <v>iiif_url</v>
      </c>
      <c r="Q27" t="s">
        <v>136</v>
      </c>
      <c r="R27" t="str">
        <f>HYPERLINK("https://images.diginfra.net/framed3.html?imagesetuuid=ee423b29-ca44-4ac9-bc3a-01422a0a6240&amp;uri=https://images.diginfra.net/iiif/NL-HaNA_1.01.02/3770/NL-HaNA_1.01.02_3770_0189.jpg", "next_meeting_viewer_url")</f>
        <v>next_meeting_viewer_url</v>
      </c>
      <c r="S27" t="str">
        <f>HYPERLINK("https://images.diginfra.net/iiif/NL-HaNA_1.01.02/3770/NL-HaNA_1.01.02_3770_0189.jpg/3530,2712,749,375/full/0/default.jpg", "next_meeting_iiif_url")</f>
        <v>next_meeting_iiif_url</v>
      </c>
      <c r="T27" t="s">
        <v>137</v>
      </c>
      <c r="U27" t="str">
        <f>HYPERLINK("https://images.diginfra.net/framed3.html?imagesetuuid=ee423b29-ca44-4ac9-bc3a-01422a0a6240&amp;uri=https://images.diginfra.net/iiif/NL-HaNA_1.01.02/3770/NL-HaNA_1.01.02_3770_0186.jpg", "prev_meeting_viewer_url")</f>
        <v>prev_meeting_viewer_url</v>
      </c>
      <c r="V27" t="str">
        <f>HYPERLINK("https://images.diginfra.net/iiif/NL-HaNA_1.01.02/3770/NL-HaNA_1.01.02_3770_0186.jpg/3290,501,1086,2903/full/0/default.jpg", "prev_meeting_iiif_url")</f>
        <v>prev_meeting_iiif_url</v>
      </c>
    </row>
    <row r="28" spans="1:22" x14ac:dyDescent="0.2">
      <c r="A28" t="s">
        <v>138</v>
      </c>
      <c r="B28" t="s">
        <v>27</v>
      </c>
      <c r="C28" t="s">
        <v>139</v>
      </c>
      <c r="D28" t="b">
        <v>1</v>
      </c>
      <c r="E28" t="b">
        <v>1</v>
      </c>
      <c r="F28">
        <v>1</v>
      </c>
      <c r="H28" t="s">
        <v>140</v>
      </c>
      <c r="I28">
        <v>3802</v>
      </c>
      <c r="J28">
        <v>387</v>
      </c>
      <c r="K28">
        <v>772</v>
      </c>
      <c r="L28">
        <v>0</v>
      </c>
      <c r="M28">
        <v>1</v>
      </c>
      <c r="N28">
        <v>0</v>
      </c>
      <c r="O28" t="str">
        <f>HYPERLINK("https://images.diginfra.net/framed3.html?imagesetuuid=42a0dd68-0122-4267-985e-43a657deae45&amp;uri=https://images.diginfra.net/iiif/NL-HaNA_1.01.02/3802/NL-HaNA_1.01.02_3802_0387.jpg", "viewer_url")</f>
        <v>viewer_url</v>
      </c>
      <c r="P28" t="str">
        <f>HYPERLINK("https://images.diginfra.net/iiif/NL-HaNA_1.01.02/3802/NL-HaNA_1.01.02_3802_0387.jpg/340,601,1097,2730/full/0/default.jpg", "iiif_url")</f>
        <v>iiif_url</v>
      </c>
      <c r="Q28" t="s">
        <v>141</v>
      </c>
      <c r="R28" t="str">
        <f>HYPERLINK("https://images.diginfra.net/framed3.html?imagesetuuid=42a0dd68-0122-4267-985e-43a657deae45&amp;uri=https://images.diginfra.net/iiif/NL-HaNA_1.01.02/3802/NL-HaNA_1.01.02_3802_0388.jpg", "next_meeting_viewer_url")</f>
        <v>next_meeting_viewer_url</v>
      </c>
      <c r="S28" t="str">
        <f>HYPERLINK("https://images.diginfra.net/iiif/NL-HaNA_1.01.02/3802/NL-HaNA_1.01.02_3802_0388.jpg/1310,1764,1036,1493/full/0/default.jpg", "next_meeting_iiif_url")</f>
        <v>next_meeting_iiif_url</v>
      </c>
      <c r="T28" t="s">
        <v>142</v>
      </c>
      <c r="U28" t="str">
        <f>HYPERLINK("https://images.diginfra.net/framed3.html?imagesetuuid=42a0dd68-0122-4267-985e-43a657deae45&amp;uri=https://images.diginfra.net/iiif/NL-HaNA_1.01.02/3802/NL-HaNA_1.01.02_3802_0385.jpg", "prev_meeting_viewer_url")</f>
        <v>prev_meeting_viewer_url</v>
      </c>
      <c r="V28" t="str">
        <f>HYPERLINK("https://images.diginfra.net/iiif/NL-HaNA_1.01.02/3802/NL-HaNA_1.01.02_3802_0385.jpg/1447,3004,799,374/full/0/default.jpg", "prev_meeting_iiif_url")</f>
        <v>prev_meeting_iiif_url</v>
      </c>
    </row>
    <row r="29" spans="1:22" x14ac:dyDescent="0.2">
      <c r="A29" t="s">
        <v>143</v>
      </c>
      <c r="B29" t="s">
        <v>21</v>
      </c>
      <c r="D29" t="b">
        <v>0</v>
      </c>
      <c r="E29" t="b">
        <v>0</v>
      </c>
      <c r="F29">
        <v>1</v>
      </c>
      <c r="O29" t="str">
        <f>HYPERLINK("None", "viewer_url")</f>
        <v>viewer_url</v>
      </c>
      <c r="P29" t="str">
        <f>HYPERLINK("None", "iiif_url")</f>
        <v>iiif_url</v>
      </c>
      <c r="T29" t="s">
        <v>144</v>
      </c>
      <c r="U29" t="str">
        <f>HYPERLINK("https://images.diginfra.net/framed3.html?imagesetuuid=d7b14369-fedc-4c2f-b4ba-0014f4e297b6&amp;uri=https://images.diginfra.net/iiif/NL-HaNA_1.01.02/3808/NL-HaNA_1.01.02_3808_0514.jpg", "prev_meeting_viewer_url")</f>
        <v>prev_meeting_viewer_url</v>
      </c>
      <c r="V29" t="str">
        <f>HYPERLINK("https://images.diginfra.net/iiif/NL-HaNA_1.01.02/3808/NL-HaNA_1.01.02_3808_0514.jpg/270,2213,1042,1226/full/0/default.jpg", "prev_meeting_iiif_url")</f>
        <v>prev_meeting_iiif_url</v>
      </c>
    </row>
    <row r="30" spans="1:22" x14ac:dyDescent="0.2">
      <c r="A30" t="s">
        <v>145</v>
      </c>
      <c r="B30" t="s">
        <v>65</v>
      </c>
      <c r="C30" t="s">
        <v>146</v>
      </c>
      <c r="D30" t="b">
        <v>1</v>
      </c>
      <c r="E30" t="b">
        <v>1</v>
      </c>
      <c r="F30">
        <v>1</v>
      </c>
      <c r="H30" t="s">
        <v>147</v>
      </c>
      <c r="I30">
        <v>3835</v>
      </c>
      <c r="J30">
        <v>222</v>
      </c>
      <c r="K30">
        <v>442</v>
      </c>
      <c r="L30">
        <v>1</v>
      </c>
      <c r="M30">
        <v>2</v>
      </c>
      <c r="N30">
        <v>0</v>
      </c>
      <c r="O30" t="str">
        <f>HYPERLINK("https://images.diginfra.net/framed3.html?imagesetuuid=473594ee-2ab0-4fbf-9da7-0e9d12acef41&amp;uri=https://images.diginfra.net/iiif/NL-HaNA_1.01.02/3835/NL-HaNA_1.01.02_3835_0222.jpg", "viewer_url")</f>
        <v>viewer_url</v>
      </c>
      <c r="P30" t="str">
        <f>HYPERLINK("https://images.diginfra.net/iiif/NL-HaNA_1.01.02/3835/NL-HaNA_1.01.02_3835_0222.jpg/1250,975,1085,2446/full/0/default.jpg", "iiif_url")</f>
        <v>iiif_url</v>
      </c>
      <c r="Q30" t="s">
        <v>148</v>
      </c>
      <c r="R30" t="str">
        <f>HYPERLINK("https://images.diginfra.net/framed3.html?imagesetuuid=473594ee-2ab0-4fbf-9da7-0e9d12acef41&amp;uri=https://images.diginfra.net/iiif/NL-HaNA_1.01.02/3835/NL-HaNA_1.01.02_3835_0223.jpg", "next_meeting_viewer_url")</f>
        <v>next_meeting_viewer_url</v>
      </c>
      <c r="S30" t="str">
        <f>HYPERLINK("https://images.diginfra.net/iiif/NL-HaNA_1.01.02/3835/NL-HaNA_1.01.02_3835_0223.jpg/1300,1327,1069,1896/full/0/default.jpg", "next_meeting_iiif_url")</f>
        <v>next_meeting_iiif_url</v>
      </c>
      <c r="T30" t="s">
        <v>149</v>
      </c>
      <c r="U30" t="str">
        <f>HYPERLINK("https://images.diginfra.net/framed3.html?imagesetuuid=473594ee-2ab0-4fbf-9da7-0e9d12acef41&amp;uri=https://images.diginfra.net/iiif/NL-HaNA_1.01.02/3835/NL-HaNA_1.01.02_3835_0219.jpg", "prev_meeting_viewer_url")</f>
        <v>prev_meeting_viewer_url</v>
      </c>
      <c r="V30" t="str">
        <f>HYPERLINK("https://images.diginfra.net/iiif/NL-HaNA_1.01.02/3835/NL-HaNA_1.01.02_3835_0219.jpg/1306,2475,1026,936/full/0/default.jpg", "prev_meeting_iiif_url")</f>
        <v>prev_meeting_iiif_url</v>
      </c>
    </row>
    <row r="31" spans="1:22" x14ac:dyDescent="0.2">
      <c r="A31" t="s">
        <v>150</v>
      </c>
      <c r="B31" t="s">
        <v>36</v>
      </c>
      <c r="D31" t="b">
        <v>0</v>
      </c>
      <c r="E31" t="b">
        <v>0</v>
      </c>
      <c r="F31">
        <v>1</v>
      </c>
      <c r="O31" t="str">
        <f>HYPERLINK("None", "viewer_url")</f>
        <v>viewer_url</v>
      </c>
      <c r="P31" t="str">
        <f>HYPERLINK("None", "iiif_url")</f>
        <v>iiif_url</v>
      </c>
      <c r="R31" t="str">
        <f>HYPERLINK("https://images.diginfra.net/framed3.html?imagesetuuid=e4d299a2-71b5-40fc-b329-60132fadd11f&amp;uri=https://images.diginfra.net/iiif/NL-HaNA_1.01.02/3832/NL-HaNA_1.01.02_3832_0408.jpg", "next_meeting_viewer_url")</f>
        <v>next_meeting_viewer_url</v>
      </c>
      <c r="S31" t="str">
        <f>HYPERLINK("https://images.diginfra.net/iiif/NL-HaNA_1.01.02/3832/NL-HaNA_1.01.02_3832_0408.jpg/3189,2220,1081,1175/full/0/default.jpg", "next_meeting_iiif_url")</f>
        <v>next_meeting_iiif_url</v>
      </c>
      <c r="T31" t="s">
        <v>151</v>
      </c>
      <c r="U31" t="str">
        <f>HYPERLINK("https://images.diginfra.net/framed3.html?imagesetuuid=e4d299a2-71b5-40fc-b329-60132fadd11f&amp;uri=https://images.diginfra.net/iiif/NL-HaNA_1.01.02/3832/NL-HaNA_1.01.02_3832_0379.jpg", "prev_meeting_viewer_url")</f>
        <v>prev_meeting_viewer_url</v>
      </c>
      <c r="V31" t="str">
        <f>HYPERLINK("https://images.diginfra.net/iiif/NL-HaNA_1.01.02/3832/NL-HaNA_1.01.02_3832_0379.jpg/1196,2988,936,453/full/0/default.jpg", "prev_meeting_iiif_url")</f>
        <v>prev_meeting_iiif_url</v>
      </c>
    </row>
    <row r="32" spans="1:22" x14ac:dyDescent="0.2">
      <c r="A32" t="s">
        <v>152</v>
      </c>
      <c r="B32" t="s">
        <v>74</v>
      </c>
      <c r="D32" t="b">
        <v>0</v>
      </c>
      <c r="E32" t="b">
        <v>0</v>
      </c>
      <c r="F32">
        <v>1</v>
      </c>
      <c r="O32" t="str">
        <f>HYPERLINK("None", "viewer_url")</f>
        <v>viewer_url</v>
      </c>
      <c r="P32" t="str">
        <f>HYPERLINK("None", "iiif_url")</f>
        <v>iiif_url</v>
      </c>
      <c r="Q32" t="s">
        <v>153</v>
      </c>
      <c r="R32" t="str">
        <f>HYPERLINK("https://images.diginfra.net/framed3.html?imagesetuuid=e0965315-891d-46c1-9dac-fc6b729921cf&amp;uri=https://images.diginfra.net/iiif/NL-HaNA_1.01.02/3822/NL-HaNA_1.01.02_3822_0169.jpg", "next_meeting_viewer_url")</f>
        <v>next_meeting_viewer_url</v>
      </c>
      <c r="S32" t="str">
        <f>HYPERLINK("https://images.diginfra.net/iiif/NL-HaNA_1.01.02/3822/NL-HaNA_1.01.02_3822_0169.jpg/243,2334,1076,1065/full/0/default.jpg", "next_meeting_iiif_url")</f>
        <v>next_meeting_iiif_url</v>
      </c>
      <c r="T32" t="s">
        <v>154</v>
      </c>
      <c r="U32" t="str">
        <f>HYPERLINK("https://images.diginfra.net/framed3.html?imagesetuuid=e0965315-891d-46c1-9dac-fc6b729921cf&amp;uri=https://images.diginfra.net/iiif/NL-HaNA_1.01.02/3822/NL-HaNA_1.01.02_3822_0168.jpg", "prev_meeting_viewer_url")</f>
        <v>prev_meeting_viewer_url</v>
      </c>
      <c r="V32" t="str">
        <f>HYPERLINK("https://images.diginfra.net/iiif/NL-HaNA_1.01.02/3822/NL-HaNA_1.01.02_3822_0168.jpg/1277,2426,1032,873/full/0/default.jpg", "prev_meeting_iiif_url")</f>
        <v>prev_meeting_iiif_url</v>
      </c>
    </row>
    <row r="33" spans="1:22" x14ac:dyDescent="0.2">
      <c r="A33" t="s">
        <v>155</v>
      </c>
      <c r="B33" t="s">
        <v>27</v>
      </c>
      <c r="C33" t="s">
        <v>156</v>
      </c>
      <c r="D33" t="b">
        <v>1</v>
      </c>
      <c r="E33" t="b">
        <v>1</v>
      </c>
      <c r="F33">
        <v>1</v>
      </c>
      <c r="H33" t="s">
        <v>157</v>
      </c>
      <c r="I33">
        <v>3761</v>
      </c>
      <c r="J33">
        <v>725</v>
      </c>
      <c r="K33">
        <v>1449</v>
      </c>
      <c r="L33">
        <v>0</v>
      </c>
      <c r="M33">
        <v>1</v>
      </c>
      <c r="N33">
        <v>0</v>
      </c>
      <c r="O33" t="str">
        <f>HYPERLINK("https://images.diginfra.net/framed3.html?imagesetuuid=e6c3b32f-6683-4b16-9444-37e515e232e1&amp;uri=https://images.diginfra.net/iiif/NL-HaNA_1.01.02/3761/NL-HaNA_1.01.02_3761_0725.jpg", "viewer_url")</f>
        <v>viewer_url</v>
      </c>
      <c r="P33" t="str">
        <f>HYPERLINK("https://images.diginfra.net/iiif/NL-HaNA_1.01.02/3761/NL-HaNA_1.01.02_3761_0725.jpg/2389,1965,1085,1488/full/0/default.jpg", "iiif_url")</f>
        <v>iiif_url</v>
      </c>
      <c r="Q33" t="s">
        <v>158</v>
      </c>
      <c r="R33" t="str">
        <f>HYPERLINK("https://images.diginfra.net/framed3.html?imagesetuuid=e6c3b32f-6683-4b16-9444-37e515e232e1&amp;uri=https://images.diginfra.net/iiif/NL-HaNA_1.01.02/3761/NL-HaNA_1.01.02_3761_0727.jpg", "next_meeting_viewer_url")</f>
        <v>next_meeting_viewer_url</v>
      </c>
      <c r="S33" t="str">
        <f>HYPERLINK("https://images.diginfra.net/iiif/NL-HaNA_1.01.02/3761/NL-HaNA_1.01.02_3761_0727.jpg/3339,1882,1093,1611/full/0/default.jpg", "next_meeting_iiif_url")</f>
        <v>next_meeting_iiif_url</v>
      </c>
      <c r="T33" t="s">
        <v>159</v>
      </c>
      <c r="U33" t="str">
        <f>HYPERLINK("https://images.diginfra.net/framed3.html?imagesetuuid=e6c3b32f-6683-4b16-9444-37e515e232e1&amp;uri=https://images.diginfra.net/iiif/NL-HaNA_1.01.02/3761/NL-HaNA_1.01.02_3761_0721.jpg", "prev_meeting_viewer_url")</f>
        <v>prev_meeting_viewer_url</v>
      </c>
      <c r="V33" t="str">
        <f>HYPERLINK("https://images.diginfra.net/iiif/NL-HaNA_1.01.02/3761/NL-HaNA_1.01.02_3761_0721.jpg/2378,2632,1089,803/full/0/default.jpg", "prev_meeting_iiif_url")</f>
        <v>prev_meeting_iiif_url</v>
      </c>
    </row>
    <row r="34" spans="1:22" x14ac:dyDescent="0.2">
      <c r="A34" t="s">
        <v>160</v>
      </c>
      <c r="B34" t="s">
        <v>65</v>
      </c>
      <c r="C34" t="s">
        <v>161</v>
      </c>
      <c r="D34" t="b">
        <v>1</v>
      </c>
      <c r="E34" t="b">
        <v>1</v>
      </c>
      <c r="F34">
        <v>1</v>
      </c>
      <c r="H34" t="s">
        <v>162</v>
      </c>
      <c r="I34">
        <v>3819</v>
      </c>
      <c r="J34">
        <v>284</v>
      </c>
      <c r="K34">
        <v>567</v>
      </c>
      <c r="L34">
        <v>1</v>
      </c>
      <c r="M34">
        <v>1</v>
      </c>
      <c r="N34">
        <v>0</v>
      </c>
      <c r="O34" t="str">
        <f>HYPERLINK("https://images.diginfra.net/framed3.html?imagesetuuid=711b4f86-3dbd-47ca-af9d-52eb1c30bc58&amp;uri=https://images.diginfra.net/iiif/NL-HaNA_1.01.02/3819/NL-HaNA_1.01.02_3819_0284.jpg", "viewer_url")</f>
        <v>viewer_url</v>
      </c>
      <c r="P34" t="str">
        <f>HYPERLINK("https://images.diginfra.net/iiif/NL-HaNA_1.01.02/3819/NL-HaNA_1.01.02_3819_0284.jpg/3451,550,1099,2822/full/0/default.jpg", "iiif_url")</f>
        <v>iiif_url</v>
      </c>
      <c r="Q34" t="s">
        <v>163</v>
      </c>
      <c r="R34" t="str">
        <f>HYPERLINK("https://images.diginfra.net/framed3.html?imagesetuuid=711b4f86-3dbd-47ca-af9d-52eb1c30bc58&amp;uri=https://images.diginfra.net/iiif/NL-HaNA_1.01.02/3819/NL-HaNA_1.01.02_3819_0285.jpg", "next_meeting_viewer_url")</f>
        <v>next_meeting_viewer_url</v>
      </c>
      <c r="S34" t="str">
        <f>HYPERLINK("https://images.diginfra.net/iiif/NL-HaNA_1.01.02/3819/NL-HaNA_1.01.02_3819_0285.jpg/2486,1936,1099,1358/full/0/default.jpg", "next_meeting_iiif_url")</f>
        <v>next_meeting_iiif_url</v>
      </c>
      <c r="T34" t="s">
        <v>164</v>
      </c>
      <c r="U34" t="str">
        <f>HYPERLINK("https://images.diginfra.net/framed3.html?imagesetuuid=711b4f86-3dbd-47ca-af9d-52eb1c30bc58&amp;uri=https://images.diginfra.net/iiif/NL-HaNA_1.01.02/3819/NL-HaNA_1.01.02_3819_0284.jpg", "prev_meeting_viewer_url")</f>
        <v>prev_meeting_viewer_url</v>
      </c>
      <c r="V34" t="str">
        <f>HYPERLINK("https://images.diginfra.net/iiif/NL-HaNA_1.01.02/3819/NL-HaNA_1.01.02_3819_0284.jpg/343,2914,1036,425/full/0/default.jpg", "prev_meeting_iiif_url")</f>
        <v>prev_meeting_iiif_url</v>
      </c>
    </row>
    <row r="35" spans="1:22" x14ac:dyDescent="0.2">
      <c r="A35" t="s">
        <v>165</v>
      </c>
      <c r="B35" t="s">
        <v>45</v>
      </c>
      <c r="D35" t="b">
        <v>0</v>
      </c>
      <c r="E35" t="b">
        <v>0</v>
      </c>
      <c r="F35">
        <v>1</v>
      </c>
      <c r="O35" t="str">
        <f>HYPERLINK("None", "viewer_url")</f>
        <v>viewer_url</v>
      </c>
      <c r="P35" t="str">
        <f>HYPERLINK("None", "iiif_url")</f>
        <v>iiif_url</v>
      </c>
      <c r="Q35" t="s">
        <v>166</v>
      </c>
      <c r="R35" t="str">
        <f>HYPERLINK("https://images.diginfra.net/framed3.html?imagesetuuid=1acf58b1-bf15-476d-be78-c088e43e81b9&amp;uri=https://images.diginfra.net/iiif/NL-HaNA_1.01.02/3768/NL-HaNA_1.01.02_3768_0350.jpg", "next_meeting_viewer_url")</f>
        <v>next_meeting_viewer_url</v>
      </c>
      <c r="S35" t="str">
        <f>HYPERLINK("https://images.diginfra.net/iiif/NL-HaNA_1.01.02/3768/NL-HaNA_1.01.02_3768_0350.jpg/2468,2013,1045,1345/full/0/default.jpg", "next_meeting_iiif_url")</f>
        <v>next_meeting_iiif_url</v>
      </c>
      <c r="T35" t="s">
        <v>167</v>
      </c>
      <c r="U35" t="str">
        <f>HYPERLINK("https://images.diginfra.net/framed3.html?imagesetuuid=1acf58b1-bf15-476d-be78-c088e43e81b9&amp;uri=https://images.diginfra.net/iiif/NL-HaNA_1.01.02/3768/NL-HaNA_1.01.02_3768_0348.jpg", "prev_meeting_viewer_url")</f>
        <v>prev_meeting_viewer_url</v>
      </c>
      <c r="V35" t="str">
        <f>HYPERLINK("https://images.diginfra.net/iiif/NL-HaNA_1.01.02/3768/NL-HaNA_1.01.02_3768_0348.jpg/3330,274,1197,3142/full/0/default.jpg", "prev_meeting_iiif_url")</f>
        <v>prev_meeting_iiif_url</v>
      </c>
    </row>
    <row r="36" spans="1:22" x14ac:dyDescent="0.2">
      <c r="A36" t="s">
        <v>168</v>
      </c>
      <c r="B36" t="s">
        <v>36</v>
      </c>
      <c r="C36" t="s">
        <v>169</v>
      </c>
      <c r="D36" t="b">
        <v>0</v>
      </c>
      <c r="E36" t="b">
        <v>1</v>
      </c>
      <c r="F36">
        <v>0</v>
      </c>
      <c r="G36" t="s">
        <v>426</v>
      </c>
      <c r="H36" t="s">
        <v>170</v>
      </c>
      <c r="I36">
        <v>3832</v>
      </c>
      <c r="J36">
        <v>305</v>
      </c>
      <c r="K36">
        <v>609</v>
      </c>
      <c r="L36">
        <v>1</v>
      </c>
      <c r="M36">
        <v>0</v>
      </c>
      <c r="O36" t="str">
        <f>HYPERLINK("https://images.diginfra.net/framed3.html?imagesetuuid=e4d299a2-71b5-40fc-b329-60132fadd11f&amp;uri=https://images.diginfra.net/iiif/NL-HaNA_1.01.02/3832/NL-HaNA_1.01.02_3832_0380.jpg", "viewer_url")</f>
        <v>viewer_url</v>
      </c>
      <c r="P36" t="str">
        <f>HYPERLINK("https://images.diginfra.net/iiif/NL-HaNA_1.01.02/3832/NL-HaNA_1.01.02_3832_0380.jpg/1225,442,1059,2929/full/0/default.jpg", "iiif_url")</f>
        <v>iiif_url</v>
      </c>
      <c r="T36" t="s">
        <v>151</v>
      </c>
      <c r="U36" t="str">
        <f>HYPERLINK("https://images.diginfra.net/framed3.html?imagesetuuid=e4d299a2-71b5-40fc-b329-60132fadd11f&amp;uri=https://images.diginfra.net/iiif/NL-HaNA_1.01.02/3832/NL-HaNA_1.01.02_3832_0379.jpg", "prev_meeting_viewer_url")</f>
        <v>prev_meeting_viewer_url</v>
      </c>
      <c r="V36" t="str">
        <f>HYPERLINK("https://images.diginfra.net/iiif/NL-HaNA_1.01.02/3832/NL-HaNA_1.01.02_3832_0379.jpg/1196,2988,936,453/full/0/default.jpg", "prev_meeting_iiif_url")</f>
        <v>prev_meeting_iiif_url</v>
      </c>
    </row>
    <row r="37" spans="1:22" x14ac:dyDescent="0.2">
      <c r="A37" t="s">
        <v>171</v>
      </c>
      <c r="B37" t="s">
        <v>45</v>
      </c>
      <c r="C37" t="s">
        <v>172</v>
      </c>
      <c r="D37" t="b">
        <v>1</v>
      </c>
      <c r="E37" t="b">
        <v>1</v>
      </c>
      <c r="F37">
        <v>1</v>
      </c>
      <c r="H37" t="s">
        <v>173</v>
      </c>
      <c r="I37">
        <v>3850</v>
      </c>
      <c r="J37">
        <v>58</v>
      </c>
      <c r="K37">
        <v>114</v>
      </c>
      <c r="L37">
        <v>1</v>
      </c>
      <c r="M37">
        <v>2</v>
      </c>
      <c r="N37">
        <v>0</v>
      </c>
      <c r="O37" t="str">
        <f>HYPERLINK("https://images.diginfra.net/framed3.html?imagesetuuid=c85930a5-cbb7-4080-aa48-a5bcfddd21f7&amp;uri=https://images.diginfra.net/iiif/NL-HaNA_1.01.02/3850/NL-HaNA_1.01.02_3850_0058.jpg", "viewer_url")</f>
        <v>viewer_url</v>
      </c>
      <c r="P37" t="str">
        <f>HYPERLINK("https://images.diginfra.net/iiif/NL-HaNA_1.01.02/3850/NL-HaNA_1.01.02_3850_0058.jpg/1334,2498,846,701/full/0/default.jpg", "iiif_url")</f>
        <v>iiif_url</v>
      </c>
      <c r="T37" t="s">
        <v>174</v>
      </c>
      <c r="U37" t="str">
        <f>HYPERLINK("https://images.diginfra.net/framed3.html?imagesetuuid=c85930a5-cbb7-4080-aa48-a5bcfddd21f7&amp;uri=https://images.diginfra.net/iiif/NL-HaNA_1.01.02/3850/NL-HaNA_1.01.02_3850_0057.jpg", "prev_meeting_viewer_url")</f>
        <v>prev_meeting_viewer_url</v>
      </c>
      <c r="V37" t="str">
        <f>HYPERLINK("https://images.diginfra.net/iiif/NL-HaNA_1.01.02/3850/NL-HaNA_1.01.02_3850_0057.jpg/1249,562,1095,2775/full/0/default.jpg", "prev_meeting_iiif_url")</f>
        <v>prev_meeting_iiif_url</v>
      </c>
    </row>
    <row r="38" spans="1:22" x14ac:dyDescent="0.2">
      <c r="A38" t="s">
        <v>175</v>
      </c>
      <c r="B38" t="s">
        <v>65</v>
      </c>
      <c r="C38" t="s">
        <v>176</v>
      </c>
      <c r="D38" t="b">
        <v>1</v>
      </c>
      <c r="E38" t="b">
        <v>1</v>
      </c>
      <c r="F38">
        <v>1</v>
      </c>
      <c r="H38" t="s">
        <v>177</v>
      </c>
      <c r="I38">
        <v>3769</v>
      </c>
      <c r="J38">
        <v>352</v>
      </c>
      <c r="K38">
        <v>702</v>
      </c>
      <c r="L38">
        <v>1</v>
      </c>
      <c r="M38">
        <v>2</v>
      </c>
      <c r="N38">
        <v>0</v>
      </c>
      <c r="O38" t="str">
        <f>HYPERLINK("https://images.diginfra.net/framed3.html?imagesetuuid=bb249823-a699-4b97-863d-a74b3ce499f0&amp;uri=https://images.diginfra.net/iiif/NL-HaNA_1.01.02/3769/NL-HaNA_1.01.02_3769_0352.jpg", "viewer_url")</f>
        <v>viewer_url</v>
      </c>
      <c r="P38" t="str">
        <f>HYPERLINK("https://images.diginfra.net/iiif/NL-HaNA_1.01.02/3769/NL-HaNA_1.01.02_3769_0352.jpg/1278,1564,1107,1762/full/0/default.jpg", "iiif_url")</f>
        <v>iiif_url</v>
      </c>
      <c r="Q38" t="s">
        <v>178</v>
      </c>
      <c r="R38" t="str">
        <f>HYPERLINK("https://images.diginfra.net/framed3.html?imagesetuuid=bb249823-a699-4b97-863d-a74b3ce499f0&amp;uri=https://images.diginfra.net/iiif/NL-HaNA_1.01.02/3769/NL-HaNA_1.01.02_3769_0354.jpg", "next_meeting_viewer_url")</f>
        <v>next_meeting_viewer_url</v>
      </c>
      <c r="S38" t="str">
        <f>HYPERLINK("https://images.diginfra.net/iiif/NL-HaNA_1.01.02/3769/NL-HaNA_1.01.02_3769_0354.jpg/324,2060,1080,1383/full/0/default.jpg", "next_meeting_iiif_url")</f>
        <v>next_meeting_iiif_url</v>
      </c>
      <c r="T38" t="s">
        <v>179</v>
      </c>
      <c r="U38" t="str">
        <f>HYPERLINK("https://images.diginfra.net/framed3.html?imagesetuuid=bb249823-a699-4b97-863d-a74b3ce499f0&amp;uri=https://images.diginfra.net/iiif/NL-HaNA_1.01.02/3769/NL-HaNA_1.01.02_3769_0350.jpg", "prev_meeting_viewer_url")</f>
        <v>prev_meeting_viewer_url</v>
      </c>
      <c r="V38" t="str">
        <f>HYPERLINK("https://images.diginfra.net/iiif/NL-HaNA_1.01.02/3769/NL-HaNA_1.01.02_3769_0350.jpg/3454,277,1122,3114/full/0/default.jpg", "prev_meeting_iiif_url")</f>
        <v>prev_meeting_iiif_url</v>
      </c>
    </row>
    <row r="39" spans="1:22" x14ac:dyDescent="0.2">
      <c r="A39" t="s">
        <v>180</v>
      </c>
      <c r="B39" t="s">
        <v>27</v>
      </c>
      <c r="C39" t="s">
        <v>181</v>
      </c>
      <c r="D39" t="b">
        <v>1</v>
      </c>
      <c r="E39" t="b">
        <v>1</v>
      </c>
      <c r="F39">
        <v>1</v>
      </c>
      <c r="H39" t="s">
        <v>182</v>
      </c>
      <c r="I39">
        <v>3830</v>
      </c>
      <c r="J39">
        <v>457</v>
      </c>
      <c r="K39">
        <v>912</v>
      </c>
      <c r="L39">
        <v>1</v>
      </c>
      <c r="M39">
        <v>0</v>
      </c>
      <c r="N39">
        <v>62</v>
      </c>
      <c r="O39" t="str">
        <f>HYPERLINK("https://images.diginfra.net/framed3.html?imagesetuuid=c4957ef5-1023-495b-ad5d-bfab5967cb29&amp;uri=https://images.diginfra.net/iiif/NL-HaNA_1.01.02/3830/NL-HaNA_1.01.02_3830_0457.jpg", "viewer_url")</f>
        <v>viewer_url</v>
      </c>
      <c r="P39" t="str">
        <f>HYPERLINK("https://images.diginfra.net/iiif/NL-HaNA_1.01.02/3830/NL-HaNA_1.01.02_3830_0457.jpg/1210,2671,1097,747/full/0/default.jpg", "iiif_url")</f>
        <v>iiif_url</v>
      </c>
      <c r="T39" t="s">
        <v>183</v>
      </c>
      <c r="U39" t="str">
        <f>HYPERLINK("https://images.diginfra.net/framed3.html?imagesetuuid=c4957ef5-1023-495b-ad5d-bfab5967cb29&amp;uri=https://images.diginfra.net/iiif/NL-HaNA_1.01.02/3830/NL-HaNA_1.01.02_3830_0457.jpg", "prev_meeting_viewer_url")</f>
        <v>prev_meeting_viewer_url</v>
      </c>
      <c r="V39" t="str">
        <f>HYPERLINK("https://images.diginfra.net/iiif/NL-HaNA_1.01.02/3830/NL-HaNA_1.01.02_3830_0457.jpg/261,579,1085,2843/full/0/default.jpg", "prev_meeting_iiif_url")</f>
        <v>prev_meeting_iiif_url</v>
      </c>
    </row>
    <row r="40" spans="1:22" x14ac:dyDescent="0.2">
      <c r="A40" t="s">
        <v>184</v>
      </c>
      <c r="B40" t="s">
        <v>30</v>
      </c>
      <c r="D40" t="b">
        <v>1</v>
      </c>
      <c r="E40" t="b">
        <v>0</v>
      </c>
      <c r="F40">
        <v>0</v>
      </c>
      <c r="O40" t="str">
        <f>HYPERLINK("None", "viewer_url")</f>
        <v>viewer_url</v>
      </c>
      <c r="P40" t="str">
        <f>HYPERLINK("None", "iiif_url")</f>
        <v>iiif_url</v>
      </c>
    </row>
    <row r="41" spans="1:22" x14ac:dyDescent="0.2">
      <c r="A41" t="s">
        <v>185</v>
      </c>
      <c r="B41" t="s">
        <v>74</v>
      </c>
      <c r="D41" t="b">
        <v>0</v>
      </c>
      <c r="E41" t="b">
        <v>0</v>
      </c>
      <c r="F41">
        <v>1</v>
      </c>
      <c r="O41" t="str">
        <f>HYPERLINK("None", "viewer_url")</f>
        <v>viewer_url</v>
      </c>
      <c r="P41" t="str">
        <f>HYPERLINK("None", "iiif_url")</f>
        <v>iiif_url</v>
      </c>
      <c r="Q41" t="s">
        <v>186</v>
      </c>
      <c r="R41" t="str">
        <f>HYPERLINK("https://images.diginfra.net/framed3.html?imagesetuuid=bd074b51-3206-4dd9-b65b-2a404481d480&amp;uri=https://images.diginfra.net/iiif/NL-HaNA_1.01.02/3839/NL-HaNA_1.01.02_3839_0084.jpg", "next_meeting_viewer_url")</f>
        <v>next_meeting_viewer_url</v>
      </c>
      <c r="S41" t="str">
        <f>HYPERLINK("https://images.diginfra.net/iiif/NL-HaNA_1.01.02/3839/NL-HaNA_1.01.02_3839_0084.jpg/3346,1945,1044,1324/full/0/default.jpg", "next_meeting_iiif_url")</f>
        <v>next_meeting_iiif_url</v>
      </c>
      <c r="T41" t="s">
        <v>187</v>
      </c>
      <c r="U41" t="str">
        <f>HYPERLINK("https://images.diginfra.net/framed3.html?imagesetuuid=bd074b51-3206-4dd9-b65b-2a404481d480&amp;uri=https://images.diginfra.net/iiif/NL-HaNA_1.01.02/3839/NL-HaNA_1.01.02_3839_0084.jpg", "prev_meeting_viewer_url")</f>
        <v>prev_meeting_viewer_url</v>
      </c>
      <c r="V41" t="str">
        <f>HYPERLINK("https://images.diginfra.net/iiif/NL-HaNA_1.01.02/3839/NL-HaNA_1.01.02_3839_0084.jpg/235,2179,1049,1272/full/0/default.jpg", "prev_meeting_iiif_url")</f>
        <v>prev_meeting_iiif_url</v>
      </c>
    </row>
    <row r="42" spans="1:22" x14ac:dyDescent="0.2">
      <c r="A42" t="s">
        <v>188</v>
      </c>
      <c r="B42" t="s">
        <v>21</v>
      </c>
      <c r="C42" t="s">
        <v>189</v>
      </c>
      <c r="D42" t="b">
        <v>1</v>
      </c>
      <c r="E42" t="b">
        <v>1</v>
      </c>
      <c r="F42">
        <v>1</v>
      </c>
      <c r="H42" t="s">
        <v>190</v>
      </c>
      <c r="I42">
        <v>3829</v>
      </c>
      <c r="J42">
        <v>312</v>
      </c>
      <c r="K42">
        <v>622</v>
      </c>
      <c r="L42">
        <v>0</v>
      </c>
      <c r="M42">
        <v>2</v>
      </c>
      <c r="N42">
        <v>0</v>
      </c>
      <c r="O42" t="str">
        <f>HYPERLINK("https://images.diginfra.net/framed3.html?imagesetuuid=4a630f3a-34aa-4b1a-92d1-c32d4455e96f&amp;uri=https://images.diginfra.net/iiif/NL-HaNA_1.01.02/3829/NL-HaNA_1.01.02_3829_0312.jpg", "viewer_url")</f>
        <v>viewer_url</v>
      </c>
      <c r="P42" t="str">
        <f>HYPERLINK("https://images.diginfra.net/iiif/NL-HaNA_1.01.02/3829/NL-HaNA_1.01.02_3829_0312.jpg/254,2516,1009,773/full/0/default.jpg", "iiif_url")</f>
        <v>iiif_url</v>
      </c>
      <c r="Q42" t="s">
        <v>191</v>
      </c>
      <c r="R42" t="str">
        <f>HYPERLINK("https://images.diginfra.net/framed3.html?imagesetuuid=4a630f3a-34aa-4b1a-92d1-c32d4455e96f&amp;uri=https://images.diginfra.net/iiif/NL-HaNA_1.01.02/3829/NL-HaNA_1.01.02_3829_0313.jpg", "next_meeting_viewer_url")</f>
        <v>next_meeting_viewer_url</v>
      </c>
      <c r="S42" t="str">
        <f>HYPERLINK("https://images.diginfra.net/iiif/NL-HaNA_1.01.02/3829/NL-HaNA_1.01.02_3829_0313.jpg/220,1400,1075,1958/full/0/default.jpg", "next_meeting_iiif_url")</f>
        <v>next_meeting_iiif_url</v>
      </c>
      <c r="T42" t="s">
        <v>192</v>
      </c>
      <c r="U42" t="str">
        <f>HYPERLINK("https://images.diginfra.net/framed3.html?imagesetuuid=4a630f3a-34aa-4b1a-92d1-c32d4455e96f&amp;uri=https://images.diginfra.net/iiif/NL-HaNA_1.01.02/3829/NL-HaNA_1.01.02_3829_0311.jpg", "prev_meeting_viewer_url")</f>
        <v>prev_meeting_viewer_url</v>
      </c>
      <c r="V42" t="str">
        <f>HYPERLINK("https://images.diginfra.net/iiif/NL-HaNA_1.01.02/3829/NL-HaNA_1.01.02_3829_0311.jpg/254,2144,1075,1237/full/0/default.jpg", "prev_meeting_iiif_url")</f>
        <v>prev_meeting_iiif_url</v>
      </c>
    </row>
    <row r="43" spans="1:22" x14ac:dyDescent="0.2">
      <c r="A43" t="s">
        <v>193</v>
      </c>
      <c r="B43" t="s">
        <v>36</v>
      </c>
      <c r="D43" t="b">
        <v>0</v>
      </c>
      <c r="E43" t="b">
        <v>0</v>
      </c>
      <c r="F43">
        <v>1</v>
      </c>
      <c r="O43" t="str">
        <f>HYPERLINK("None", "viewer_url")</f>
        <v>viewer_url</v>
      </c>
      <c r="P43" t="str">
        <f>HYPERLINK("None", "iiif_url")</f>
        <v>iiif_url</v>
      </c>
      <c r="Q43" t="s">
        <v>194</v>
      </c>
      <c r="R43" t="str">
        <f>HYPERLINK("https://images.diginfra.net/framed3.html?imagesetuuid=9e71b122-742f-4bfd-bebd-880415775331&amp;uri=https://images.diginfra.net/iiif/NL-HaNA_1.01.02/3826/NL-HaNA_1.01.02_3826_0337.jpg", "next_meeting_viewer_url")</f>
        <v>next_meeting_viewer_url</v>
      </c>
      <c r="S43" t="str">
        <f>HYPERLINK("https://images.diginfra.net/iiif/NL-HaNA_1.01.02/3826/NL-HaNA_1.01.02_3826_0337.jpg/3299,1134,1076,2203/full/0/default.jpg", "next_meeting_iiif_url")</f>
        <v>next_meeting_iiif_url</v>
      </c>
    </row>
    <row r="44" spans="1:22" x14ac:dyDescent="0.2">
      <c r="A44" t="s">
        <v>195</v>
      </c>
      <c r="B44" t="s">
        <v>27</v>
      </c>
      <c r="C44" t="s">
        <v>196</v>
      </c>
      <c r="D44" t="b">
        <v>1</v>
      </c>
      <c r="E44" t="b">
        <v>1</v>
      </c>
      <c r="F44">
        <v>1</v>
      </c>
      <c r="H44" t="s">
        <v>197</v>
      </c>
      <c r="I44">
        <v>3797</v>
      </c>
      <c r="J44">
        <v>154</v>
      </c>
      <c r="K44">
        <v>307</v>
      </c>
      <c r="L44">
        <v>0</v>
      </c>
      <c r="M44">
        <v>2</v>
      </c>
      <c r="N44">
        <v>0</v>
      </c>
      <c r="O44" t="str">
        <f>HYPERLINK("https://images.diginfra.net/framed3.html?imagesetuuid=02516f87-475f-4001-a332-8d96f5aecb93&amp;uri=https://images.diginfra.net/iiif/NL-HaNA_1.01.02/3797/NL-HaNA_1.01.02_3797_0154.jpg", "viewer_url")</f>
        <v>viewer_url</v>
      </c>
      <c r="P44" t="str">
        <f>HYPERLINK("https://images.diginfra.net/iiif/NL-HaNA_1.01.02/3797/NL-HaNA_1.01.02_3797_0154.jpg/2479,1261,1079,2134/full/0/default.jpg", "iiif_url")</f>
        <v>iiif_url</v>
      </c>
      <c r="Q44" t="s">
        <v>198</v>
      </c>
      <c r="R44" t="str">
        <f>HYPERLINK("https://images.diginfra.net/framed3.html?imagesetuuid=02516f87-475f-4001-a332-8d96f5aecb93&amp;uri=https://images.diginfra.net/iiif/NL-HaNA_1.01.02/3797/NL-HaNA_1.01.02_3797_0156.jpg", "next_meeting_viewer_url")</f>
        <v>next_meeting_viewer_url</v>
      </c>
      <c r="S44" t="str">
        <f>HYPERLINK("https://images.diginfra.net/iiif/NL-HaNA_1.01.02/3797/NL-HaNA_1.01.02_3797_0156.jpg/226,1067,1103,2324/full/0/default.jpg", "next_meeting_iiif_url")</f>
        <v>next_meeting_iiif_url</v>
      </c>
      <c r="T44" t="s">
        <v>199</v>
      </c>
      <c r="U44" t="str">
        <f>HYPERLINK("https://images.diginfra.net/framed3.html?imagesetuuid=02516f87-475f-4001-a332-8d96f5aecb93&amp;uri=https://images.diginfra.net/iiif/NL-HaNA_1.01.02/3797/NL-HaNA_1.01.02_3797_0152.jpg", "prev_meeting_viewer_url")</f>
        <v>prev_meeting_viewer_url</v>
      </c>
      <c r="V44" t="str">
        <f>HYPERLINK("https://images.diginfra.net/iiif/NL-HaNA_1.01.02/3797/NL-HaNA_1.01.02_3797_0152.jpg/2450,631,1092,2758/full/0/default.jpg", "prev_meeting_iiif_url")</f>
        <v>prev_meeting_iiif_url</v>
      </c>
    </row>
    <row r="45" spans="1:22" x14ac:dyDescent="0.2">
      <c r="A45" t="s">
        <v>200</v>
      </c>
      <c r="B45" t="s">
        <v>65</v>
      </c>
      <c r="D45" t="b">
        <v>1</v>
      </c>
      <c r="E45" t="b">
        <v>0</v>
      </c>
      <c r="F45">
        <v>0</v>
      </c>
      <c r="O45" t="str">
        <f>HYPERLINK("None", "viewer_url")</f>
        <v>viewer_url</v>
      </c>
      <c r="P45" t="str">
        <f>HYPERLINK("None", "iiif_url")</f>
        <v>iiif_url</v>
      </c>
      <c r="Q45" t="s">
        <v>201</v>
      </c>
      <c r="R45" t="str">
        <f>HYPERLINK("https://images.diginfra.net/framed3.html?imagesetuuid=06387344-f6be-4f89-be7c-57105578c47e&amp;uri=https://images.diginfra.net/iiif/NL-HaNA_1.01.02/3820/NL-HaNA_1.01.02_3820_0167.jpg", "next_meeting_viewer_url")</f>
        <v>next_meeting_viewer_url</v>
      </c>
      <c r="S45" t="str">
        <f>HYPERLINK("https://images.diginfra.net/iiif/NL-HaNA_1.01.02/3820/NL-HaNA_1.01.02_3820_0167.jpg/3242,269,1064,3061/full/0/default.jpg", "next_meeting_iiif_url")</f>
        <v>next_meeting_iiif_url</v>
      </c>
    </row>
    <row r="46" spans="1:22" x14ac:dyDescent="0.2">
      <c r="A46" t="s">
        <v>202</v>
      </c>
      <c r="B46" t="s">
        <v>36</v>
      </c>
      <c r="D46" t="b">
        <v>0</v>
      </c>
      <c r="E46" t="b">
        <v>1</v>
      </c>
      <c r="F46">
        <v>0</v>
      </c>
      <c r="H46" t="s">
        <v>203</v>
      </c>
      <c r="I46">
        <v>3785</v>
      </c>
      <c r="J46">
        <v>381</v>
      </c>
      <c r="K46">
        <v>760</v>
      </c>
      <c r="L46">
        <v>1</v>
      </c>
      <c r="M46">
        <v>3</v>
      </c>
      <c r="N46">
        <v>1</v>
      </c>
      <c r="O46" t="str">
        <f>HYPERLINK("https://images.diginfra.net/framed3.html?imagesetuuid=88a314f7-936a-49fb-9ac3-0115764531f2&amp;uri=https://images.diginfra.net/iiif/NL-HaNA_1.01.02/3785/NL-HaNA_1.01.02_3785_0381.jpg", "viewer_url")</f>
        <v>viewer_url</v>
      </c>
      <c r="P46" t="str">
        <f>HYPERLINK("https://images.diginfra.net/iiif/NL-HaNA_1.01.02/3785/NL-HaNA_1.01.02_3785_0381.jpg/1172,2792,934,622/full/0/default.jpg", "iiif_url")</f>
        <v>iiif_url</v>
      </c>
      <c r="Q46" t="s">
        <v>204</v>
      </c>
      <c r="R46" t="str">
        <f>HYPERLINK("https://images.diginfra.net/framed3.html?imagesetuuid=88a314f7-936a-49fb-9ac3-0115764531f2&amp;uri=https://images.diginfra.net/iiif/NL-HaNA_1.01.02/3785/NL-HaNA_1.01.02_3785_0389.jpg", "next_meeting_viewer_url")</f>
        <v>next_meeting_viewer_url</v>
      </c>
      <c r="S46" t="str">
        <f>HYPERLINK("https://images.diginfra.net/iiif/NL-HaNA_1.01.02/3785/NL-HaNA_1.01.02_3785_0389.jpg/162,1627,1116,1701/full/0/default.jpg", "next_meeting_iiif_url")</f>
        <v>next_meeting_iiif_url</v>
      </c>
      <c r="T46" t="s">
        <v>205</v>
      </c>
      <c r="U46" t="str">
        <f>HYPERLINK("https://images.diginfra.net/framed3.html?imagesetuuid=88a314f7-936a-49fb-9ac3-0115764531f2&amp;uri=https://images.diginfra.net/iiif/NL-HaNA_1.01.02/3785/NL-HaNA_1.01.02_3785_0388.jpg", "prev_meeting_viewer_url")</f>
        <v>prev_meeting_viewer_url</v>
      </c>
      <c r="V46" t="str">
        <f>HYPERLINK("https://images.diginfra.net/iiif/NL-HaNA_1.01.02/3785/NL-HaNA_1.01.02_3785_0388.jpg/1127,425,1109,2952/full/0/default.jpg", "prev_meeting_iiif_url")</f>
        <v>prev_meeting_iiif_url</v>
      </c>
    </row>
    <row r="47" spans="1:22" x14ac:dyDescent="0.2">
      <c r="A47" t="s">
        <v>206</v>
      </c>
      <c r="B47" t="s">
        <v>30</v>
      </c>
      <c r="C47" t="s">
        <v>207</v>
      </c>
      <c r="D47" t="b">
        <v>1</v>
      </c>
      <c r="E47" t="b">
        <v>1</v>
      </c>
      <c r="F47">
        <v>1</v>
      </c>
      <c r="H47" t="s">
        <v>208</v>
      </c>
      <c r="I47">
        <v>3794</v>
      </c>
      <c r="J47">
        <v>277</v>
      </c>
      <c r="K47">
        <v>553</v>
      </c>
      <c r="L47">
        <v>1</v>
      </c>
      <c r="M47">
        <v>1</v>
      </c>
      <c r="N47">
        <v>0</v>
      </c>
      <c r="O47" t="str">
        <f>HYPERLINK("https://images.diginfra.net/framed3.html?imagesetuuid=5debb5c6-ae39-480e-845e-6e10690f8984&amp;uri=https://images.diginfra.net/iiif/NL-HaNA_1.01.02/3794/NL-HaNA_1.01.02_3794_0277.jpg", "viewer_url")</f>
        <v>viewer_url</v>
      </c>
      <c r="P47" t="str">
        <f>HYPERLINK("https://images.diginfra.net/iiif/NL-HaNA_1.01.02/3794/NL-HaNA_1.01.02_3794_0277.jpg/3445,701,1096,2765/full/0/default.jpg", "iiif_url")</f>
        <v>iiif_url</v>
      </c>
      <c r="Q47" t="s">
        <v>209</v>
      </c>
      <c r="R47" t="str">
        <f>HYPERLINK("https://images.diginfra.net/framed3.html?imagesetuuid=5debb5c6-ae39-480e-845e-6e10690f8984&amp;uri=https://images.diginfra.net/iiif/NL-HaNA_1.01.02/3794/NL-HaNA_1.01.02_3794_0279.jpg", "next_meeting_viewer_url")</f>
        <v>next_meeting_viewer_url</v>
      </c>
      <c r="S47" t="str">
        <f>HYPERLINK("https://images.diginfra.net/iiif/NL-HaNA_1.01.02/3794/NL-HaNA_1.01.02_3794_0279.jpg/1354,1444,1108,2016/full/0/default.jpg", "next_meeting_iiif_url")</f>
        <v>next_meeting_iiif_url</v>
      </c>
      <c r="T47" t="s">
        <v>210</v>
      </c>
      <c r="U47" t="str">
        <f>HYPERLINK("https://images.diginfra.net/framed3.html?imagesetuuid=5debb5c6-ae39-480e-845e-6e10690f8984&amp;uri=https://images.diginfra.net/iiif/NL-HaNA_1.01.02/3794/NL-HaNA_1.01.02_3794_0276.jpg", "prev_meeting_viewer_url")</f>
        <v>prev_meeting_viewer_url</v>
      </c>
      <c r="V47" t="str">
        <f>HYPERLINK("https://images.diginfra.net/iiif/NL-HaNA_1.01.02/3794/NL-HaNA_1.01.02_3794_0276.jpg/2511,816,1099,2614/full/0/default.jpg", "prev_meeting_iiif_url")</f>
        <v>prev_meeting_iiif_url</v>
      </c>
    </row>
    <row r="48" spans="1:22" x14ac:dyDescent="0.2">
      <c r="A48" t="s">
        <v>211</v>
      </c>
      <c r="B48" t="s">
        <v>45</v>
      </c>
      <c r="C48" t="s">
        <v>212</v>
      </c>
      <c r="D48" t="b">
        <v>1</v>
      </c>
      <c r="E48" t="b">
        <v>1</v>
      </c>
      <c r="F48">
        <v>1</v>
      </c>
      <c r="H48" t="s">
        <v>213</v>
      </c>
      <c r="I48">
        <v>3760</v>
      </c>
      <c r="J48">
        <v>239</v>
      </c>
      <c r="K48">
        <v>477</v>
      </c>
      <c r="L48">
        <v>0</v>
      </c>
      <c r="M48">
        <v>1</v>
      </c>
      <c r="N48">
        <v>1</v>
      </c>
      <c r="O48" t="str">
        <f>HYPERLINK("https://images.diginfra.net/framed3.html?imagesetuuid=dc1aea1e-5e7b-4d50-b913-c0d5902dbd85&amp;uri=https://images.diginfra.net/iiif/NL-HaNA_1.01.02/3760/NL-HaNA_1.01.02_3760_0239.jpg", "viewer_url")</f>
        <v>viewer_url</v>
      </c>
      <c r="P48" t="str">
        <f>HYPERLINK("https://images.diginfra.net/iiif/NL-HaNA_1.01.02/3760/NL-HaNA_1.01.02_3760_0239.jpg/2357,771,1107,2607/full/0/default.jpg", "iiif_url")</f>
        <v>iiif_url</v>
      </c>
      <c r="Q48" t="s">
        <v>214</v>
      </c>
      <c r="R48" t="str">
        <f>HYPERLINK("https://images.diginfra.net/framed3.html?imagesetuuid=dc1aea1e-5e7b-4d50-b913-c0d5902dbd85&amp;uri=https://images.diginfra.net/iiif/NL-HaNA_1.01.02/3760/NL-HaNA_1.01.02_3760_0242.jpg", "next_meeting_viewer_url")</f>
        <v>next_meeting_viewer_url</v>
      </c>
      <c r="S48" t="str">
        <f>HYPERLINK("https://images.diginfra.net/iiif/NL-HaNA_1.01.02/3760/NL-HaNA_1.01.02_3760_0242.jpg/1282,1711,1086,1691/full/0/default.jpg", "next_meeting_iiif_url")</f>
        <v>next_meeting_iiif_url</v>
      </c>
      <c r="U48" t="str">
        <f>HYPERLINK("https://images.diginfra.net/framed3.html?imagesetuuid=dc1aea1e-5e7b-4d50-b913-c0d5902dbd85&amp;uri=https://images.diginfra.net/iiif/NL-HaNA_1.01.02/3760/NL-HaNA_1.01.02_3760_0235.jpg", "prev_meeting_viewer_url")</f>
        <v>prev_meeting_viewer_url</v>
      </c>
      <c r="V48" t="str">
        <f>HYPERLINK("https://images.diginfra.net/iiif/NL-HaNA_1.01.02/3760/NL-HaNA_1.01.02_3760_0235.jpg/2350,664,1084,2689/full/0/default.jpg", "prev_meeting_iiif_url")</f>
        <v>prev_meeting_iiif_url</v>
      </c>
    </row>
    <row r="49" spans="1:22" x14ac:dyDescent="0.2">
      <c r="A49" t="s">
        <v>215</v>
      </c>
      <c r="B49" t="s">
        <v>45</v>
      </c>
      <c r="D49" t="b">
        <v>1</v>
      </c>
      <c r="E49" t="b">
        <v>0</v>
      </c>
      <c r="F49">
        <v>0</v>
      </c>
      <c r="O49" t="str">
        <f>HYPERLINK("None", "viewer_url")</f>
        <v>viewer_url</v>
      </c>
      <c r="P49" t="str">
        <f>HYPERLINK("None", "iiif_url")</f>
        <v>iiif_url</v>
      </c>
      <c r="Q49" t="s">
        <v>216</v>
      </c>
      <c r="R49" t="str">
        <f>HYPERLINK("https://images.diginfra.net/framed3.html?imagesetuuid=8305a309-5c79-4c0c-a981-7e350c76be32&amp;uri=https://images.diginfra.net/iiif/NL-HaNA_1.01.02/3793/NL-HaNA_1.01.02_3793_0136.jpg", "next_meeting_viewer_url")</f>
        <v>next_meeting_viewer_url</v>
      </c>
      <c r="S49" t="str">
        <f>HYPERLINK("https://images.diginfra.net/iiif/NL-HaNA_1.01.02/3793/NL-HaNA_1.01.02_3793_0136.jpg/1300,2367,1056,1024/full/0/default.jpg", "next_meeting_iiif_url")</f>
        <v>next_meeting_iiif_url</v>
      </c>
      <c r="T49" t="s">
        <v>217</v>
      </c>
      <c r="U49" t="str">
        <f>HYPERLINK("https://images.diginfra.net/framed3.html?imagesetuuid=8305a309-5c79-4c0c-a981-7e350c76be32&amp;uri=https://images.diginfra.net/iiif/NL-HaNA_1.01.02/3793/NL-HaNA_1.01.02_3793_0133.jpg", "prev_meeting_viewer_url")</f>
        <v>prev_meeting_viewer_url</v>
      </c>
      <c r="V49" t="str">
        <f>HYPERLINK("https://images.diginfra.net/iiif/NL-HaNA_1.01.02/3793/NL-HaNA_1.01.02_3793_0133.jpg/2539,1971,1038,1460/full/0/default.jpg", "prev_meeting_iiif_url")</f>
        <v>prev_meeting_iiif_url</v>
      </c>
    </row>
    <row r="50" spans="1:22" x14ac:dyDescent="0.2">
      <c r="A50" t="s">
        <v>218</v>
      </c>
      <c r="B50" t="s">
        <v>27</v>
      </c>
      <c r="D50" t="b">
        <v>1</v>
      </c>
      <c r="E50" t="b">
        <v>1</v>
      </c>
      <c r="F50">
        <v>1</v>
      </c>
      <c r="H50" t="s">
        <v>219</v>
      </c>
      <c r="I50">
        <v>3811</v>
      </c>
      <c r="J50">
        <v>354</v>
      </c>
      <c r="K50">
        <v>707</v>
      </c>
      <c r="L50">
        <v>0</v>
      </c>
      <c r="M50">
        <v>0</v>
      </c>
      <c r="N50">
        <v>0</v>
      </c>
      <c r="O50" t="str">
        <f>HYPERLINK("https://images.diginfra.net/framed3.html?imagesetuuid=f707f64c-15ec-4624-ba99-82cb83d16c2c&amp;uri=https://images.diginfra.net/iiif/NL-HaNA_1.01.02/3811/NL-HaNA_1.01.02_3811_0354.jpg", "viewer_url")</f>
        <v>viewer_url</v>
      </c>
      <c r="P50" t="str">
        <f>HYPERLINK("https://images.diginfra.net/iiif/NL-HaNA_1.01.02/3811/NL-HaNA_1.01.02_3811_0354.jpg/2376,388,1092,3056/full/0/default.jpg", "iiif_url")</f>
        <v>iiif_url</v>
      </c>
      <c r="Q50" t="s">
        <v>220</v>
      </c>
      <c r="R50" t="str">
        <f>HYPERLINK("https://images.diginfra.net/framed3.html?imagesetuuid=f707f64c-15ec-4624-ba99-82cb83d16c2c&amp;uri=https://images.diginfra.net/iiif/NL-HaNA_1.01.02/3811/NL-HaNA_1.01.02_3811_0361.jpg", "next_meeting_viewer_url")</f>
        <v>next_meeting_viewer_url</v>
      </c>
      <c r="S50" t="str">
        <f>HYPERLINK("https://images.diginfra.net/iiif/NL-HaNA_1.01.02/3811/NL-HaNA_1.01.02_3811_0361.jpg/2328,2213,1090,1217/full/0/default.jpg", "next_meeting_iiif_url")</f>
        <v>next_meeting_iiif_url</v>
      </c>
      <c r="U50" t="str">
        <f>HYPERLINK("https://images.diginfra.net/framed3.html?imagesetuuid=f707f64c-15ec-4624-ba99-82cb83d16c2c&amp;uri=https://images.diginfra.net/iiif/NL-HaNA_1.01.02/3811/NL-HaNA_1.01.02_3811_0353.jpg", "prev_meeting_viewer_url")</f>
        <v>prev_meeting_viewer_url</v>
      </c>
      <c r="V50" t="str">
        <f>HYPERLINK("https://images.diginfra.net/iiif/NL-HaNA_1.01.02/3811/NL-HaNA_1.01.02_3811_0353.jpg/1221,1762,1130,1657/full/0/default.jpg", "prev_meeting_iiif_url")</f>
        <v>prev_meeting_iiif_url</v>
      </c>
    </row>
    <row r="51" spans="1:22" x14ac:dyDescent="0.2">
      <c r="A51" t="s">
        <v>221</v>
      </c>
      <c r="B51" t="s">
        <v>45</v>
      </c>
      <c r="D51" t="b">
        <v>1</v>
      </c>
      <c r="E51" t="b">
        <v>0</v>
      </c>
      <c r="F51">
        <v>0</v>
      </c>
      <c r="O51" t="str">
        <f>HYPERLINK("None", "viewer_url")</f>
        <v>viewer_url</v>
      </c>
      <c r="P51" t="str">
        <f>HYPERLINK("None", "iiif_url")</f>
        <v>iiif_url</v>
      </c>
    </row>
    <row r="52" spans="1:22" x14ac:dyDescent="0.2">
      <c r="A52" t="s">
        <v>222</v>
      </c>
      <c r="B52" t="s">
        <v>36</v>
      </c>
      <c r="D52" t="b">
        <v>0</v>
      </c>
      <c r="E52" t="b">
        <v>0</v>
      </c>
      <c r="F52">
        <v>1</v>
      </c>
      <c r="O52" t="str">
        <f>HYPERLINK("None", "viewer_url")</f>
        <v>viewer_url</v>
      </c>
      <c r="P52" t="str">
        <f>HYPERLINK("None", "iiif_url")</f>
        <v>iiif_url</v>
      </c>
      <c r="Q52" t="s">
        <v>223</v>
      </c>
      <c r="R52" t="str">
        <f>HYPERLINK("https://images.diginfra.net/framed3.html?imagesetuuid=278358e3-85df-45df-a4c3-0043ae8e62fa&amp;uri=https://images.diginfra.net/iiif/NL-HaNA_1.01.02/3804/NL-HaNA_1.01.02_3804_0427.jpg", "next_meeting_viewer_url")</f>
        <v>next_meeting_viewer_url</v>
      </c>
      <c r="S52" t="str">
        <f>HYPERLINK("https://images.diginfra.net/iiif/NL-HaNA_1.01.02/3804/NL-HaNA_1.01.02_3804_0427.jpg/1211,692,1136,2641/full/0/default.jpg", "next_meeting_iiif_url")</f>
        <v>next_meeting_iiif_url</v>
      </c>
      <c r="T52" t="s">
        <v>224</v>
      </c>
      <c r="U52" t="str">
        <f>HYPERLINK("https://images.diginfra.net/framed3.html?imagesetuuid=278358e3-85df-45df-a4c3-0043ae8e62fa&amp;uri=https://images.diginfra.net/iiif/NL-HaNA_1.01.02/3804/NL-HaNA_1.01.02_3804_0426.jpg", "prev_meeting_viewer_url")</f>
        <v>prev_meeting_viewer_url</v>
      </c>
      <c r="V52" t="str">
        <f>HYPERLINK("https://images.diginfra.net/iiif/NL-HaNA_1.01.02/3804/NL-HaNA_1.01.02_3804_0426.jpg/3341,1034,1120,2373/full/0/default.jpg", "prev_meeting_iiif_url")</f>
        <v>prev_meeting_iiif_url</v>
      </c>
    </row>
    <row r="53" spans="1:22" x14ac:dyDescent="0.2">
      <c r="A53" t="s">
        <v>225</v>
      </c>
      <c r="B53" t="s">
        <v>36</v>
      </c>
      <c r="D53" t="b">
        <v>0</v>
      </c>
      <c r="E53" t="b">
        <v>0</v>
      </c>
      <c r="F53">
        <v>1</v>
      </c>
      <c r="O53" t="str">
        <f>HYPERLINK("None", "viewer_url")</f>
        <v>viewer_url</v>
      </c>
      <c r="P53" t="str">
        <f>HYPERLINK("None", "iiif_url")</f>
        <v>iiif_url</v>
      </c>
      <c r="Q53" t="s">
        <v>226</v>
      </c>
      <c r="R53" t="str">
        <f>HYPERLINK("https://images.diginfra.net/framed3.html?imagesetuuid=168ac05c-00de-43e1-bb35-d8e406b92363&amp;uri=https://images.diginfra.net/iiif/NL-HaNA_1.01.02/3763/NL-HaNA_1.01.02_3763_0122.jpg", "next_meeting_viewer_url")</f>
        <v>next_meeting_viewer_url</v>
      </c>
      <c r="S53" t="str">
        <f>HYPERLINK("https://images.diginfra.net/iiif/NL-HaNA_1.01.02/3763/NL-HaNA_1.01.02_3763_0122.jpg/2341,2199,1069,1079/full/0/default.jpg", "next_meeting_iiif_url")</f>
        <v>next_meeting_iiif_url</v>
      </c>
      <c r="T53" t="s">
        <v>227</v>
      </c>
      <c r="U53" t="str">
        <f>HYPERLINK("https://images.diginfra.net/framed3.html?imagesetuuid=168ac05c-00de-43e1-bb35-d8e406b92363&amp;uri=https://images.diginfra.net/iiif/NL-HaNA_1.01.02/3763/NL-HaNA_1.01.02_3763_0120.jpg", "prev_meeting_viewer_url")</f>
        <v>prev_meeting_viewer_url</v>
      </c>
      <c r="V53" t="str">
        <f>HYPERLINK("https://images.diginfra.net/iiif/NL-HaNA_1.01.02/3763/NL-HaNA_1.01.02_3763_0120.jpg/3281,1854,1102,1571/full/0/default.jpg", "prev_meeting_iiif_url")</f>
        <v>prev_meeting_iiif_url</v>
      </c>
    </row>
    <row r="54" spans="1:22" x14ac:dyDescent="0.2">
      <c r="A54" t="s">
        <v>228</v>
      </c>
      <c r="B54" t="s">
        <v>27</v>
      </c>
      <c r="D54" t="b">
        <v>1</v>
      </c>
      <c r="E54" t="b">
        <v>1</v>
      </c>
      <c r="F54">
        <v>1</v>
      </c>
      <c r="H54" t="s">
        <v>229</v>
      </c>
      <c r="I54">
        <v>3852</v>
      </c>
      <c r="J54">
        <v>499</v>
      </c>
      <c r="K54">
        <v>997</v>
      </c>
      <c r="L54">
        <v>0</v>
      </c>
      <c r="M54">
        <v>1</v>
      </c>
      <c r="N54">
        <v>1</v>
      </c>
      <c r="O54" t="str">
        <f>HYPERLINK("https://images.diginfra.net/framed3.html?imagesetuuid=3b3d915a-84ba-4c76-9942-747a007cc965&amp;uri=https://images.diginfra.net/iiif/NL-HaNA_1.01.02/3852/NL-HaNA_1.01.02_3852_0499.jpg", "viewer_url")</f>
        <v>viewer_url</v>
      </c>
      <c r="P54" t="str">
        <f>HYPERLINK("https://images.diginfra.net/iiif/NL-HaNA_1.01.02/3852/NL-HaNA_1.01.02_3852_0499.jpg/2414,617,1078,2833/full/0/default.jpg", "iiif_url")</f>
        <v>iiif_url</v>
      </c>
      <c r="Q54" t="s">
        <v>230</v>
      </c>
      <c r="R54" t="str">
        <f>HYPERLINK("https://images.diginfra.net/framed3.html?imagesetuuid=3b3d915a-84ba-4c76-9942-747a007cc965&amp;uri=https://images.diginfra.net/iiif/NL-HaNA_1.01.02/3852/NL-HaNA_1.01.02_3852_0502.jpg", "next_meeting_viewer_url")</f>
        <v>next_meeting_viewer_url</v>
      </c>
      <c r="S54" t="str">
        <f>HYPERLINK("https://images.diginfra.net/iiif/NL-HaNA_1.01.02/3852/NL-HaNA_1.01.02_3852_0502.jpg/1301,2449,1013,964/full/0/default.jpg", "next_meeting_iiif_url")</f>
        <v>next_meeting_iiif_url</v>
      </c>
      <c r="T54" t="s">
        <v>231</v>
      </c>
      <c r="U54" t="str">
        <f>HYPERLINK("https://images.diginfra.net/framed3.html?imagesetuuid=3b3d915a-84ba-4c76-9942-747a007cc965&amp;uri=https://images.diginfra.net/iiif/NL-HaNA_1.01.02/3852/NL-HaNA_1.01.02_3852_0497.jpg", "prev_meeting_viewer_url")</f>
        <v>prev_meeting_viewer_url</v>
      </c>
      <c r="V54" t="str">
        <f>HYPERLINK("https://images.diginfra.net/iiif/NL-HaNA_1.01.02/3852/NL-HaNA_1.01.02_3852_0497.jpg/1249,948,1086,2495/full/0/default.jpg", "prev_meeting_iiif_url")</f>
        <v>prev_meeting_iiif_url</v>
      </c>
    </row>
    <row r="55" spans="1:22" x14ac:dyDescent="0.2">
      <c r="A55" t="s">
        <v>232</v>
      </c>
      <c r="B55" t="s">
        <v>45</v>
      </c>
      <c r="C55" t="s">
        <v>233</v>
      </c>
      <c r="D55" t="b">
        <v>1</v>
      </c>
      <c r="E55" t="b">
        <v>1</v>
      </c>
      <c r="F55">
        <v>0</v>
      </c>
      <c r="H55" t="s">
        <v>234</v>
      </c>
      <c r="I55">
        <v>3834</v>
      </c>
      <c r="J55">
        <v>536</v>
      </c>
      <c r="K55">
        <v>1070</v>
      </c>
      <c r="L55">
        <v>2</v>
      </c>
      <c r="M55">
        <v>0</v>
      </c>
      <c r="N55">
        <v>39</v>
      </c>
      <c r="O55" t="str">
        <f>HYPERLINK("https://images.diginfra.net/framed3.html?imagesetuuid=bf11cd8e-e3f4-444c-9caa-dcdfd20137d7&amp;uri=https://images.diginfra.net/iiif/NL-HaNA_1.01.02/3834/NL-HaNA_1.01.02_3834_0536.jpg", "viewer_url")</f>
        <v>viewer_url</v>
      </c>
      <c r="P55" t="str">
        <f>HYPERLINK("https://images.diginfra.net/iiif/NL-HaNA_1.01.02/3834/NL-HaNA_1.01.02_3834_0536.jpg/1292,1998,1076,1327/full/0/default.jpg", "iiif_url")</f>
        <v>iiif_url</v>
      </c>
      <c r="Q55" t="s">
        <v>235</v>
      </c>
      <c r="R55" t="str">
        <f>HYPERLINK("https://images.diginfra.net/framed3.html?imagesetuuid=bf11cd8e-e3f4-444c-9caa-dcdfd20137d7&amp;uri=https://images.diginfra.net/iiif/NL-HaNA_1.01.02/3834/NL-HaNA_1.01.02_3834_0539.jpg", "next_meeting_viewer_url")</f>
        <v>next_meeting_viewer_url</v>
      </c>
      <c r="S55" t="str">
        <f>HYPERLINK("https://images.diginfra.net/iiif/NL-HaNA_1.01.02/3834/NL-HaNA_1.01.02_3834_0539.jpg/318,1731,1080,1721/full/0/default.jpg", "next_meeting_iiif_url")</f>
        <v>next_meeting_iiif_url</v>
      </c>
      <c r="U55" t="str">
        <f>HYPERLINK("https://images.diginfra.net/framed3.html?imagesetuuid=bf11cd8e-e3f4-444c-9caa-dcdfd20137d7&amp;uri=https://images.diginfra.net/iiif/NL-HaNA_1.01.02/3834/NL-HaNA_1.01.02_3834_0527.jpg", "prev_meeting_viewer_url")</f>
        <v>prev_meeting_viewer_url</v>
      </c>
      <c r="V55" t="str">
        <f>HYPERLINK("https://images.diginfra.net/iiif/NL-HaNA_1.01.02/3834/NL-HaNA_1.01.02_3834_0527.jpg/3322,2796,1093,586/full/0/default.jpg", "prev_meeting_iiif_url")</f>
        <v>prev_meeting_iiif_url</v>
      </c>
    </row>
    <row r="56" spans="1:22" x14ac:dyDescent="0.2">
      <c r="A56" t="s">
        <v>236</v>
      </c>
      <c r="B56" t="s">
        <v>30</v>
      </c>
      <c r="C56" t="s">
        <v>237</v>
      </c>
      <c r="D56" t="b">
        <v>1</v>
      </c>
      <c r="E56" t="b">
        <v>1</v>
      </c>
      <c r="F56">
        <v>1</v>
      </c>
      <c r="H56" t="s">
        <v>238</v>
      </c>
      <c r="I56">
        <v>3854</v>
      </c>
      <c r="J56">
        <v>327</v>
      </c>
      <c r="K56">
        <v>652</v>
      </c>
      <c r="L56">
        <v>0</v>
      </c>
      <c r="M56">
        <v>0</v>
      </c>
      <c r="N56">
        <v>0</v>
      </c>
      <c r="O56" t="str">
        <f>HYPERLINK("https://images.diginfra.net/framed3.html?imagesetuuid=f18f1f43-56cc-43ad-847f-eb4be3207bcc&amp;uri=https://images.diginfra.net/iiif/NL-HaNA_1.01.02/3854/NL-HaNA_1.01.02_3854_0327.jpg", "viewer_url")</f>
        <v>viewer_url</v>
      </c>
      <c r="P56" t="str">
        <f>HYPERLINK("https://images.diginfra.net/iiif/NL-HaNA_1.01.02/3854/NL-HaNA_1.01.02_3854_0327.jpg/308,296,1071,3129/full/0/default.jpg", "iiif_url")</f>
        <v>iiif_url</v>
      </c>
      <c r="Q56" t="s">
        <v>239</v>
      </c>
      <c r="R56" t="str">
        <f>HYPERLINK("https://images.diginfra.net/framed3.html?imagesetuuid=f18f1f43-56cc-43ad-847f-eb4be3207bcc&amp;uri=https://images.diginfra.net/iiif/NL-HaNA_1.01.02/3854/NL-HaNA_1.01.02_3854_0329.jpg", "next_meeting_viewer_url")</f>
        <v>next_meeting_viewer_url</v>
      </c>
      <c r="S56" t="str">
        <f>HYPERLINK("https://images.diginfra.net/iiif/NL-HaNA_1.01.02/3854/NL-HaNA_1.01.02_3854_0329.jpg/289,1112,1075,2351/full/0/default.jpg", "next_meeting_iiif_url")</f>
        <v>next_meeting_iiif_url</v>
      </c>
      <c r="T56" t="s">
        <v>240</v>
      </c>
      <c r="U56" t="str">
        <f>HYPERLINK("https://images.diginfra.net/framed3.html?imagesetuuid=f18f1f43-56cc-43ad-847f-eb4be3207bcc&amp;uri=https://images.diginfra.net/iiif/NL-HaNA_1.01.02/3854/NL-HaNA_1.01.02_3854_0324.jpg", "prev_meeting_viewer_url")</f>
        <v>prev_meeting_viewer_url</v>
      </c>
      <c r="V56" t="str">
        <f>HYPERLINK("https://images.diginfra.net/iiif/NL-HaNA_1.01.02/3854/NL-HaNA_1.01.02_3854_0324.jpg/1232,506,1083,2903/full/0/default.jpg", "prev_meeting_iiif_url")</f>
        <v>prev_meeting_iiif_url</v>
      </c>
    </row>
    <row r="57" spans="1:22" x14ac:dyDescent="0.2">
      <c r="A57" t="s">
        <v>241</v>
      </c>
      <c r="B57" t="s">
        <v>30</v>
      </c>
      <c r="C57" t="s">
        <v>242</v>
      </c>
      <c r="D57" t="b">
        <v>1</v>
      </c>
      <c r="E57" t="b">
        <v>1</v>
      </c>
      <c r="F57">
        <v>1</v>
      </c>
      <c r="H57" t="s">
        <v>243</v>
      </c>
      <c r="I57">
        <v>3812</v>
      </c>
      <c r="J57">
        <v>497</v>
      </c>
      <c r="K57">
        <v>992</v>
      </c>
      <c r="L57">
        <v>1</v>
      </c>
      <c r="M57">
        <v>2</v>
      </c>
      <c r="N57">
        <v>0</v>
      </c>
      <c r="O57" t="str">
        <f>HYPERLINK("https://images.diginfra.net/framed3.html?imagesetuuid=2068053a-a1c4-40f9-a503-3778784a1420&amp;uri=https://images.diginfra.net/iiif/NL-HaNA_1.01.02/3812/NL-HaNA_1.01.02_3812_0497.jpg", "viewer_url")</f>
        <v>viewer_url</v>
      </c>
      <c r="P57" t="str">
        <f>HYPERLINK("https://images.diginfra.net/iiif/NL-HaNA_1.01.02/3812/NL-HaNA_1.01.02_3812_0497.jpg/1206,2814,1098,592/full/0/default.jpg", "iiif_url")</f>
        <v>iiif_url</v>
      </c>
    </row>
    <row r="58" spans="1:22" x14ac:dyDescent="0.2">
      <c r="A58" t="s">
        <v>244</v>
      </c>
      <c r="B58" t="s">
        <v>27</v>
      </c>
      <c r="C58" t="s">
        <v>245</v>
      </c>
      <c r="D58" t="b">
        <v>1</v>
      </c>
      <c r="E58" t="b">
        <v>1</v>
      </c>
      <c r="F58">
        <v>1</v>
      </c>
      <c r="H58" t="s">
        <v>246</v>
      </c>
      <c r="I58">
        <v>3790</v>
      </c>
      <c r="J58">
        <v>395</v>
      </c>
      <c r="K58">
        <v>789</v>
      </c>
      <c r="L58">
        <v>0</v>
      </c>
      <c r="M58">
        <v>0</v>
      </c>
      <c r="N58">
        <v>6</v>
      </c>
      <c r="O58" t="str">
        <f>HYPERLINK("https://images.diginfra.net/framed3.html?imagesetuuid=8d608d2f-df2b-437f-936a-e002ab9d5d08&amp;uri=https://images.diginfra.net/iiif/NL-HaNA_1.01.02/3790/NL-HaNA_1.01.02_3790_0395.jpg", "viewer_url")</f>
        <v>viewer_url</v>
      </c>
      <c r="P58" t="str">
        <f>HYPERLINK("https://images.diginfra.net/iiif/NL-HaNA_1.01.02/3790/NL-HaNA_1.01.02_3790_0395.jpg/2542,612,1105,2882/full/0/default.jpg", "iiif_url")</f>
        <v>iiif_url</v>
      </c>
      <c r="Q58" t="s">
        <v>247</v>
      </c>
      <c r="R58" t="str">
        <f>HYPERLINK("https://images.diginfra.net/framed3.html?imagesetuuid=8d608d2f-df2b-437f-936a-e002ab9d5d08&amp;uri=https://images.diginfra.net/iiif/NL-HaNA_1.01.02/3790/NL-HaNA_1.01.02_3790_0396.jpg", "next_meeting_viewer_url")</f>
        <v>next_meeting_viewer_url</v>
      </c>
      <c r="S58" t="str">
        <f>HYPERLINK("https://images.diginfra.net/iiif/NL-HaNA_1.01.02/3790/NL-HaNA_1.01.02_3790_0396.jpg/1259,898,1126,2489/full/0/default.jpg", "next_meeting_iiif_url")</f>
        <v>next_meeting_iiif_url</v>
      </c>
      <c r="T58" t="s">
        <v>248</v>
      </c>
      <c r="U58" t="str">
        <f>HYPERLINK("https://images.diginfra.net/framed3.html?imagesetuuid=8d608d2f-df2b-437f-936a-e002ab9d5d08&amp;uri=https://images.diginfra.net/iiif/NL-HaNA_1.01.02/3790/NL-HaNA_1.01.02_3790_0394.jpg", "prev_meeting_viewer_url")</f>
        <v>prev_meeting_viewer_url</v>
      </c>
      <c r="V58" t="str">
        <f>HYPERLINK("https://images.diginfra.net/iiif/NL-HaNA_1.01.02/3790/NL-HaNA_1.01.02_3790_0394.jpg/1279,2783,1111,663/full/0/default.jpg", "prev_meeting_iiif_url")</f>
        <v>prev_meeting_iiif_url</v>
      </c>
    </row>
    <row r="59" spans="1:22" x14ac:dyDescent="0.2">
      <c r="A59" t="s">
        <v>249</v>
      </c>
      <c r="B59" t="s">
        <v>45</v>
      </c>
      <c r="D59" t="b">
        <v>1</v>
      </c>
      <c r="E59" t="b">
        <v>0</v>
      </c>
      <c r="F59">
        <v>0</v>
      </c>
      <c r="O59" t="str">
        <f>HYPERLINK("None", "viewer_url")</f>
        <v>viewer_url</v>
      </c>
      <c r="P59" t="str">
        <f>HYPERLINK("None", "iiif_url")</f>
        <v>iiif_url</v>
      </c>
      <c r="Q59" t="s">
        <v>250</v>
      </c>
      <c r="R59" t="str">
        <f>HYPERLINK("https://images.diginfra.net/framed3.html?imagesetuuid=d2997452-8788-4796-912c-2151f3b459f9&amp;uri=https://images.diginfra.net/iiif/NL-HaNA_1.01.02/3821/NL-HaNA_1.01.02_3821_0339.jpg", "next_meeting_viewer_url")</f>
        <v>next_meeting_viewer_url</v>
      </c>
      <c r="S59" t="str">
        <f>HYPERLINK("https://images.diginfra.net/iiif/NL-HaNA_1.01.02/3821/NL-HaNA_1.01.02_3821_0339.jpg/3309,2277,1060,1184/full/0/default.jpg", "next_meeting_iiif_url")</f>
        <v>next_meeting_iiif_url</v>
      </c>
      <c r="T59" t="s">
        <v>251</v>
      </c>
      <c r="U59" t="str">
        <f>HYPERLINK("https://images.diginfra.net/framed3.html?imagesetuuid=d2997452-8788-4796-912c-2151f3b459f9&amp;uri=https://images.diginfra.net/iiif/NL-HaNA_1.01.02/3821/NL-HaNA_1.01.02_3821_0335.jpg", "prev_meeting_viewer_url")</f>
        <v>prev_meeting_viewer_url</v>
      </c>
      <c r="V59" t="str">
        <f>HYPERLINK("https://images.diginfra.net/iiif/NL-HaNA_1.01.02/3821/NL-HaNA_1.01.02_3821_0335.jpg/3253,550,1084,2860/full/0/default.jpg", "prev_meeting_iiif_url")</f>
        <v>prev_meeting_iiif_url</v>
      </c>
    </row>
    <row r="60" spans="1:22" x14ac:dyDescent="0.2">
      <c r="A60" t="s">
        <v>252</v>
      </c>
      <c r="B60" t="s">
        <v>74</v>
      </c>
      <c r="D60" t="b">
        <v>1</v>
      </c>
      <c r="E60" t="b">
        <v>1</v>
      </c>
      <c r="F60">
        <v>1</v>
      </c>
      <c r="H60" t="s">
        <v>253</v>
      </c>
      <c r="I60">
        <v>3764</v>
      </c>
      <c r="J60">
        <v>226</v>
      </c>
      <c r="K60">
        <v>451</v>
      </c>
      <c r="L60">
        <v>0</v>
      </c>
      <c r="M60">
        <v>0</v>
      </c>
      <c r="N60">
        <v>0</v>
      </c>
      <c r="O60" t="str">
        <f>HYPERLINK("https://images.diginfra.net/framed3.html?imagesetuuid=111590de-8f08-498e-8bad-f6a289f87065&amp;uri=https://images.diginfra.net/iiif/NL-HaNA_1.01.02/3764/NL-HaNA_1.01.02_3764_0226.jpg", "viewer_url")</f>
        <v>viewer_url</v>
      </c>
      <c r="P60" t="str">
        <f>HYPERLINK("https://images.diginfra.net/iiif/NL-HaNA_1.01.02/3764/NL-HaNA_1.01.02_3764_0226.jpg/2443,312,1114,3001/full/0/default.jpg", "iiif_url")</f>
        <v>iiif_url</v>
      </c>
      <c r="Q60" t="s">
        <v>254</v>
      </c>
      <c r="R60" t="str">
        <f>HYPERLINK("https://images.diginfra.net/framed3.html?imagesetuuid=111590de-8f08-498e-8bad-f6a289f87065&amp;uri=https://images.diginfra.net/iiif/NL-HaNA_1.01.02/3764/NL-HaNA_1.01.02_3764_0228.jpg", "next_meeting_viewer_url")</f>
        <v>next_meeting_viewer_url</v>
      </c>
      <c r="S60" t="str">
        <f>HYPERLINK("https://images.diginfra.net/iiif/NL-HaNA_1.01.02/3764/NL-HaNA_1.01.02_3764_0228.jpg/2476,2111,1037,1230/full/0/default.jpg", "next_meeting_iiif_url")</f>
        <v>next_meeting_iiif_url</v>
      </c>
      <c r="T60" t="s">
        <v>255</v>
      </c>
      <c r="U60" t="str">
        <f>HYPERLINK("https://images.diginfra.net/framed3.html?imagesetuuid=111590de-8f08-498e-8bad-f6a289f87065&amp;uri=https://images.diginfra.net/iiif/NL-HaNA_1.01.02/3764/NL-HaNA_1.01.02_3764_0224.jpg", "prev_meeting_viewer_url")</f>
        <v>prev_meeting_viewer_url</v>
      </c>
      <c r="V60" t="str">
        <f>HYPERLINK("https://images.diginfra.net/iiif/NL-HaNA_1.01.02/3764/NL-HaNA_1.01.02_3764_0224.jpg/3417,249,1137,3077/full/0/default.jpg", "prev_meeting_iiif_url")</f>
        <v>prev_meeting_iiif_url</v>
      </c>
    </row>
    <row r="61" spans="1:22" x14ac:dyDescent="0.2">
      <c r="A61" t="s">
        <v>256</v>
      </c>
      <c r="B61" t="s">
        <v>65</v>
      </c>
      <c r="C61" t="s">
        <v>257</v>
      </c>
      <c r="D61" t="b">
        <v>1</v>
      </c>
      <c r="E61" t="b">
        <v>1</v>
      </c>
      <c r="F61">
        <v>1</v>
      </c>
      <c r="H61" t="s">
        <v>258</v>
      </c>
      <c r="I61">
        <v>3766</v>
      </c>
      <c r="J61">
        <v>652</v>
      </c>
      <c r="K61">
        <v>1302</v>
      </c>
      <c r="L61">
        <v>0</v>
      </c>
      <c r="M61">
        <v>3</v>
      </c>
      <c r="N61">
        <v>0</v>
      </c>
      <c r="O61" t="str">
        <f>HYPERLINK("https://images.diginfra.net/framed3.html?imagesetuuid=a6b973ba-587c-4902-9423-42544f6e97a0&amp;uri=https://images.diginfra.net/iiif/NL-HaNA_1.01.02/3766/NL-HaNA_1.01.02_3766_0652.jpg", "viewer_url")</f>
        <v>viewer_url</v>
      </c>
      <c r="P61" t="str">
        <f>HYPERLINK("https://images.diginfra.net/iiif/NL-HaNA_1.01.02/3766/NL-HaNA_1.01.02_3766_0652.jpg/484,2998,702,368/full/0/default.jpg", "iiif_url")</f>
        <v>iiif_url</v>
      </c>
      <c r="Q61" t="s">
        <v>259</v>
      </c>
      <c r="R61" t="str">
        <f>HYPERLINK("https://images.diginfra.net/framed3.html?imagesetuuid=a6b973ba-587c-4902-9423-42544f6e97a0&amp;uri=https://images.diginfra.net/iiif/NL-HaNA_1.01.02/3766/NL-HaNA_1.01.02_3766_0654.jpg", "next_meeting_viewer_url")</f>
        <v>next_meeting_viewer_url</v>
      </c>
      <c r="S61" t="str">
        <f>HYPERLINK("https://images.diginfra.net/iiif/NL-HaNA_1.01.02/3766/NL-HaNA_1.01.02_3766_0654.jpg/2417,2047,1104,1365/full/0/default.jpg", "next_meeting_iiif_url")</f>
        <v>next_meeting_iiif_url</v>
      </c>
      <c r="T61" t="s">
        <v>260</v>
      </c>
      <c r="U61" t="str">
        <f>HYPERLINK("https://images.diginfra.net/framed3.html?imagesetuuid=a6b973ba-587c-4902-9423-42544f6e97a0&amp;uri=https://images.diginfra.net/iiif/NL-HaNA_1.01.02/3766/NL-HaNA_1.01.02_3766_0650.jpg", "prev_meeting_viewer_url")</f>
        <v>prev_meeting_viewer_url</v>
      </c>
      <c r="V61" t="str">
        <f>HYPERLINK("https://images.diginfra.net/iiif/NL-HaNA_1.01.02/3766/NL-HaNA_1.01.02_3766_0650.jpg/261,1646,1111,1768/full/0/default.jpg", "prev_meeting_iiif_url")</f>
        <v>prev_meeting_iiif_url</v>
      </c>
    </row>
    <row r="62" spans="1:22" x14ac:dyDescent="0.2">
      <c r="A62" t="s">
        <v>261</v>
      </c>
      <c r="B62" t="s">
        <v>45</v>
      </c>
      <c r="C62" t="s">
        <v>262</v>
      </c>
      <c r="D62" t="b">
        <v>1</v>
      </c>
      <c r="E62" t="b">
        <v>1</v>
      </c>
      <c r="F62">
        <v>1</v>
      </c>
      <c r="H62" t="s">
        <v>263</v>
      </c>
      <c r="I62">
        <v>3824</v>
      </c>
      <c r="J62">
        <v>181</v>
      </c>
      <c r="K62">
        <v>361</v>
      </c>
      <c r="L62">
        <v>0</v>
      </c>
      <c r="M62">
        <v>2</v>
      </c>
      <c r="N62">
        <v>0</v>
      </c>
      <c r="O62" t="str">
        <f>HYPERLINK("https://images.diginfra.net/framed3.html?imagesetuuid=dd191040-86df-4eff-a597-814a829dbed3&amp;uri=https://images.diginfra.net/iiif/NL-HaNA_1.01.02/3824/NL-HaNA_1.01.02_3824_0181.jpg", "viewer_url")</f>
        <v>viewer_url</v>
      </c>
      <c r="P62" t="str">
        <f>HYPERLINK("https://images.diginfra.net/iiif/NL-HaNA_1.01.02/3824/NL-HaNA_1.01.02_3824_0181.jpg/2463,2526,987,852/full/0/default.jpg", "iiif_url")</f>
        <v>iiif_url</v>
      </c>
      <c r="Q62" t="s">
        <v>264</v>
      </c>
      <c r="R62" t="str">
        <f>HYPERLINK("https://images.diginfra.net/framed3.html?imagesetuuid=dd191040-86df-4eff-a597-814a829dbed3&amp;uri=https://images.diginfra.net/iiif/NL-HaNA_1.01.02/3824/NL-HaNA_1.01.02_3824_0184.jpg", "next_meeting_viewer_url")</f>
        <v>next_meeting_viewer_url</v>
      </c>
      <c r="S62" t="str">
        <f>HYPERLINK("https://images.diginfra.net/iiif/NL-HaNA_1.01.02/3824/NL-HaNA_1.01.02_3824_0184.jpg/3367,317,1145,3080/full/0/default.jpg", "next_meeting_iiif_url")</f>
        <v>next_meeting_iiif_url</v>
      </c>
    </row>
    <row r="63" spans="1:22" x14ac:dyDescent="0.2">
      <c r="A63" t="s">
        <v>265</v>
      </c>
      <c r="B63" t="s">
        <v>30</v>
      </c>
      <c r="D63" t="b">
        <v>1</v>
      </c>
      <c r="E63" t="b">
        <v>0</v>
      </c>
      <c r="F63">
        <v>1</v>
      </c>
      <c r="O63" t="str">
        <f>HYPERLINK("None", "viewer_url")</f>
        <v>viewer_url</v>
      </c>
      <c r="P63" t="str">
        <f>HYPERLINK("None", "iiif_url")</f>
        <v>iiif_url</v>
      </c>
    </row>
    <row r="64" spans="1:22" x14ac:dyDescent="0.2">
      <c r="A64" t="s">
        <v>266</v>
      </c>
      <c r="B64" t="s">
        <v>45</v>
      </c>
      <c r="C64" t="s">
        <v>267</v>
      </c>
      <c r="D64" t="b">
        <v>1</v>
      </c>
      <c r="E64" t="b">
        <v>1</v>
      </c>
      <c r="F64">
        <v>1</v>
      </c>
      <c r="H64" t="s">
        <v>268</v>
      </c>
      <c r="I64">
        <v>3762</v>
      </c>
      <c r="J64">
        <v>459</v>
      </c>
      <c r="K64">
        <v>916</v>
      </c>
      <c r="L64">
        <v>0</v>
      </c>
      <c r="M64">
        <v>1</v>
      </c>
      <c r="N64">
        <v>0</v>
      </c>
      <c r="O64" t="str">
        <f>HYPERLINK("https://images.diginfra.net/framed3.html?imagesetuuid=df3dafee-b161-42ae-8ffe-6d7f9dbb63ed&amp;uri=https://images.diginfra.net/iiif/NL-HaNA_1.01.02/3762/NL-HaNA_1.01.02_3762_0459.jpg", "viewer_url")</f>
        <v>viewer_url</v>
      </c>
      <c r="P64" t="str">
        <f>HYPERLINK("https://images.diginfra.net/iiif/NL-HaNA_1.01.02/3762/NL-HaNA_1.01.02_3762_0459.jpg/322,1035,1101,2347/full/0/default.jpg", "iiif_url")</f>
        <v>iiif_url</v>
      </c>
      <c r="Q64" t="s">
        <v>269</v>
      </c>
      <c r="R64" t="str">
        <f>HYPERLINK("https://images.diginfra.net/framed3.html?imagesetuuid=df3dafee-b161-42ae-8ffe-6d7f9dbb63ed&amp;uri=https://images.diginfra.net/iiif/NL-HaNA_1.01.02/3762/NL-HaNA_1.01.02_3762_0462.jpg", "next_meeting_viewer_url")</f>
        <v>next_meeting_viewer_url</v>
      </c>
      <c r="S64" t="str">
        <f>HYPERLINK("https://images.diginfra.net/iiif/NL-HaNA_1.01.02/3762/NL-HaNA_1.01.02_3762_0462.jpg/322,1008,1093,2380/full/0/default.jpg", "next_meeting_iiif_url")</f>
        <v>next_meeting_iiif_url</v>
      </c>
      <c r="T64" t="s">
        <v>270</v>
      </c>
      <c r="U64" t="str">
        <f>HYPERLINK("https://images.diginfra.net/framed3.html?imagesetuuid=df3dafee-b161-42ae-8ffe-6d7f9dbb63ed&amp;uri=https://images.diginfra.net/iiif/NL-HaNA_1.01.02/3762/NL-HaNA_1.01.02_3762_0457.jpg", "prev_meeting_viewer_url")</f>
        <v>prev_meeting_viewer_url</v>
      </c>
      <c r="V64" t="str">
        <f>HYPERLINK("https://images.diginfra.net/iiif/NL-HaNA_1.01.02/3762/NL-HaNA_1.01.02_3762_0457.jpg/3438,2605,1045,842/full/0/default.jpg", "prev_meeting_iiif_url")</f>
        <v>prev_meeting_iiif_url</v>
      </c>
    </row>
    <row r="65" spans="1:22" x14ac:dyDescent="0.2">
      <c r="A65" t="s">
        <v>271</v>
      </c>
      <c r="B65" t="s">
        <v>45</v>
      </c>
      <c r="C65" t="s">
        <v>272</v>
      </c>
      <c r="D65" t="b">
        <v>1</v>
      </c>
      <c r="E65" t="b">
        <v>1</v>
      </c>
      <c r="F65">
        <v>1</v>
      </c>
      <c r="H65" t="s">
        <v>273</v>
      </c>
      <c r="I65">
        <v>3844</v>
      </c>
      <c r="J65">
        <v>361</v>
      </c>
      <c r="K65">
        <v>721</v>
      </c>
      <c r="L65">
        <v>0</v>
      </c>
      <c r="M65">
        <v>1</v>
      </c>
      <c r="N65">
        <v>0</v>
      </c>
      <c r="O65" t="str">
        <f>HYPERLINK("https://images.diginfra.net/framed3.html?imagesetuuid=61690246-944a-4d63-9d72-95ab6a0a9306&amp;uri=https://images.diginfra.net/iiif/NL-HaNA_1.01.02/3844/NL-HaNA_1.01.02_3844_0361.jpg", "viewer_url")</f>
        <v>viewer_url</v>
      </c>
      <c r="P65" t="str">
        <f>HYPERLINK("https://images.diginfra.net/iiif/NL-HaNA_1.01.02/3844/NL-HaNA_1.01.02_3844_0361.jpg/2645,2642,760,766/full/0/default.jpg", "iiif_url")</f>
        <v>iiif_url</v>
      </c>
      <c r="Q65" t="s">
        <v>274</v>
      </c>
      <c r="R65" t="str">
        <f>HYPERLINK("https://images.diginfra.net/framed3.html?imagesetuuid=61690246-944a-4d63-9d72-95ab6a0a9306&amp;uri=https://images.diginfra.net/iiif/NL-HaNA_1.01.02/3844/NL-HaNA_1.01.02_3844_0369.jpg", "next_meeting_viewer_url")</f>
        <v>next_meeting_viewer_url</v>
      </c>
      <c r="S65" t="str">
        <f>HYPERLINK("https://images.diginfra.net/iiif/NL-HaNA_1.01.02/3844/NL-HaNA_1.01.02_3844_0369.jpg/378,715,1106,2763/full/0/default.jpg", "next_meeting_iiif_url")</f>
        <v>next_meeting_iiif_url</v>
      </c>
      <c r="T65" t="s">
        <v>275</v>
      </c>
      <c r="U65" t="str">
        <f>HYPERLINK("https://images.diginfra.net/framed3.html?imagesetuuid=61690246-944a-4d63-9d72-95ab6a0a9306&amp;uri=https://images.diginfra.net/iiif/NL-HaNA_1.01.02/3844/NL-HaNA_1.01.02_3844_0360.jpg", "prev_meeting_viewer_url")</f>
        <v>prev_meeting_viewer_url</v>
      </c>
      <c r="V65" t="str">
        <f>HYPERLINK("https://images.diginfra.net/iiif/NL-HaNA_1.01.02/3844/NL-HaNA_1.01.02_3844_0360.jpg/3408,250,1117,3136/full/0/default.jpg", "prev_meeting_iiif_url")</f>
        <v>prev_meeting_iiif_url</v>
      </c>
    </row>
    <row r="66" spans="1:22" x14ac:dyDescent="0.2">
      <c r="A66" t="s">
        <v>276</v>
      </c>
      <c r="B66" t="s">
        <v>74</v>
      </c>
      <c r="D66" t="b">
        <v>0</v>
      </c>
      <c r="E66" t="b">
        <v>0</v>
      </c>
      <c r="F66">
        <v>1</v>
      </c>
      <c r="O66" t="str">
        <f>HYPERLINK("None", "viewer_url")</f>
        <v>viewer_url</v>
      </c>
      <c r="P66" t="str">
        <f>HYPERLINK("None", "iiif_url")</f>
        <v>iiif_url</v>
      </c>
      <c r="Q66" t="s">
        <v>277</v>
      </c>
      <c r="R66" t="str">
        <f>HYPERLINK("https://images.diginfra.net/framed3.html?imagesetuuid=fd366382-5fd2-4059-84bc-fcf4d87b2fc4&amp;uri=https://images.diginfra.net/iiif/NL-HaNA_1.01.02/3838/NL-HaNA_1.01.02_3838_0076.jpg", "next_meeting_viewer_url")</f>
        <v>next_meeting_viewer_url</v>
      </c>
      <c r="S66" t="str">
        <f>HYPERLINK("https://images.diginfra.net/iiif/NL-HaNA_1.01.02/3838/NL-HaNA_1.01.02_3838_0076.jpg/1283,590,1070,2812/full/0/default.jpg", "next_meeting_iiif_url")</f>
        <v>next_meeting_iiif_url</v>
      </c>
      <c r="U66" t="str">
        <f>HYPERLINK("https://images.diginfra.net/framed3.html?imagesetuuid=fd366382-5fd2-4059-84bc-fcf4d87b2fc4&amp;uri=https://images.diginfra.net/iiif/NL-HaNA_1.01.02/3838/NL-HaNA_1.01.02_3838_0075.jpg", "prev_meeting_viewer_url")</f>
        <v>prev_meeting_viewer_url</v>
      </c>
      <c r="V66" t="str">
        <f>HYPERLINK("https://images.diginfra.net/iiif/NL-HaNA_1.01.02/3838/NL-HaNA_1.01.02_3838_0075.jpg/2382,369,1078,3005/full/0/default.jpg", "prev_meeting_iiif_url")</f>
        <v>prev_meeting_iiif_url</v>
      </c>
    </row>
    <row r="67" spans="1:22" x14ac:dyDescent="0.2">
      <c r="A67" t="s">
        <v>278</v>
      </c>
      <c r="B67" t="s">
        <v>45</v>
      </c>
      <c r="C67" t="s">
        <v>279</v>
      </c>
      <c r="D67" t="b">
        <v>1</v>
      </c>
      <c r="E67" t="b">
        <v>1</v>
      </c>
      <c r="F67">
        <v>1</v>
      </c>
      <c r="H67" t="s">
        <v>280</v>
      </c>
      <c r="I67">
        <v>3830</v>
      </c>
      <c r="J67">
        <v>159</v>
      </c>
      <c r="K67">
        <v>316</v>
      </c>
      <c r="L67">
        <v>0</v>
      </c>
      <c r="M67">
        <v>0</v>
      </c>
      <c r="N67">
        <v>48</v>
      </c>
      <c r="O67" t="str">
        <f>HYPERLINK("https://images.diginfra.net/framed3.html?imagesetuuid=c4957ef5-1023-495b-ad5d-bfab5967cb29&amp;uri=https://images.diginfra.net/iiif/NL-HaNA_1.01.02/3830/NL-HaNA_1.01.02_3830_0159.jpg", "viewer_url")</f>
        <v>viewer_url</v>
      </c>
      <c r="P67" t="str">
        <f>HYPERLINK("https://images.diginfra.net/iiif/NL-HaNA_1.01.02/3830/NL-HaNA_1.01.02_3830_0159.jpg/309,2502,1092,901/full/0/default.jpg", "iiif_url")</f>
        <v>iiif_url</v>
      </c>
      <c r="Q67" t="s">
        <v>281</v>
      </c>
      <c r="R67" t="str">
        <f>HYPERLINK("https://images.diginfra.net/framed3.html?imagesetuuid=c4957ef5-1023-495b-ad5d-bfab5967cb29&amp;uri=https://images.diginfra.net/iiif/NL-HaNA_1.01.02/3830/NL-HaNA_1.01.02_3830_0160.jpg", "next_meeting_viewer_url")</f>
        <v>next_meeting_viewer_url</v>
      </c>
      <c r="S67" t="str">
        <f>HYPERLINK("https://images.diginfra.net/iiif/NL-HaNA_1.01.02/3830/NL-HaNA_1.01.02_3830_0160.jpg/1280,1288,1089,2052/full/0/default.jpg", "next_meeting_iiif_url")</f>
        <v>next_meeting_iiif_url</v>
      </c>
    </row>
    <row r="68" spans="1:22" x14ac:dyDescent="0.2">
      <c r="A68" t="s">
        <v>282</v>
      </c>
      <c r="B68" t="s">
        <v>27</v>
      </c>
      <c r="D68" t="b">
        <v>1</v>
      </c>
      <c r="E68" t="b">
        <v>0</v>
      </c>
      <c r="F68">
        <v>0</v>
      </c>
      <c r="O68" t="str">
        <f>HYPERLINK("None", "viewer_url")</f>
        <v>viewer_url</v>
      </c>
      <c r="P68" t="str">
        <f>HYPERLINK("None", "iiif_url")</f>
        <v>iiif_url</v>
      </c>
      <c r="Q68" t="s">
        <v>283</v>
      </c>
      <c r="R68" t="str">
        <f>HYPERLINK("https://images.diginfra.net/framed3.html?imagesetuuid=e4d299a2-71b5-40fc-b329-60132fadd11f&amp;uri=https://images.diginfra.net/iiif/NL-HaNA_1.01.02/3832/NL-HaNA_1.01.02_3832_0201.jpg", "next_meeting_viewer_url")</f>
        <v>next_meeting_viewer_url</v>
      </c>
      <c r="S68" t="str">
        <f>HYPERLINK("https://images.diginfra.net/iiif/NL-HaNA_1.01.02/3832/NL-HaNA_1.01.02_3832_0201.jpg/2430,2515,1029,864/full/0/default.jpg", "next_meeting_iiif_url")</f>
        <v>next_meeting_iiif_url</v>
      </c>
    </row>
    <row r="69" spans="1:22" x14ac:dyDescent="0.2">
      <c r="A69" t="s">
        <v>284</v>
      </c>
      <c r="B69" t="s">
        <v>21</v>
      </c>
      <c r="C69" t="s">
        <v>285</v>
      </c>
      <c r="D69" t="b">
        <v>1</v>
      </c>
      <c r="E69" t="b">
        <v>1</v>
      </c>
      <c r="F69">
        <v>1</v>
      </c>
      <c r="H69" t="s">
        <v>286</v>
      </c>
      <c r="I69">
        <v>3765</v>
      </c>
      <c r="J69">
        <v>101</v>
      </c>
      <c r="K69">
        <v>201</v>
      </c>
      <c r="L69">
        <v>1</v>
      </c>
      <c r="M69">
        <v>2</v>
      </c>
      <c r="N69">
        <v>0</v>
      </c>
      <c r="O69" t="str">
        <f>HYPERLINK("https://images.diginfra.net/framed3.html?imagesetuuid=4dfc1a1b-8cdf-4492-b411-5e67950ce484&amp;uri=https://images.diginfra.net/iiif/NL-HaNA_1.01.02/3765/NL-HaNA_1.01.02_3765_0101.jpg", "viewer_url")</f>
        <v>viewer_url</v>
      </c>
      <c r="P69" t="str">
        <f>HYPERLINK("https://images.diginfra.net/iiif/NL-HaNA_1.01.02/3765/NL-HaNA_1.01.02_3765_0101.jpg/3433,575,1114,2826/full/0/default.jpg", "iiif_url")</f>
        <v>iiif_url</v>
      </c>
      <c r="Q69" t="s">
        <v>287</v>
      </c>
      <c r="R69" t="str">
        <f>HYPERLINK("https://images.diginfra.net/framed3.html?imagesetuuid=4dfc1a1b-8cdf-4492-b411-5e67950ce484&amp;uri=https://images.diginfra.net/iiif/NL-HaNA_1.01.02/3765/NL-HaNA_1.01.02_3765_0103.jpg", "next_meeting_viewer_url")</f>
        <v>next_meeting_viewer_url</v>
      </c>
      <c r="S69" t="str">
        <f>HYPERLINK("https://images.diginfra.net/iiif/NL-HaNA_1.01.02/3765/NL-HaNA_1.01.02_3765_0103.jpg/294,316,1120,3132/full/0/default.jpg", "next_meeting_iiif_url")</f>
        <v>next_meeting_iiif_url</v>
      </c>
      <c r="T69" t="s">
        <v>288</v>
      </c>
      <c r="U69" t="str">
        <f>HYPERLINK("https://images.diginfra.net/framed3.html?imagesetuuid=4dfc1a1b-8cdf-4492-b411-5e67950ce484&amp;uri=https://images.diginfra.net/iiif/NL-HaNA_1.01.02/3765/NL-HaNA_1.01.02_3765_0099.jpg", "prev_meeting_viewer_url")</f>
        <v>prev_meeting_viewer_url</v>
      </c>
      <c r="V69" t="str">
        <f>HYPERLINK("https://images.diginfra.net/iiif/NL-HaNA_1.01.02/3765/NL-HaNA_1.01.02_3765_0099.jpg/1290,2434,1060,894/full/0/default.jpg", "prev_meeting_iiif_url")</f>
        <v>prev_meeting_iiif_url</v>
      </c>
    </row>
    <row r="70" spans="1:22" x14ac:dyDescent="0.2">
      <c r="A70" t="s">
        <v>289</v>
      </c>
      <c r="B70" t="s">
        <v>21</v>
      </c>
      <c r="C70" t="s">
        <v>290</v>
      </c>
      <c r="D70" t="b">
        <v>1</v>
      </c>
      <c r="E70" t="b">
        <v>1</v>
      </c>
      <c r="F70">
        <v>1</v>
      </c>
      <c r="H70" t="s">
        <v>291</v>
      </c>
      <c r="I70">
        <v>3825</v>
      </c>
      <c r="J70">
        <v>332</v>
      </c>
      <c r="K70">
        <v>662</v>
      </c>
      <c r="L70">
        <v>1</v>
      </c>
      <c r="M70">
        <v>1</v>
      </c>
      <c r="N70">
        <v>1</v>
      </c>
      <c r="O70" t="str">
        <f>HYPERLINK("https://images.diginfra.net/framed3.html?imagesetuuid=3e55157c-ed48-4a0c-b4a9-bb205866d7cd&amp;uri=https://images.diginfra.net/iiif/NL-HaNA_1.01.02/3825/NL-HaNA_1.01.02_3825_0332.jpg", "viewer_url")</f>
        <v>viewer_url</v>
      </c>
      <c r="P70" t="str">
        <f>HYPERLINK("https://images.diginfra.net/iiif/NL-HaNA_1.01.02/3825/NL-HaNA_1.01.02_3825_0332.jpg/1352,2645,1013,558/full/0/default.jpg", "iiif_url")</f>
        <v>iiif_url</v>
      </c>
      <c r="Q70" t="s">
        <v>292</v>
      </c>
      <c r="R70" t="str">
        <f>HYPERLINK("https://images.diginfra.net/framed3.html?imagesetuuid=3e55157c-ed48-4a0c-b4a9-bb205866d7cd&amp;uri=https://images.diginfra.net/iiif/NL-HaNA_1.01.02/3825/NL-HaNA_1.01.02_3825_0333.jpg", "next_meeting_viewer_url")</f>
        <v>next_meeting_viewer_url</v>
      </c>
      <c r="S70" t="str">
        <f>HYPERLINK("https://images.diginfra.net/iiif/NL-HaNA_1.01.02/3825/NL-HaNA_1.01.02_3825_0333.jpg/339,1918,1066,1322/full/0/default.jpg", "next_meeting_iiif_url")</f>
        <v>next_meeting_iiif_url</v>
      </c>
      <c r="T70" t="s">
        <v>293</v>
      </c>
      <c r="U70" t="str">
        <f>HYPERLINK("https://images.diginfra.net/framed3.html?imagesetuuid=3e55157c-ed48-4a0c-b4a9-bb205866d7cd&amp;uri=https://images.diginfra.net/iiif/NL-HaNA_1.01.02/3825/NL-HaNA_1.01.02_3825_0327.jpg", "prev_meeting_viewer_url")</f>
        <v>prev_meeting_viewer_url</v>
      </c>
      <c r="V70" t="str">
        <f>HYPERLINK("https://images.diginfra.net/iiif/NL-HaNA_1.01.02/3825/NL-HaNA_1.01.02_3825_0327.jpg/3351,1808,1072,1523/full/0/default.jpg", "prev_meeting_iiif_url")</f>
        <v>prev_meeting_iiif_url</v>
      </c>
    </row>
    <row r="71" spans="1:22" x14ac:dyDescent="0.2">
      <c r="A71" t="s">
        <v>294</v>
      </c>
      <c r="B71" t="s">
        <v>74</v>
      </c>
      <c r="C71" t="s">
        <v>295</v>
      </c>
      <c r="D71" t="b">
        <v>1</v>
      </c>
      <c r="E71" t="b">
        <v>1</v>
      </c>
      <c r="F71">
        <v>1</v>
      </c>
      <c r="H71" t="s">
        <v>296</v>
      </c>
      <c r="I71">
        <v>3806</v>
      </c>
      <c r="J71">
        <v>163</v>
      </c>
      <c r="K71">
        <v>324</v>
      </c>
      <c r="L71">
        <v>0</v>
      </c>
      <c r="M71">
        <v>0</v>
      </c>
      <c r="N71">
        <v>49</v>
      </c>
      <c r="O71" t="str">
        <f>HYPERLINK("https://images.diginfra.net/framed3.html?imagesetuuid=0c00a1f2-d59c-4408-905f-fe388b02204f&amp;uri=https://images.diginfra.net/iiif/NL-HaNA_1.01.02/3806/NL-HaNA_1.01.02_3806_0163.jpg", "viewer_url")</f>
        <v>viewer_url</v>
      </c>
      <c r="P71" t="str">
        <f>HYPERLINK("https://images.diginfra.net/iiif/NL-HaNA_1.01.02/3806/NL-HaNA_1.01.02_3806_0163.jpg/253,2432,1086,947/full/0/default.jpg", "iiif_url")</f>
        <v>iiif_url</v>
      </c>
      <c r="Q71" t="s">
        <v>297</v>
      </c>
      <c r="R71" t="str">
        <f>HYPERLINK("https://images.diginfra.net/framed3.html?imagesetuuid=0c00a1f2-d59c-4408-905f-fe388b02204f&amp;uri=https://images.diginfra.net/iiif/NL-HaNA_1.01.02/3806/NL-HaNA_1.01.02_3806_0163.jpg", "next_meeting_viewer_url")</f>
        <v>next_meeting_viewer_url</v>
      </c>
      <c r="S71" t="str">
        <f>HYPERLINK("https://images.diginfra.net/iiif/NL-HaNA_1.01.02/3806/NL-HaNA_1.01.02_3806_0163.jpg/2436,1349,1092,2110/full/0/default.jpg", "next_meeting_iiif_url")</f>
        <v>next_meeting_iiif_url</v>
      </c>
      <c r="T71" t="s">
        <v>298</v>
      </c>
      <c r="U71" t="str">
        <f>HYPERLINK("https://images.diginfra.net/framed3.html?imagesetuuid=0c00a1f2-d59c-4408-905f-fe388b02204f&amp;uri=https://images.diginfra.net/iiif/NL-HaNA_1.01.02/3806/NL-HaNA_1.01.02_3806_0162.jpg", "prev_meeting_viewer_url")</f>
        <v>prev_meeting_viewer_url</v>
      </c>
      <c r="V71" t="str">
        <f>HYPERLINK("https://images.diginfra.net/iiif/NL-HaNA_1.01.02/3806/NL-HaNA_1.01.02_3806_0162.jpg/1213,484,1112,2931/full/0/default.jpg", "prev_meeting_iiif_url")</f>
        <v>prev_meeting_iiif_url</v>
      </c>
    </row>
    <row r="72" spans="1:22" x14ac:dyDescent="0.2">
      <c r="A72" t="s">
        <v>299</v>
      </c>
      <c r="B72" t="s">
        <v>21</v>
      </c>
      <c r="C72" t="s">
        <v>300</v>
      </c>
      <c r="D72" t="b">
        <v>1</v>
      </c>
      <c r="E72" t="b">
        <v>1</v>
      </c>
      <c r="F72">
        <v>1</v>
      </c>
      <c r="H72" t="s">
        <v>301</v>
      </c>
      <c r="I72">
        <v>3828</v>
      </c>
      <c r="J72">
        <v>312</v>
      </c>
      <c r="K72">
        <v>622</v>
      </c>
      <c r="L72">
        <v>1</v>
      </c>
      <c r="M72">
        <v>2</v>
      </c>
      <c r="N72">
        <v>0</v>
      </c>
      <c r="O72" t="str">
        <f>HYPERLINK("https://images.diginfra.net/framed3.html?imagesetuuid=be73aab8-e683-41ef-8f90-2432e0a35eb8&amp;uri=https://images.diginfra.net/iiif/NL-HaNA_1.01.02/3828/NL-HaNA_1.01.02_3828_0312.jpg", "viewer_url")</f>
        <v>viewer_url</v>
      </c>
      <c r="P72" t="str">
        <f>HYPERLINK("https://images.diginfra.net/iiif/NL-HaNA_1.01.02/3828/NL-HaNA_1.01.02_3828_0312.jpg/1279,1918,1079,1174/full/0/default.jpg", "iiif_url")</f>
        <v>iiif_url</v>
      </c>
      <c r="Q72" t="s">
        <v>302</v>
      </c>
      <c r="R72" t="str">
        <f>HYPERLINK("https://images.diginfra.net/framed3.html?imagesetuuid=be73aab8-e683-41ef-8f90-2432e0a35eb8&amp;uri=https://images.diginfra.net/iiif/NL-HaNA_1.01.02/3828/NL-HaNA_1.01.02_3828_0314.jpg", "next_meeting_viewer_url")</f>
        <v>next_meeting_viewer_url</v>
      </c>
      <c r="S72" t="str">
        <f>HYPERLINK("https://images.diginfra.net/iiif/NL-HaNA_1.01.02/3828/NL-HaNA_1.01.02_3828_0314.jpg/1304,1130,1079,2191/full/0/default.jpg", "next_meeting_iiif_url")</f>
        <v>next_meeting_iiif_url</v>
      </c>
      <c r="T72" t="s">
        <v>303</v>
      </c>
      <c r="U72" t="str">
        <f>HYPERLINK("https://images.diginfra.net/framed3.html?imagesetuuid=be73aab8-e683-41ef-8f90-2432e0a35eb8&amp;uri=https://images.diginfra.net/iiif/NL-HaNA_1.01.02/3828/NL-HaNA_1.01.02_3828_0308.jpg", "prev_meeting_viewer_url")</f>
        <v>prev_meeting_viewer_url</v>
      </c>
      <c r="V72" t="str">
        <f>HYPERLINK("https://images.diginfra.net/iiif/NL-HaNA_1.01.02/3828/NL-HaNA_1.01.02_3828_0308.jpg/390,2229,1012,930/full/0/default.jpg", "prev_meeting_iiif_url")</f>
        <v>prev_meeting_iiif_url</v>
      </c>
    </row>
    <row r="73" spans="1:22" x14ac:dyDescent="0.2">
      <c r="A73" t="s">
        <v>304</v>
      </c>
      <c r="B73" t="s">
        <v>74</v>
      </c>
      <c r="D73" t="b">
        <v>0</v>
      </c>
      <c r="E73" t="b">
        <v>0</v>
      </c>
      <c r="F73">
        <v>1</v>
      </c>
      <c r="O73" t="str">
        <f>HYPERLINK("None", "viewer_url")</f>
        <v>viewer_url</v>
      </c>
      <c r="P73" t="str">
        <f>HYPERLINK("None", "iiif_url")</f>
        <v>iiif_url</v>
      </c>
      <c r="Q73" t="s">
        <v>305</v>
      </c>
      <c r="R73" t="str">
        <f>HYPERLINK("https://images.diginfra.net/framed3.html?imagesetuuid=4a630f3a-34aa-4b1a-92d1-c32d4455e96f&amp;uri=https://images.diginfra.net/iiif/NL-HaNA_1.01.02/3829/NL-HaNA_1.01.02_3829_0271.jpg", "next_meeting_viewer_url")</f>
        <v>next_meeting_viewer_url</v>
      </c>
      <c r="S73" t="str">
        <f>HYPERLINK("https://images.diginfra.net/iiif/NL-HaNA_1.01.02/3829/NL-HaNA_1.01.02_3829_0271.jpg/3364,1990,1014,1273/full/0/default.jpg", "next_meeting_iiif_url")</f>
        <v>next_meeting_iiif_url</v>
      </c>
      <c r="T73" t="s">
        <v>306</v>
      </c>
      <c r="U73" t="str">
        <f>HYPERLINK("https://images.diginfra.net/framed3.html?imagesetuuid=4a630f3a-34aa-4b1a-92d1-c32d4455e96f&amp;uri=https://images.diginfra.net/iiif/NL-HaNA_1.01.02/3829/NL-HaNA_1.01.02_3829_0269.jpg", "prev_meeting_viewer_url")</f>
        <v>prev_meeting_viewer_url</v>
      </c>
      <c r="V73" t="str">
        <f>HYPERLINK("https://images.diginfra.net/iiif/NL-HaNA_1.01.02/3829/NL-HaNA_1.01.02_3829_0269.jpg/3291,294,1097,3080/full/0/default.jpg", "prev_meeting_iiif_url")</f>
        <v>prev_meeting_iiif_url</v>
      </c>
    </row>
    <row r="74" spans="1:22" x14ac:dyDescent="0.2">
      <c r="A74" t="s">
        <v>307</v>
      </c>
      <c r="B74" t="s">
        <v>21</v>
      </c>
      <c r="C74" t="s">
        <v>308</v>
      </c>
      <c r="D74" t="b">
        <v>1</v>
      </c>
      <c r="E74" t="b">
        <v>1</v>
      </c>
      <c r="F74">
        <v>1</v>
      </c>
      <c r="H74" t="s">
        <v>309</v>
      </c>
      <c r="I74">
        <v>3779</v>
      </c>
      <c r="J74">
        <v>262</v>
      </c>
      <c r="K74">
        <v>523</v>
      </c>
      <c r="L74">
        <v>1</v>
      </c>
      <c r="M74">
        <v>0</v>
      </c>
      <c r="N74">
        <v>0</v>
      </c>
      <c r="O74" t="str">
        <f>HYPERLINK("https://images.diginfra.net/framed3.html?imagesetuuid=2a6123c7-d902-45f6-87fa-8a3cc39c1043&amp;uri=https://images.diginfra.net/iiif/NL-HaNA_1.01.02/3779/NL-HaNA_1.01.02_3779_0262.jpg", "viewer_url")</f>
        <v>viewer_url</v>
      </c>
      <c r="P74" t="str">
        <f>HYPERLINK("https://images.diginfra.net/iiif/NL-HaNA_1.01.02/3779/NL-HaNA_1.01.02_3779_0262.jpg/3541,325,1106,3111/full/0/default.jpg", "iiif_url")</f>
        <v>iiif_url</v>
      </c>
      <c r="Q74" t="s">
        <v>310</v>
      </c>
      <c r="R74" t="str">
        <f>HYPERLINK("https://images.diginfra.net/framed3.html?imagesetuuid=2a6123c7-d902-45f6-87fa-8a3cc39c1043&amp;uri=https://images.diginfra.net/iiif/NL-HaNA_1.01.02/3779/NL-HaNA_1.01.02_3779_0263.jpg", "next_meeting_viewer_url")</f>
        <v>next_meeting_viewer_url</v>
      </c>
      <c r="S74" t="str">
        <f>HYPERLINK("https://images.diginfra.net/iiif/NL-HaNA_1.01.02/3779/NL-HaNA_1.01.02_3779_0263.jpg/1341,1107,1108,2334/full/0/default.jpg", "next_meeting_iiif_url")</f>
        <v>next_meeting_iiif_url</v>
      </c>
      <c r="T74" t="s">
        <v>311</v>
      </c>
      <c r="U74" t="str">
        <f>HYPERLINK("https://images.diginfra.net/framed3.html?imagesetuuid=2a6123c7-d902-45f6-87fa-8a3cc39c1043&amp;uri=https://images.diginfra.net/iiif/NL-HaNA_1.01.02/3779/NL-HaNA_1.01.02_3779_0261.jpg", "prev_meeting_viewer_url")</f>
        <v>prev_meeting_viewer_url</v>
      </c>
      <c r="V74" t="str">
        <f>HYPERLINK("https://images.diginfra.net/iiif/NL-HaNA_1.01.02/3779/NL-HaNA_1.01.02_3779_0261.jpg/332,1845,1082,1609/full/0/default.jpg", "prev_meeting_iiif_url")</f>
        <v>prev_meeting_iiif_url</v>
      </c>
    </row>
    <row r="75" spans="1:22" x14ac:dyDescent="0.2">
      <c r="A75" t="s">
        <v>312</v>
      </c>
      <c r="B75" t="s">
        <v>65</v>
      </c>
      <c r="C75" t="s">
        <v>313</v>
      </c>
      <c r="D75" t="b">
        <v>1</v>
      </c>
      <c r="E75" t="b">
        <v>1</v>
      </c>
      <c r="F75">
        <v>1</v>
      </c>
      <c r="H75" t="s">
        <v>314</v>
      </c>
      <c r="I75">
        <v>3805</v>
      </c>
      <c r="J75">
        <v>355</v>
      </c>
      <c r="K75">
        <v>708</v>
      </c>
      <c r="L75">
        <v>1</v>
      </c>
      <c r="M75">
        <v>0</v>
      </c>
      <c r="N75">
        <v>8</v>
      </c>
      <c r="O75" t="str">
        <f>HYPERLINK("https://images.diginfra.net/framed3.html?imagesetuuid=e8c5617e-c060-4d57-a0d9-c22a4796ba85&amp;uri=https://images.diginfra.net/iiif/NL-HaNA_1.01.02/3805/NL-HaNA_1.01.02_3805_0355.jpg", "viewer_url")</f>
        <v>viewer_url</v>
      </c>
      <c r="P75" t="str">
        <f>HYPERLINK("https://images.diginfra.net/iiif/NL-HaNA_1.01.02/3805/NL-HaNA_1.01.02_3805_0355.jpg/1205,677,1106,2720/full/0/default.jpg", "iiif_url")</f>
        <v>iiif_url</v>
      </c>
      <c r="Q75" t="s">
        <v>315</v>
      </c>
      <c r="R75" t="str">
        <f>HYPERLINK("https://images.diginfra.net/framed3.html?imagesetuuid=e8c5617e-c060-4d57-a0d9-c22a4796ba85&amp;uri=https://images.diginfra.net/iiif/NL-HaNA_1.01.02/3805/NL-HaNA_1.01.02_3805_0355.jpg", "next_meeting_viewer_url")</f>
        <v>next_meeting_viewer_url</v>
      </c>
      <c r="S75" t="str">
        <f>HYPERLINK("https://images.diginfra.net/iiif/NL-HaNA_1.01.02/3805/NL-HaNA_1.01.02_3805_0355.jpg/3347,300,1113,3113/full/0/default.jpg", "next_meeting_iiif_url")</f>
        <v>next_meeting_iiif_url</v>
      </c>
      <c r="U75" t="str">
        <f>HYPERLINK("https://images.diginfra.net/framed3.html?imagesetuuid=e8c5617e-c060-4d57-a0d9-c22a4796ba85&amp;uri=https://images.diginfra.net/iiif/NL-HaNA_1.01.02/3805/NL-HaNA_1.01.02_3805_0354.jpg", "prev_meeting_viewer_url")</f>
        <v>prev_meeting_viewer_url</v>
      </c>
      <c r="V75" t="str">
        <f>HYPERLINK("https://images.diginfra.net/iiif/NL-HaNA_1.01.02/3805/NL-HaNA_1.01.02_3805_0354.jpg/3320,1360,1101,2038/full/0/default.jpg", "prev_meeting_iiif_url")</f>
        <v>prev_meeting_iiif_url</v>
      </c>
    </row>
    <row r="76" spans="1:22" x14ac:dyDescent="0.2">
      <c r="A76" t="s">
        <v>316</v>
      </c>
      <c r="B76" t="s">
        <v>21</v>
      </c>
      <c r="D76" t="b">
        <v>1</v>
      </c>
      <c r="E76" t="b">
        <v>0</v>
      </c>
      <c r="F76">
        <v>0</v>
      </c>
      <c r="O76" t="str">
        <f>HYPERLINK("None", "viewer_url")</f>
        <v>viewer_url</v>
      </c>
      <c r="P76" t="str">
        <f>HYPERLINK("None", "iiif_url")</f>
        <v>iiif_url</v>
      </c>
      <c r="Q76" t="s">
        <v>317</v>
      </c>
      <c r="R76" t="str">
        <f>HYPERLINK("https://images.diginfra.net/framed3.html?imagesetuuid=e6c3b32f-6683-4b16-9444-37e515e232e1&amp;uri=https://images.diginfra.net/iiif/NL-HaNA_1.01.02/3761/NL-HaNA_1.01.02_3761_0366.jpg", "next_meeting_viewer_url")</f>
        <v>next_meeting_viewer_url</v>
      </c>
      <c r="S76" t="str">
        <f>HYPERLINK("https://images.diginfra.net/iiif/NL-HaNA_1.01.02/3761/NL-HaNA_1.01.02_3761_0366.jpg/2477,1923,1051,1428/full/0/default.jpg", "next_meeting_iiif_url")</f>
        <v>next_meeting_iiif_url</v>
      </c>
      <c r="T76" t="s">
        <v>318</v>
      </c>
      <c r="U76" t="str">
        <f>HYPERLINK("https://images.diginfra.net/framed3.html?imagesetuuid=e6c3b32f-6683-4b16-9444-37e515e232e1&amp;uri=https://images.diginfra.net/iiif/NL-HaNA_1.01.02/3761/NL-HaNA_1.01.02_3761_0364.jpg", "prev_meeting_viewer_url")</f>
        <v>prev_meeting_viewer_url</v>
      </c>
      <c r="V76" t="str">
        <f>HYPERLINK("https://images.diginfra.net/iiif/NL-HaNA_1.01.02/3761/NL-HaNA_1.01.02_3761_0364.jpg/356,1931,1105,1476/full/0/default.jpg", "prev_meeting_iiif_url")</f>
        <v>prev_meeting_iiif_url</v>
      </c>
    </row>
    <row r="77" spans="1:22" x14ac:dyDescent="0.2">
      <c r="A77" t="s">
        <v>319</v>
      </c>
      <c r="B77" t="s">
        <v>21</v>
      </c>
      <c r="C77" t="s">
        <v>320</v>
      </c>
      <c r="D77" t="b">
        <v>1</v>
      </c>
      <c r="E77" t="b">
        <v>1</v>
      </c>
      <c r="F77">
        <v>1</v>
      </c>
      <c r="H77" t="s">
        <v>321</v>
      </c>
      <c r="I77">
        <v>3765</v>
      </c>
      <c r="J77">
        <v>515</v>
      </c>
      <c r="K77">
        <v>1029</v>
      </c>
      <c r="L77">
        <v>1</v>
      </c>
      <c r="M77">
        <v>2</v>
      </c>
      <c r="N77">
        <v>0</v>
      </c>
      <c r="O77" t="str">
        <f>HYPERLINK("https://images.diginfra.net/framed3.html?imagesetuuid=4dfc1a1b-8cdf-4492-b411-5e67950ce484&amp;uri=https://images.diginfra.net/iiif/NL-HaNA_1.01.02/3765/NL-HaNA_1.01.02_3765_0515.jpg", "viewer_url")</f>
        <v>viewer_url</v>
      </c>
      <c r="P77" t="str">
        <f>HYPERLINK("https://images.diginfra.net/iiif/NL-HaNA_1.01.02/3765/NL-HaNA_1.01.02_3765_0515.jpg/3502,1162,1123,2255/full/0/default.jpg", "iiif_url")</f>
        <v>iiif_url</v>
      </c>
      <c r="Q77" t="s">
        <v>322</v>
      </c>
      <c r="R77" t="str">
        <f>HYPERLINK("https://images.diginfra.net/framed3.html?imagesetuuid=4dfc1a1b-8cdf-4492-b411-5e67950ce484&amp;uri=https://images.diginfra.net/iiif/NL-HaNA_1.01.02/3765/NL-HaNA_1.01.02_3765_0517.jpg", "next_meeting_viewer_url")</f>
        <v>next_meeting_viewer_url</v>
      </c>
      <c r="S77" t="str">
        <f>HYPERLINK("https://images.diginfra.net/iiif/NL-HaNA_1.01.02/3765/NL-HaNA_1.01.02_3765_0517.jpg/2558,554,1110,2774/full/0/default.jpg", "next_meeting_iiif_url")</f>
        <v>next_meeting_iiif_url</v>
      </c>
      <c r="T77" t="s">
        <v>323</v>
      </c>
      <c r="U77" t="str">
        <f>HYPERLINK("https://images.diginfra.net/framed3.html?imagesetuuid=4dfc1a1b-8cdf-4492-b411-5e67950ce484&amp;uri=https://images.diginfra.net/iiif/NL-HaNA_1.01.02/3765/NL-HaNA_1.01.02_3765_0513.jpg", "prev_meeting_viewer_url")</f>
        <v>prev_meeting_viewer_url</v>
      </c>
      <c r="V77" t="str">
        <f>HYPERLINK("https://images.diginfra.net/iiif/NL-HaNA_1.01.02/3765/NL-HaNA_1.01.02_3765_0513.jpg/317,2630,1063,696/full/0/default.jpg", "prev_meeting_iiif_url")</f>
        <v>prev_meeting_iiif_url</v>
      </c>
    </row>
    <row r="78" spans="1:22" x14ac:dyDescent="0.2">
      <c r="A78" t="s">
        <v>324</v>
      </c>
      <c r="B78" t="s">
        <v>21</v>
      </c>
      <c r="C78" t="s">
        <v>325</v>
      </c>
      <c r="D78" t="b">
        <v>1</v>
      </c>
      <c r="E78" t="b">
        <v>1</v>
      </c>
      <c r="F78">
        <v>1</v>
      </c>
      <c r="H78" t="s">
        <v>326</v>
      </c>
      <c r="I78">
        <v>3774</v>
      </c>
      <c r="J78">
        <v>344</v>
      </c>
      <c r="K78">
        <v>687</v>
      </c>
      <c r="L78">
        <v>2</v>
      </c>
      <c r="M78">
        <v>3</v>
      </c>
      <c r="N78">
        <v>0</v>
      </c>
      <c r="O78" t="str">
        <f>HYPERLINK("https://images.diginfra.net/framed3.html?imagesetuuid=a94d24a1-7932-4b81-a3e6-04161d471ec1&amp;uri=https://images.diginfra.net/iiif/NL-HaNA_1.01.02/3774/NL-HaNA_1.01.02_3774_0344.jpg", "viewer_url")</f>
        <v>viewer_url</v>
      </c>
      <c r="P78" t="str">
        <f>HYPERLINK("https://images.diginfra.net/iiif/NL-HaNA_1.01.02/3774/NL-HaNA_1.01.02_3774_0344.jpg/3348,2047,1076,1370/full/0/default.jpg", "iiif_url")</f>
        <v>iiif_url</v>
      </c>
      <c r="Q78" t="s">
        <v>327</v>
      </c>
      <c r="R78" t="str">
        <f>HYPERLINK("https://images.diginfra.net/framed3.html?imagesetuuid=a94d24a1-7932-4b81-a3e6-04161d471ec1&amp;uri=https://images.diginfra.net/iiif/NL-HaNA_1.01.02/3774/NL-HaNA_1.01.02_3774_0346.jpg", "next_meeting_viewer_url")</f>
        <v>next_meeting_viewer_url</v>
      </c>
      <c r="S78" t="str">
        <f>HYPERLINK("https://images.diginfra.net/iiif/NL-HaNA_1.01.02/3774/NL-HaNA_1.01.02_3774_0346.jpg/188,1565,1094,1861/full/0/default.jpg", "next_meeting_iiif_url")</f>
        <v>next_meeting_iiif_url</v>
      </c>
      <c r="T78" t="s">
        <v>328</v>
      </c>
      <c r="U78" t="str">
        <f>HYPERLINK("https://images.diginfra.net/framed3.html?imagesetuuid=a94d24a1-7932-4b81-a3e6-04161d471ec1&amp;uri=https://images.diginfra.net/iiif/NL-HaNA_1.01.02/3774/NL-HaNA_1.01.02_3774_0343.jpg", "prev_meeting_viewer_url")</f>
        <v>prev_meeting_viewer_url</v>
      </c>
      <c r="V78" t="str">
        <f>HYPERLINK("https://images.diginfra.net/iiif/NL-HaNA_1.01.02/3774/NL-HaNA_1.01.02_3774_0343.jpg/1199,1837,1089,1497/full/0/default.jpg", "prev_meeting_iiif_url")</f>
        <v>prev_meeting_iiif_url</v>
      </c>
    </row>
    <row r="79" spans="1:22" x14ac:dyDescent="0.2">
      <c r="A79" t="s">
        <v>329</v>
      </c>
      <c r="B79" t="s">
        <v>27</v>
      </c>
      <c r="C79" t="s">
        <v>330</v>
      </c>
      <c r="D79" t="b">
        <v>1</v>
      </c>
      <c r="E79" t="b">
        <v>1</v>
      </c>
      <c r="F79">
        <v>1</v>
      </c>
      <c r="H79" t="s">
        <v>331</v>
      </c>
      <c r="I79">
        <v>3858</v>
      </c>
      <c r="J79">
        <v>319</v>
      </c>
      <c r="K79">
        <v>637</v>
      </c>
      <c r="L79">
        <v>1</v>
      </c>
      <c r="M79">
        <v>1</v>
      </c>
      <c r="N79">
        <v>0</v>
      </c>
      <c r="O79" t="str">
        <f>HYPERLINK("https://images.diginfra.net/framed3.html?imagesetuuid=667a361b-2da9-4c45-8d66-09c8b98015ec&amp;uri=https://images.diginfra.net/iiif/NL-HaNA_1.01.02/3858/NL-HaNA_1.01.02_3858_0319.jpg", "viewer_url")</f>
        <v>viewer_url</v>
      </c>
      <c r="P79" t="str">
        <f>HYPERLINK("https://images.diginfra.net/iiif/NL-HaNA_1.01.02/3858/NL-HaNA_1.01.02_3858_0319.jpg/3343,883,1076,2429/full/0/default.jpg", "iiif_url")</f>
        <v>iiif_url</v>
      </c>
      <c r="Q79" t="s">
        <v>332</v>
      </c>
      <c r="R79" t="str">
        <f>HYPERLINK("https://images.diginfra.net/framed3.html?imagesetuuid=667a361b-2da9-4c45-8d66-09c8b98015ec&amp;uri=https://images.diginfra.net/iiif/NL-HaNA_1.01.02/3858/NL-HaNA_1.01.02_3858_0322.jpg", "next_meeting_viewer_url")</f>
        <v>next_meeting_viewer_url</v>
      </c>
      <c r="S79" t="str">
        <f>HYPERLINK("https://images.diginfra.net/iiif/NL-HaNA_1.01.02/3858/NL-HaNA_1.01.02_3858_0322.jpg/2310,1698,1065,1726/full/0/default.jpg", "next_meeting_iiif_url")</f>
        <v>next_meeting_iiif_url</v>
      </c>
      <c r="T79" t="s">
        <v>333</v>
      </c>
      <c r="U79" t="str">
        <f>HYPERLINK("https://images.diginfra.net/framed3.html?imagesetuuid=667a361b-2da9-4c45-8d66-09c8b98015ec&amp;uri=https://images.diginfra.net/iiif/NL-HaNA_1.01.02/3858/NL-HaNA_1.01.02_3858_0318.jpg", "prev_meeting_viewer_url")</f>
        <v>prev_meeting_viewer_url</v>
      </c>
      <c r="V79" t="str">
        <f>HYPERLINK("https://images.diginfra.net/iiif/NL-HaNA_1.01.02/3858/NL-HaNA_1.01.02_3858_0318.jpg/1275,1699,1080,1756/full/0/default.jpg", "prev_meeting_iiif_url")</f>
        <v>prev_meeting_iiif_url</v>
      </c>
    </row>
    <row r="80" spans="1:22" x14ac:dyDescent="0.2">
      <c r="A80" t="s">
        <v>334</v>
      </c>
      <c r="B80" t="s">
        <v>74</v>
      </c>
      <c r="D80" t="b">
        <v>1</v>
      </c>
      <c r="E80" t="b">
        <v>1</v>
      </c>
      <c r="F80">
        <v>1</v>
      </c>
      <c r="H80" t="s">
        <v>335</v>
      </c>
      <c r="I80">
        <v>3796</v>
      </c>
      <c r="J80">
        <v>488</v>
      </c>
      <c r="K80">
        <v>974</v>
      </c>
      <c r="L80">
        <v>0</v>
      </c>
      <c r="M80">
        <v>0</v>
      </c>
      <c r="N80">
        <v>1</v>
      </c>
      <c r="O80" t="str">
        <f>HYPERLINK("https://images.diginfra.net/framed3.html?imagesetuuid=ece8f80b-0549-4e73-82ff-af47ed8525ac&amp;uri=https://images.diginfra.net/iiif/NL-HaNA_1.01.02/3796/NL-HaNA_1.01.02_3796_0488.jpg", "viewer_url")</f>
        <v>viewer_url</v>
      </c>
      <c r="P80" t="str">
        <f>HYPERLINK("https://images.diginfra.net/iiif/NL-HaNA_1.01.02/3796/NL-HaNA_1.01.02_3796_0488.jpg/243,365,1098,3049/full/0/default.jpg", "iiif_url")</f>
        <v>iiif_url</v>
      </c>
      <c r="T80" t="s">
        <v>336</v>
      </c>
      <c r="U80" t="str">
        <f>HYPERLINK("https://images.diginfra.net/framed3.html?imagesetuuid=ece8f80b-0549-4e73-82ff-af47ed8525ac&amp;uri=https://images.diginfra.net/iiif/NL-HaNA_1.01.02/3796/NL-HaNA_1.01.02_3796_0486.jpg", "prev_meeting_viewer_url")</f>
        <v>prev_meeting_viewer_url</v>
      </c>
      <c r="V80" t="str">
        <f>HYPERLINK("https://images.diginfra.net/iiif/NL-HaNA_1.01.02/3796/NL-HaNA_1.01.02_3796_0486.jpg/2589,2882,884,504/full/0/default.jpg", "prev_meeting_iiif_url")</f>
        <v>prev_meeting_iiif_url</v>
      </c>
    </row>
    <row r="81" spans="1:22" x14ac:dyDescent="0.2">
      <c r="A81" t="s">
        <v>337</v>
      </c>
      <c r="B81" t="s">
        <v>27</v>
      </c>
      <c r="C81" t="s">
        <v>338</v>
      </c>
      <c r="D81" t="b">
        <v>1</v>
      </c>
      <c r="E81" t="b">
        <v>1</v>
      </c>
      <c r="F81">
        <v>1</v>
      </c>
      <c r="H81" t="s">
        <v>339</v>
      </c>
      <c r="I81">
        <v>3794</v>
      </c>
      <c r="J81">
        <v>347</v>
      </c>
      <c r="K81">
        <v>693</v>
      </c>
      <c r="L81">
        <v>0</v>
      </c>
      <c r="M81">
        <v>2</v>
      </c>
      <c r="N81">
        <v>0</v>
      </c>
      <c r="O81" t="str">
        <f>HYPERLINK("https://images.diginfra.net/framed3.html?imagesetuuid=5debb5c6-ae39-480e-845e-6e10690f8984&amp;uri=https://images.diginfra.net/iiif/NL-HaNA_1.01.02/3794/NL-HaNA_1.01.02_3794_0347.jpg", "viewer_url")</f>
        <v>viewer_url</v>
      </c>
      <c r="P81" t="str">
        <f>HYPERLINK("https://images.diginfra.net/iiif/NL-HaNA_1.01.02/3794/NL-HaNA_1.01.02_3794_0347.jpg/2428,1805,1086,1582/full/0/default.jpg", "iiif_url")</f>
        <v>iiif_url</v>
      </c>
      <c r="Q81" t="s">
        <v>340</v>
      </c>
      <c r="R81" t="str">
        <f>HYPERLINK("https://images.diginfra.net/framed3.html?imagesetuuid=5debb5c6-ae39-480e-845e-6e10690f8984&amp;uri=https://images.diginfra.net/iiif/NL-HaNA_1.01.02/3794/NL-HaNA_1.01.02_3794_0348.jpg", "next_meeting_viewer_url")</f>
        <v>next_meeting_viewer_url</v>
      </c>
      <c r="S81" t="str">
        <f>HYPERLINK("https://images.diginfra.net/iiif/NL-HaNA_1.01.02/3794/NL-HaNA_1.01.02_3794_0348.jpg/277,1654,1088,1693/full/0/default.jpg", "next_meeting_iiif_url")</f>
        <v>next_meeting_iiif_url</v>
      </c>
      <c r="U81" t="str">
        <f>HYPERLINK("https://images.diginfra.net/framed3.html?imagesetuuid=5debb5c6-ae39-480e-845e-6e10690f8984&amp;uri=https://images.diginfra.net/iiif/NL-HaNA_1.01.02/3794/NL-HaNA_1.01.02_3794_0347.jpg", "prev_meeting_viewer_url")</f>
        <v>prev_meeting_viewer_url</v>
      </c>
      <c r="V81" t="str">
        <f>HYPERLINK("https://images.diginfra.net/iiif/NL-HaNA_1.01.02/3794/NL-HaNA_1.01.02_3794_0347.jpg/271,597,1091,2839/full/0/default.jpg", "prev_meeting_iiif_url")</f>
        <v>prev_meeting_iiif_url</v>
      </c>
    </row>
    <row r="82" spans="1:22" x14ac:dyDescent="0.2">
      <c r="A82" t="s">
        <v>341</v>
      </c>
      <c r="B82" t="s">
        <v>30</v>
      </c>
      <c r="C82" t="s">
        <v>342</v>
      </c>
      <c r="D82" t="b">
        <v>1</v>
      </c>
      <c r="E82" t="b">
        <v>1</v>
      </c>
      <c r="F82">
        <v>1</v>
      </c>
      <c r="H82" t="s">
        <v>343</v>
      </c>
      <c r="I82">
        <v>3798</v>
      </c>
      <c r="J82">
        <v>86</v>
      </c>
      <c r="K82">
        <v>171</v>
      </c>
      <c r="L82">
        <v>1</v>
      </c>
      <c r="M82">
        <v>1</v>
      </c>
      <c r="N82">
        <v>0</v>
      </c>
      <c r="O82" t="str">
        <f>HYPERLINK("https://images.diginfra.net/framed3.html?imagesetuuid=c3e98c27-09b5-46e4-b19a-b811d240b059&amp;uri=https://images.diginfra.net/iiif/NL-HaNA_1.01.02/3798/NL-HaNA_1.01.02_3798_0086.jpg", "viewer_url")</f>
        <v>viewer_url</v>
      </c>
      <c r="P82" t="str">
        <f>HYPERLINK("https://images.diginfra.net/iiif/NL-HaNA_1.01.02/3798/NL-HaNA_1.01.02_3798_0086.jpg/3361,1208,1120,2258/full/0/default.jpg", "iiif_url")</f>
        <v>iiif_url</v>
      </c>
      <c r="Q82" t="s">
        <v>344</v>
      </c>
      <c r="R82" t="str">
        <f>HYPERLINK("https://images.diginfra.net/framed3.html?imagesetuuid=c3e98c27-09b5-46e4-b19a-b811d240b059&amp;uri=https://images.diginfra.net/iiif/NL-HaNA_1.01.02/3798/NL-HaNA_1.01.02_3798_0088.jpg", "next_meeting_viewer_url")</f>
        <v>next_meeting_viewer_url</v>
      </c>
      <c r="S82" t="str">
        <f>HYPERLINK("https://images.diginfra.net/iiif/NL-HaNA_1.01.02/3798/NL-HaNA_1.01.02_3798_0088.jpg/308,574,1084,2843/full/0/default.jpg", "next_meeting_iiif_url")</f>
        <v>next_meeting_iiif_url</v>
      </c>
      <c r="T82" t="s">
        <v>345</v>
      </c>
      <c r="U82" t="str">
        <f>HYPERLINK("https://images.diginfra.net/framed3.html?imagesetuuid=c3e98c27-09b5-46e4-b19a-b811d240b059&amp;uri=https://images.diginfra.net/iiif/NL-HaNA_1.01.02/3798/NL-HaNA_1.01.02_3798_0086.jpg", "prev_meeting_viewer_url")</f>
        <v>prev_meeting_viewer_url</v>
      </c>
      <c r="V82" t="str">
        <f>HYPERLINK("https://images.diginfra.net/iiif/NL-HaNA_1.01.02/3798/NL-HaNA_1.01.02_3798_0086.jpg/1271,1637,1060,1804/full/0/default.jpg", "prev_meeting_iiif_url")</f>
        <v>prev_meeting_iiif_url</v>
      </c>
    </row>
    <row r="83" spans="1:22" x14ac:dyDescent="0.2">
      <c r="A83" t="s">
        <v>346</v>
      </c>
      <c r="B83" t="s">
        <v>65</v>
      </c>
      <c r="D83" t="b">
        <v>1</v>
      </c>
      <c r="E83" t="b">
        <v>0</v>
      </c>
      <c r="F83">
        <v>0</v>
      </c>
      <c r="O83" t="str">
        <f>HYPERLINK("None", "viewer_url")</f>
        <v>viewer_url</v>
      </c>
      <c r="P83" t="str">
        <f>HYPERLINK("None", "iiif_url")</f>
        <v>iiif_url</v>
      </c>
      <c r="Q83" t="s">
        <v>347</v>
      </c>
      <c r="R83" t="str">
        <f>HYPERLINK("https://images.diginfra.net/framed3.html?imagesetuuid=e344f420-8808-4cb9-bb8a-07944ccb8c18&amp;uri=https://images.diginfra.net/iiif/NL-HaNA_1.01.02/3775/NL-HaNA_1.01.02_3775_0345.jpg", "next_meeting_viewer_url")</f>
        <v>next_meeting_viewer_url</v>
      </c>
      <c r="S83" t="str">
        <f>HYPERLINK("https://images.diginfra.net/iiif/NL-HaNA_1.01.02/3775/NL-HaNA_1.01.02_3775_0345.jpg/3109,716,1120,2696/full/0/default.jpg", "next_meeting_iiif_url")</f>
        <v>next_meeting_iiif_url</v>
      </c>
    </row>
    <row r="84" spans="1:22" x14ac:dyDescent="0.2">
      <c r="A84" t="s">
        <v>348</v>
      </c>
      <c r="B84" t="s">
        <v>65</v>
      </c>
      <c r="C84" t="s">
        <v>349</v>
      </c>
      <c r="D84" t="b">
        <v>1</v>
      </c>
      <c r="E84" t="b">
        <v>1</v>
      </c>
      <c r="F84">
        <v>1</v>
      </c>
      <c r="H84" t="s">
        <v>350</v>
      </c>
      <c r="I84">
        <v>3836</v>
      </c>
      <c r="J84">
        <v>164</v>
      </c>
      <c r="K84">
        <v>326</v>
      </c>
      <c r="L84">
        <v>0</v>
      </c>
      <c r="M84">
        <v>1</v>
      </c>
      <c r="N84">
        <v>0</v>
      </c>
      <c r="O84" t="str">
        <f>HYPERLINK("https://images.diginfra.net/framed3.html?imagesetuuid=4afc9a09-602a-4496-bef5-1ae8940042a8&amp;uri=https://images.diginfra.net/iiif/NL-HaNA_1.01.02/3836/NL-HaNA_1.01.02_3836_0164.jpg", "viewer_url")</f>
        <v>viewer_url</v>
      </c>
      <c r="P84" t="str">
        <f>HYPERLINK("https://images.diginfra.net/iiif/NL-HaNA_1.01.02/3836/NL-HaNA_1.01.02_3836_0164.jpg/230,1608,1063,1798/full/0/default.jpg", "iiif_url")</f>
        <v>iiif_url</v>
      </c>
      <c r="R84" t="str">
        <f>HYPERLINK("https://images.diginfra.net/framed3.html?imagesetuuid=4afc9a09-602a-4496-bef5-1ae8940042a8&amp;uri=https://images.diginfra.net/iiif/NL-HaNA_1.01.02/3836/NL-HaNA_1.01.02_3836_0166.jpg", "next_meeting_viewer_url")</f>
        <v>next_meeting_viewer_url</v>
      </c>
      <c r="S84" t="str">
        <f>HYPERLINK("https://images.diginfra.net/iiif/NL-HaNA_1.01.02/3836/NL-HaNA_1.01.02_3836_0166.jpg/1234,2273,1032,1134/full/0/default.jpg", "next_meeting_iiif_url")</f>
        <v>next_meeting_iiif_url</v>
      </c>
      <c r="T84" t="s">
        <v>351</v>
      </c>
      <c r="U84" t="str">
        <f>HYPERLINK("https://images.diginfra.net/framed3.html?imagesetuuid=4afc9a09-602a-4496-bef5-1ae8940042a8&amp;uri=https://images.diginfra.net/iiif/NL-HaNA_1.01.02/3836/NL-HaNA_1.01.02_3836_0162.jpg", "prev_meeting_viewer_url")</f>
        <v>prev_meeting_viewer_url</v>
      </c>
      <c r="V84" t="str">
        <f>HYPERLINK("https://images.diginfra.net/iiif/NL-HaNA_1.01.02/3836/NL-HaNA_1.01.02_3836_0162.jpg/2356,850,1072,2535/full/0/default.jpg", "prev_meeting_iiif_url")</f>
        <v>prev_meeting_iiif_url</v>
      </c>
    </row>
    <row r="85" spans="1:22" x14ac:dyDescent="0.2">
      <c r="A85" t="s">
        <v>352</v>
      </c>
      <c r="B85" t="s">
        <v>30</v>
      </c>
      <c r="C85" t="s">
        <v>353</v>
      </c>
      <c r="D85" t="b">
        <v>1</v>
      </c>
      <c r="E85" t="b">
        <v>1</v>
      </c>
      <c r="F85">
        <v>1</v>
      </c>
      <c r="H85" t="s">
        <v>354</v>
      </c>
      <c r="I85">
        <v>3781</v>
      </c>
      <c r="J85">
        <v>248</v>
      </c>
      <c r="K85">
        <v>494</v>
      </c>
      <c r="L85">
        <v>2</v>
      </c>
      <c r="M85">
        <v>1</v>
      </c>
      <c r="N85">
        <v>0</v>
      </c>
      <c r="O85" t="str">
        <f>HYPERLINK("https://images.diginfra.net/framed3.html?imagesetuuid=7806433b-7f26-4d4e-8e76-37d108a188de&amp;uri=https://images.diginfra.net/iiif/NL-HaNA_1.01.02/3781/NL-HaNA_1.01.02_3781_0248.jpg", "viewer_url")</f>
        <v>viewer_url</v>
      </c>
      <c r="P85" t="str">
        <f>HYPERLINK("https://images.diginfra.net/iiif/NL-HaNA_1.01.02/3781/NL-HaNA_1.01.02_3781_0248.jpg/1130,706,1118,2772/full/0/default.jpg", "iiif_url")</f>
        <v>iiif_url</v>
      </c>
      <c r="T85" t="s">
        <v>355</v>
      </c>
      <c r="U85" t="str">
        <f>HYPERLINK("https://images.diginfra.net/framed3.html?imagesetuuid=7806433b-7f26-4d4e-8e76-37d108a188de&amp;uri=https://images.diginfra.net/iiif/NL-HaNA_1.01.02/3781/NL-HaNA_1.01.02_3781_0247.jpg", "prev_meeting_viewer_url")</f>
        <v>prev_meeting_viewer_url</v>
      </c>
      <c r="V85" t="str">
        <f>HYPERLINK("https://images.diginfra.net/iiif/NL-HaNA_1.01.02/3781/NL-HaNA_1.01.02_3781_0247.jpg/1336,2210,1045,1245/full/0/default.jpg", "prev_meeting_iiif_url")</f>
        <v>prev_meeting_iiif_url</v>
      </c>
    </row>
    <row r="86" spans="1:22" x14ac:dyDescent="0.2">
      <c r="A86" t="s">
        <v>356</v>
      </c>
      <c r="B86" t="s">
        <v>36</v>
      </c>
      <c r="C86" t="s">
        <v>357</v>
      </c>
      <c r="D86" t="b">
        <v>0</v>
      </c>
      <c r="E86" t="b">
        <v>1</v>
      </c>
      <c r="F86">
        <v>0</v>
      </c>
      <c r="H86" t="s">
        <v>358</v>
      </c>
      <c r="I86">
        <v>3774</v>
      </c>
      <c r="J86">
        <v>341</v>
      </c>
      <c r="K86">
        <v>680</v>
      </c>
      <c r="L86">
        <v>1</v>
      </c>
      <c r="M86">
        <v>2</v>
      </c>
      <c r="N86">
        <v>0</v>
      </c>
      <c r="O86" t="str">
        <f>HYPERLINK("https://images.diginfra.net/framed3.html?imagesetuuid=a94d24a1-7932-4b81-a3e6-04161d471ec1&amp;uri=https://images.diginfra.net/iiif/NL-HaNA_1.01.02/3774/NL-HaNA_1.01.02_3774_0341.jpg", "viewer_url")</f>
        <v>viewer_url</v>
      </c>
      <c r="P86" t="str">
        <f>HYPERLINK("https://images.diginfra.net/iiif/NL-HaNA_1.01.02/3774/NL-HaNA_1.01.02_3774_0341.jpg/1414,2967,769,318/full/0/default.jpg", "iiif_url")</f>
        <v>iiif_url</v>
      </c>
      <c r="Q86" t="s">
        <v>359</v>
      </c>
      <c r="R86" t="str">
        <f>HYPERLINK("https://images.diginfra.net/framed3.html?imagesetuuid=a94d24a1-7932-4b81-a3e6-04161d471ec1&amp;uri=https://images.diginfra.net/iiif/NL-HaNA_1.01.02/3774/NL-HaNA_1.01.02_3774_0349.jpg", "next_meeting_viewer_url")</f>
        <v>next_meeting_viewer_url</v>
      </c>
      <c r="S86" t="str">
        <f>HYPERLINK("https://images.diginfra.net/iiif/NL-HaNA_1.01.02/3774/NL-HaNA_1.01.02_3774_0349.jpg/3312,1993,1085,1370/full/0/default.jpg", "next_meeting_iiif_url")</f>
        <v>next_meeting_iiif_url</v>
      </c>
      <c r="T86" t="s">
        <v>360</v>
      </c>
      <c r="U86" t="str">
        <f>HYPERLINK("https://images.diginfra.net/framed3.html?imagesetuuid=a94d24a1-7932-4b81-a3e6-04161d471ec1&amp;uri=https://images.diginfra.net/iiif/NL-HaNA_1.01.02/3774/NL-HaNA_1.01.02_3774_0348.jpg", "prev_meeting_viewer_url")</f>
        <v>prev_meeting_viewer_url</v>
      </c>
      <c r="V86" t="str">
        <f>HYPERLINK("https://images.diginfra.net/iiif/NL-HaNA_1.01.02/3774/NL-HaNA_1.01.02_3774_0348.jpg/2354,1860,1078,1487/full/0/default.jpg", "prev_meeting_iiif_url")</f>
        <v>prev_meeting_iiif_url</v>
      </c>
    </row>
    <row r="87" spans="1:22" x14ac:dyDescent="0.2">
      <c r="A87" t="s">
        <v>361</v>
      </c>
      <c r="B87" t="s">
        <v>27</v>
      </c>
      <c r="C87" t="s">
        <v>362</v>
      </c>
      <c r="D87" t="b">
        <v>1</v>
      </c>
      <c r="E87" t="b">
        <v>1</v>
      </c>
      <c r="F87">
        <v>1</v>
      </c>
      <c r="H87" t="s">
        <v>363</v>
      </c>
      <c r="I87">
        <v>3810</v>
      </c>
      <c r="J87">
        <v>120</v>
      </c>
      <c r="K87">
        <v>238</v>
      </c>
      <c r="L87">
        <v>1</v>
      </c>
      <c r="M87">
        <v>0</v>
      </c>
      <c r="N87">
        <v>0</v>
      </c>
      <c r="O87" t="str">
        <f>HYPERLINK("https://images.diginfra.net/framed3.html?imagesetuuid=c09819be-7a72-4ff1-ad38-883712386d5f&amp;uri=https://images.diginfra.net/iiif/NL-HaNA_1.01.02/3810/NL-HaNA_1.01.02_3810_0120.jpg", "viewer_url")</f>
        <v>viewer_url</v>
      </c>
      <c r="P87" t="str">
        <f>HYPERLINK("https://images.diginfra.net/iiif/NL-HaNA_1.01.02/3810/NL-HaNA_1.01.02_3810_0120.jpg/1213,222,1125,3131/full/0/default.jpg", "iiif_url")</f>
        <v>iiif_url</v>
      </c>
      <c r="T87" t="s">
        <v>364</v>
      </c>
      <c r="U87" t="str">
        <f>HYPERLINK("https://images.diginfra.net/framed3.html?imagesetuuid=c09819be-7a72-4ff1-ad38-883712386d5f&amp;uri=https://images.diginfra.net/iiif/NL-HaNA_1.01.02/3810/NL-HaNA_1.01.02_3810_0119.jpg", "prev_meeting_viewer_url")</f>
        <v>prev_meeting_viewer_url</v>
      </c>
      <c r="V87" t="str">
        <f>HYPERLINK("https://images.diginfra.net/iiif/NL-HaNA_1.01.02/3810/NL-HaNA_1.01.02_3810_0119.jpg/1169,950,1125,2350/full/0/default.jpg", "prev_meeting_iiif_url")</f>
        <v>prev_meeting_iiif_url</v>
      </c>
    </row>
    <row r="88" spans="1:22" x14ac:dyDescent="0.2">
      <c r="A88" t="s">
        <v>365</v>
      </c>
      <c r="B88" t="s">
        <v>27</v>
      </c>
      <c r="C88" t="s">
        <v>366</v>
      </c>
      <c r="D88" t="b">
        <v>1</v>
      </c>
      <c r="E88" t="b">
        <v>1</v>
      </c>
      <c r="F88">
        <v>1</v>
      </c>
      <c r="H88" t="s">
        <v>367</v>
      </c>
      <c r="I88">
        <v>3764</v>
      </c>
      <c r="J88">
        <v>105</v>
      </c>
      <c r="K88">
        <v>209</v>
      </c>
      <c r="L88">
        <v>1</v>
      </c>
      <c r="M88">
        <v>2</v>
      </c>
      <c r="N88">
        <v>0</v>
      </c>
      <c r="O88" t="str">
        <f>HYPERLINK("https://images.diginfra.net/framed3.html?imagesetuuid=111590de-8f08-498e-8bad-f6a289f87065&amp;uri=https://images.diginfra.net/iiif/NL-HaNA_1.01.02/3764/NL-HaNA_1.01.02_3764_0105.jpg", "viewer_url")</f>
        <v>viewer_url</v>
      </c>
      <c r="P88" t="str">
        <f>HYPERLINK("https://images.diginfra.net/iiif/NL-HaNA_1.01.02/3764/NL-HaNA_1.01.02_3764_0105.jpg/3482,497,1125,2927/full/0/default.jpg", "iiif_url")</f>
        <v>iiif_url</v>
      </c>
      <c r="Q88" t="s">
        <v>368</v>
      </c>
      <c r="R88" t="str">
        <f>HYPERLINK("https://images.diginfra.net/framed3.html?imagesetuuid=111590de-8f08-498e-8bad-f6a289f87065&amp;uri=https://images.diginfra.net/iiif/NL-HaNA_1.01.02/3764/NL-HaNA_1.01.02_3764_0108.jpg", "next_meeting_viewer_url")</f>
        <v>next_meeting_viewer_url</v>
      </c>
      <c r="S88" t="str">
        <f>HYPERLINK("https://images.diginfra.net/iiif/NL-HaNA_1.01.02/3764/NL-HaNA_1.01.02_3764_0108.jpg/373,683,1092,2733/full/0/default.jpg", "next_meeting_iiif_url")</f>
        <v>next_meeting_iiif_url</v>
      </c>
      <c r="U88" t="str">
        <f>HYPERLINK("https://images.diginfra.net/framed3.html?imagesetuuid=111590de-8f08-498e-8bad-f6a289f87065&amp;uri=https://images.diginfra.net/iiif/NL-HaNA_1.01.02/3764/NL-HaNA_1.01.02_3764_0104.jpg", "prev_meeting_viewer_url")</f>
        <v>prev_meeting_viewer_url</v>
      </c>
      <c r="V88" t="str">
        <f>HYPERLINK("https://images.diginfra.net/iiif/NL-HaNA_1.01.02/3764/NL-HaNA_1.01.02_3764_0104.jpg/2495,333,1113,3065/full/0/default.jpg", "prev_meeting_iiif_url")</f>
        <v>prev_meeting_iiif_url</v>
      </c>
    </row>
    <row r="89" spans="1:22" x14ac:dyDescent="0.2">
      <c r="A89" t="s">
        <v>369</v>
      </c>
      <c r="B89" t="s">
        <v>30</v>
      </c>
      <c r="C89" t="s">
        <v>370</v>
      </c>
      <c r="D89" t="b">
        <v>1</v>
      </c>
      <c r="E89" t="b">
        <v>1</v>
      </c>
      <c r="F89">
        <v>1</v>
      </c>
      <c r="H89" t="s">
        <v>371</v>
      </c>
      <c r="I89">
        <v>3812</v>
      </c>
      <c r="J89">
        <v>307</v>
      </c>
      <c r="K89">
        <v>613</v>
      </c>
      <c r="L89">
        <v>0</v>
      </c>
      <c r="M89">
        <v>3</v>
      </c>
      <c r="N89">
        <v>0</v>
      </c>
      <c r="O89" t="str">
        <f>HYPERLINK("https://images.diginfra.net/framed3.html?imagesetuuid=2068053a-a1c4-40f9-a503-3778784a1420&amp;uri=https://images.diginfra.net/iiif/NL-HaNA_1.01.02/3812/NL-HaNA_1.01.02_3812_0307.jpg", "viewer_url")</f>
        <v>viewer_url</v>
      </c>
      <c r="P89" t="str">
        <f>HYPERLINK("https://images.diginfra.net/iiif/NL-HaNA_1.01.02/3812/NL-HaNA_1.01.02_3812_0307.jpg/2411,2453,1030,934/full/0/default.jpg", "iiif_url")</f>
        <v>iiif_url</v>
      </c>
      <c r="R89" t="str">
        <f>HYPERLINK("https://images.diginfra.net/framed3.html?imagesetuuid=2068053a-a1c4-40f9-a503-3778784a1420&amp;uri=https://images.diginfra.net/iiif/NL-HaNA_1.01.02/3812/NL-HaNA_1.01.02_3812_0310.jpg", "next_meeting_viewer_url")</f>
        <v>next_meeting_viewer_url</v>
      </c>
      <c r="S89" t="str">
        <f>HYPERLINK("https://images.diginfra.net/iiif/NL-HaNA_1.01.02/3812/NL-HaNA_1.01.02_3812_0310.jpg/2369,368,1091,3037/full/0/default.jpg", "next_meeting_iiif_url")</f>
        <v>next_meeting_iiif_url</v>
      </c>
      <c r="T89" t="s">
        <v>372</v>
      </c>
      <c r="U89" t="str">
        <f>HYPERLINK("https://images.diginfra.net/framed3.html?imagesetuuid=2068053a-a1c4-40f9-a503-3778784a1420&amp;uri=https://images.diginfra.net/iiif/NL-HaNA_1.01.02/3812/NL-HaNA_1.01.02_3812_0304.jpg", "prev_meeting_viewer_url")</f>
        <v>prev_meeting_viewer_url</v>
      </c>
      <c r="V89" t="str">
        <f>HYPERLINK("https://images.diginfra.net/iiif/NL-HaNA_1.01.02/3812/NL-HaNA_1.01.02_3812_0304.jpg/1193,249,1104,3000/full/0/default.jpg", "prev_meeting_iiif_url")</f>
        <v>prev_meeting_iiif_url</v>
      </c>
    </row>
    <row r="90" spans="1:22" x14ac:dyDescent="0.2">
      <c r="A90" t="s">
        <v>373</v>
      </c>
      <c r="B90" t="s">
        <v>27</v>
      </c>
      <c r="C90" t="s">
        <v>374</v>
      </c>
      <c r="D90" t="b">
        <v>1</v>
      </c>
      <c r="E90" t="b">
        <v>1</v>
      </c>
      <c r="F90">
        <v>1</v>
      </c>
      <c r="H90" t="s">
        <v>375</v>
      </c>
      <c r="I90">
        <v>3770</v>
      </c>
      <c r="J90">
        <v>463</v>
      </c>
      <c r="K90">
        <v>925</v>
      </c>
      <c r="L90">
        <v>1</v>
      </c>
      <c r="M90">
        <v>1</v>
      </c>
      <c r="N90">
        <v>0</v>
      </c>
      <c r="O90" t="str">
        <f>HYPERLINK("https://images.diginfra.net/framed3.html?imagesetuuid=ee423b29-ca44-4ac9-bc3a-01422a0a6240&amp;uri=https://images.diginfra.net/iiif/NL-HaNA_1.01.02/3770/NL-HaNA_1.01.02_3770_0463.jpg", "viewer_url")</f>
        <v>viewer_url</v>
      </c>
      <c r="P90" t="str">
        <f>HYPERLINK("https://images.diginfra.net/iiif/NL-HaNA_1.01.02/3770/NL-HaNA_1.01.02_3770_0463.jpg/3468,2517,1035,768/full/0/default.jpg", "iiif_url")</f>
        <v>iiif_url</v>
      </c>
      <c r="Q90" t="s">
        <v>376</v>
      </c>
      <c r="R90" t="str">
        <f>HYPERLINK("https://images.diginfra.net/framed3.html?imagesetuuid=ee423b29-ca44-4ac9-bc3a-01422a0a6240&amp;uri=https://images.diginfra.net/iiif/NL-HaNA_1.01.02/3770/NL-HaNA_1.01.02_3770_0464.jpg", "next_meeting_viewer_url")</f>
        <v>next_meeting_viewer_url</v>
      </c>
      <c r="S90" t="str">
        <f>HYPERLINK("https://images.diginfra.net/iiif/NL-HaNA_1.01.02/3770/NL-HaNA_1.01.02_3770_0464.jpg/2429,747,1097,2626/full/0/default.jpg", "next_meeting_iiif_url")</f>
        <v>next_meeting_iiif_url</v>
      </c>
      <c r="T90" t="s">
        <v>377</v>
      </c>
      <c r="U90" t="str">
        <f>HYPERLINK("https://images.diginfra.net/framed3.html?imagesetuuid=ee423b29-ca44-4ac9-bc3a-01422a0a6240&amp;uri=https://images.diginfra.net/iiif/NL-HaNA_1.01.02/3770/NL-HaNA_1.01.02_3770_0462.jpg", "prev_meeting_viewer_url")</f>
        <v>prev_meeting_viewer_url</v>
      </c>
      <c r="V90" t="str">
        <f>HYPERLINK("https://images.diginfra.net/iiif/NL-HaNA_1.01.02/3770/NL-HaNA_1.01.02_3770_0462.jpg/2445,1028,1096,2379/full/0/default.jpg", "prev_meeting_iiif_url")</f>
        <v>prev_meeting_iiif_url</v>
      </c>
    </row>
    <row r="91" spans="1:22" x14ac:dyDescent="0.2">
      <c r="A91" t="s">
        <v>378</v>
      </c>
      <c r="B91" t="s">
        <v>65</v>
      </c>
      <c r="C91" t="s">
        <v>379</v>
      </c>
      <c r="D91" t="b">
        <v>1</v>
      </c>
      <c r="E91" t="b">
        <v>1</v>
      </c>
      <c r="F91">
        <v>1</v>
      </c>
      <c r="H91" t="s">
        <v>380</v>
      </c>
      <c r="I91">
        <v>3794</v>
      </c>
      <c r="J91">
        <v>293</v>
      </c>
      <c r="K91">
        <v>584</v>
      </c>
      <c r="L91">
        <v>0</v>
      </c>
      <c r="M91">
        <v>2</v>
      </c>
      <c r="N91">
        <v>0</v>
      </c>
      <c r="O91" t="str">
        <f>HYPERLINK("https://images.diginfra.net/framed3.html?imagesetuuid=5debb5c6-ae39-480e-845e-6e10690f8984&amp;uri=https://images.diginfra.net/iiif/NL-HaNA_1.01.02/3794/NL-HaNA_1.01.02_3794_0293.jpg", "viewer_url")</f>
        <v>viewer_url</v>
      </c>
      <c r="P91" t="str">
        <f>HYPERLINK("https://images.diginfra.net/iiif/NL-HaNA_1.01.02/3794/NL-HaNA_1.01.02_3794_0293.jpg/238,1833,1087,1610/full/0/default.jpg", "iiif_url")</f>
        <v>iiif_url</v>
      </c>
      <c r="Q91" t="s">
        <v>315</v>
      </c>
      <c r="R91" t="str">
        <f>HYPERLINK("https://images.diginfra.net/framed3.html?imagesetuuid=5debb5c6-ae39-480e-845e-6e10690f8984&amp;uri=https://images.diginfra.net/iiif/NL-HaNA_1.01.02/3794/NL-HaNA_1.01.02_3794_0293.jpg", "next_meeting_viewer_url")</f>
        <v>next_meeting_viewer_url</v>
      </c>
      <c r="S91" t="str">
        <f>HYPERLINK("https://images.diginfra.net/iiif/NL-HaNA_1.01.02/3794/NL-HaNA_1.01.02_3794_0293.jpg/1229,2596,1046,793/full/0/default.jpg", "next_meeting_iiif_url")</f>
        <v>next_meeting_iiif_url</v>
      </c>
      <c r="T91" t="s">
        <v>381</v>
      </c>
      <c r="U91" t="str">
        <f>HYPERLINK("https://images.diginfra.net/framed3.html?imagesetuuid=5debb5c6-ae39-480e-845e-6e10690f8984&amp;uri=https://images.diginfra.net/iiif/NL-HaNA_1.01.02/3794/NL-HaNA_1.01.02_3794_0292.jpg", "prev_meeting_viewer_url")</f>
        <v>prev_meeting_viewer_url</v>
      </c>
      <c r="V91" t="str">
        <f>HYPERLINK("https://images.diginfra.net/iiif/NL-HaNA_1.01.02/3794/NL-HaNA_1.01.02_3794_0292.jpg/1228,1680,1106,1750/full/0/default.jpg", "prev_meeting_iiif_url")</f>
        <v>prev_meeting_iiif_url</v>
      </c>
    </row>
    <row r="92" spans="1:22" x14ac:dyDescent="0.2">
      <c r="A92" t="s">
        <v>382</v>
      </c>
      <c r="B92" t="s">
        <v>30</v>
      </c>
      <c r="C92" t="s">
        <v>383</v>
      </c>
      <c r="D92" t="b">
        <v>1</v>
      </c>
      <c r="E92" t="b">
        <v>1</v>
      </c>
      <c r="F92">
        <v>1</v>
      </c>
      <c r="H92" t="s">
        <v>384</v>
      </c>
      <c r="I92">
        <v>3852</v>
      </c>
      <c r="J92">
        <v>567</v>
      </c>
      <c r="K92">
        <v>1133</v>
      </c>
      <c r="L92">
        <v>0</v>
      </c>
      <c r="M92">
        <v>1</v>
      </c>
      <c r="N92">
        <v>0</v>
      </c>
      <c r="O92" t="str">
        <f>HYPERLINK("https://images.diginfra.net/framed3.html?imagesetuuid=3b3d915a-84ba-4c76-9942-747a007cc965&amp;uri=https://images.diginfra.net/iiif/NL-HaNA_1.01.02/3852/NL-HaNA_1.01.02_3852_0567.jpg", "viewer_url")</f>
        <v>viewer_url</v>
      </c>
      <c r="P92" t="str">
        <f>HYPERLINK("https://images.diginfra.net/iiif/NL-HaNA_1.01.02/3852/NL-HaNA_1.01.02_3852_0567.jpg/2371,1138,1077,2296/full/0/default.jpg", "iiif_url")</f>
        <v>iiif_url</v>
      </c>
      <c r="Q92" t="s">
        <v>385</v>
      </c>
      <c r="R92" t="str">
        <f>HYPERLINK("https://images.diginfra.net/framed3.html?imagesetuuid=3b3d915a-84ba-4c76-9942-747a007cc965&amp;uri=https://images.diginfra.net/iiif/NL-HaNA_1.01.02/3852/NL-HaNA_1.01.02_3852_0569.jpg", "next_meeting_viewer_url")</f>
        <v>next_meeting_viewer_url</v>
      </c>
      <c r="S92" t="str">
        <f>HYPERLINK("https://images.diginfra.net/iiif/NL-HaNA_1.01.02/3852/NL-HaNA_1.01.02_3852_0569.jpg/348,2895,977,492/full/0/default.jpg", "next_meeting_iiif_url")</f>
        <v>next_meeting_iiif_url</v>
      </c>
      <c r="T92" t="s">
        <v>386</v>
      </c>
      <c r="U92" t="str">
        <f>HYPERLINK("https://images.diginfra.net/framed3.html?imagesetuuid=3b3d915a-84ba-4c76-9942-747a007cc965&amp;uri=https://images.diginfra.net/iiif/NL-HaNA_1.01.02/3852/NL-HaNA_1.01.02_3852_0566.jpg", "prev_meeting_viewer_url")</f>
        <v>prev_meeting_viewer_url</v>
      </c>
      <c r="V92" t="str">
        <f>HYPERLINK("https://images.diginfra.net/iiif/NL-HaNA_1.01.02/3852/NL-HaNA_1.01.02_3852_0566.jpg/1226,565,1096,2891/full/0/default.jpg", "prev_meeting_iiif_url")</f>
        <v>prev_meeting_iiif_url</v>
      </c>
    </row>
    <row r="93" spans="1:22" x14ac:dyDescent="0.2">
      <c r="A93" t="s">
        <v>387</v>
      </c>
      <c r="B93" t="s">
        <v>21</v>
      </c>
      <c r="C93" t="s">
        <v>388</v>
      </c>
      <c r="D93" t="b">
        <v>1</v>
      </c>
      <c r="E93" t="b">
        <v>1</v>
      </c>
      <c r="F93">
        <v>1</v>
      </c>
      <c r="H93" t="s">
        <v>389</v>
      </c>
      <c r="I93">
        <v>3800</v>
      </c>
      <c r="J93">
        <v>282</v>
      </c>
      <c r="K93">
        <v>562</v>
      </c>
      <c r="L93">
        <v>0</v>
      </c>
      <c r="M93">
        <v>2</v>
      </c>
      <c r="N93">
        <v>0</v>
      </c>
      <c r="O93" t="str">
        <f>HYPERLINK("https://images.diginfra.net/framed3.html?imagesetuuid=a9adb8ed-3212-4745-a472-51257845b9e2&amp;uri=https://images.diginfra.net/iiif/NL-HaNA_1.01.02/3800/NL-HaNA_1.01.02_3800_0282.jpg", "viewer_url")</f>
        <v>viewer_url</v>
      </c>
      <c r="P93" t="str">
        <f>HYPERLINK("https://images.diginfra.net/iiif/NL-HaNA_1.01.02/3800/NL-HaNA_1.01.02_3800_0282.jpg/289,2366,1035,1094/full/0/default.jpg", "iiif_url")</f>
        <v>iiif_url</v>
      </c>
      <c r="Q93" t="s">
        <v>390</v>
      </c>
      <c r="R93" t="str">
        <f>HYPERLINK("https://images.diginfra.net/framed3.html?imagesetuuid=a9adb8ed-3212-4745-a472-51257845b9e2&amp;uri=https://images.diginfra.net/iiif/NL-HaNA_1.01.02/3800/NL-HaNA_1.01.02_3800_0282.jpg", "next_meeting_viewer_url")</f>
        <v>next_meeting_viewer_url</v>
      </c>
      <c r="S93" t="str">
        <f>HYPERLINK("https://images.diginfra.net/iiif/NL-HaNA_1.01.02/3800/NL-HaNA_1.01.02_3800_0282.jpg/2334,570,1103,2887/full/0/default.jpg", "next_meeting_iiif_url")</f>
        <v>next_meeting_iiif_url</v>
      </c>
      <c r="T93" t="s">
        <v>391</v>
      </c>
      <c r="U93" t="str">
        <f>HYPERLINK("https://images.diginfra.net/framed3.html?imagesetuuid=a9adb8ed-3212-4745-a472-51257845b9e2&amp;uri=https://images.diginfra.net/iiif/NL-HaNA_1.01.02/3800/NL-HaNA_1.01.02_3800_0280.jpg", "prev_meeting_viewer_url")</f>
        <v>prev_meeting_viewer_url</v>
      </c>
      <c r="V93" t="str">
        <f>HYPERLINK("https://images.diginfra.net/iiif/NL-HaNA_1.01.02/3800/NL-HaNA_1.01.02_3800_0280.jpg/1312,2014,1058,1428/full/0/default.jpg", "prev_meeting_iiif_url")</f>
        <v>prev_meeting_iiif_url</v>
      </c>
    </row>
    <row r="94" spans="1:22" x14ac:dyDescent="0.2">
      <c r="A94" t="s">
        <v>392</v>
      </c>
      <c r="B94" t="s">
        <v>74</v>
      </c>
      <c r="C94" t="s">
        <v>393</v>
      </c>
      <c r="D94" t="b">
        <v>1</v>
      </c>
      <c r="E94" t="b">
        <v>1</v>
      </c>
      <c r="F94">
        <v>1</v>
      </c>
      <c r="H94" t="s">
        <v>394</v>
      </c>
      <c r="I94">
        <v>3761</v>
      </c>
      <c r="J94">
        <v>73</v>
      </c>
      <c r="K94">
        <v>145</v>
      </c>
      <c r="L94">
        <v>0</v>
      </c>
      <c r="M94">
        <v>1</v>
      </c>
      <c r="N94">
        <v>0</v>
      </c>
      <c r="O94" t="str">
        <f>HYPERLINK("https://images.diginfra.net/framed3.html?imagesetuuid=e6c3b32f-6683-4b16-9444-37e515e232e1&amp;uri=https://images.diginfra.net/iiif/NL-HaNA_1.01.02/3761/NL-HaNA_1.01.02_3761_0073.jpg", "viewer_url")</f>
        <v>viewer_url</v>
      </c>
      <c r="P94" t="str">
        <f>HYPERLINK("https://images.diginfra.net/iiif/NL-HaNA_1.01.02/3761/NL-HaNA_1.01.02_3761_0073.jpg/2500,2952,1038,493/full/0/default.jpg", "iiif_url")</f>
        <v>iiif_url</v>
      </c>
      <c r="Q94" t="s">
        <v>395</v>
      </c>
      <c r="R94" t="str">
        <f>HYPERLINK("https://images.diginfra.net/framed3.html?imagesetuuid=e6c3b32f-6683-4b16-9444-37e515e232e1&amp;uri=https://images.diginfra.net/iiif/NL-HaNA_1.01.02/3761/NL-HaNA_1.01.02_3761_0075.jpg", "next_meeting_viewer_url")</f>
        <v>next_meeting_viewer_url</v>
      </c>
      <c r="S94" t="str">
        <f>HYPERLINK("https://images.diginfra.net/iiif/NL-HaNA_1.01.02/3761/NL-HaNA_1.01.02_3761_0075.jpg/1408,2854,795,454/full/0/default.jpg", "next_meeting_iiif_url")</f>
        <v>next_meeting_iiif_url</v>
      </c>
      <c r="T94" t="s">
        <v>396</v>
      </c>
      <c r="U94" t="str">
        <f>HYPERLINK("https://images.diginfra.net/framed3.html?imagesetuuid=e6c3b32f-6683-4b16-9444-37e515e232e1&amp;uri=https://images.diginfra.net/iiif/NL-HaNA_1.01.02/3761/NL-HaNA_1.01.02_3761_0071.jpg", "prev_meeting_viewer_url")</f>
        <v>prev_meeting_viewer_url</v>
      </c>
      <c r="V94" t="str">
        <f>HYPERLINK("https://images.diginfra.net/iiif/NL-HaNA_1.01.02/3761/NL-HaNA_1.01.02_3761_0071.jpg/322,655,1100,2735/full/0/default.jpg", "prev_meeting_iiif_url")</f>
        <v>prev_meeting_iiif_url</v>
      </c>
    </row>
    <row r="95" spans="1:22" x14ac:dyDescent="0.2">
      <c r="A95" t="s">
        <v>397</v>
      </c>
      <c r="B95" t="s">
        <v>45</v>
      </c>
      <c r="D95" t="b">
        <v>1</v>
      </c>
      <c r="E95" t="b">
        <v>0</v>
      </c>
      <c r="F95">
        <v>0</v>
      </c>
      <c r="O95" t="str">
        <f>HYPERLINK("None", "viewer_url")</f>
        <v>viewer_url</v>
      </c>
      <c r="P95" t="str">
        <f>HYPERLINK("None", "iiif_url")</f>
        <v>iiif_url</v>
      </c>
      <c r="Q95" t="s">
        <v>398</v>
      </c>
      <c r="R95" t="str">
        <f>HYPERLINK("https://images.diginfra.net/framed3.html?imagesetuuid=a94d24a1-7932-4b81-a3e6-04161d471ec1&amp;uri=https://images.diginfra.net/iiif/NL-HaNA_1.01.02/3774/NL-HaNA_1.01.02_3774_0217.jpg", "next_meeting_viewer_url")</f>
        <v>next_meeting_viewer_url</v>
      </c>
      <c r="S95" t="str">
        <f>HYPERLINK("https://images.diginfra.net/iiif/NL-HaNA_1.01.02/3774/NL-HaNA_1.01.02_3774_0217.jpg/3489,2475,1042,957/full/0/default.jpg", "next_meeting_iiif_url")</f>
        <v>next_meeting_iiif_url</v>
      </c>
      <c r="T95" t="s">
        <v>399</v>
      </c>
      <c r="U95" t="str">
        <f>HYPERLINK("https://images.diginfra.net/framed3.html?imagesetuuid=a94d24a1-7932-4b81-a3e6-04161d471ec1&amp;uri=https://images.diginfra.net/iiif/NL-HaNA_1.01.02/3774/NL-HaNA_1.01.02_3774_0215.jpg", "prev_meeting_viewer_url")</f>
        <v>prev_meeting_viewer_url</v>
      </c>
      <c r="V95" t="str">
        <f>HYPERLINK("https://images.diginfra.net/iiif/NL-HaNA_1.01.02/3774/NL-HaNA_1.01.02_3774_0215.jpg/1255,758,1115,2640/full/0/default.jpg", "prev_meeting_iiif_url")</f>
        <v>prev_meeting_iiif_url</v>
      </c>
    </row>
    <row r="96" spans="1:22" x14ac:dyDescent="0.2">
      <c r="A96" t="s">
        <v>400</v>
      </c>
      <c r="B96" t="s">
        <v>65</v>
      </c>
      <c r="C96" t="s">
        <v>401</v>
      </c>
      <c r="D96" t="b">
        <v>1</v>
      </c>
      <c r="E96" t="b">
        <v>1</v>
      </c>
      <c r="F96">
        <v>1</v>
      </c>
      <c r="H96" t="s">
        <v>402</v>
      </c>
      <c r="I96">
        <v>3765</v>
      </c>
      <c r="J96">
        <v>459</v>
      </c>
      <c r="K96">
        <v>916</v>
      </c>
      <c r="L96">
        <v>1</v>
      </c>
      <c r="M96">
        <v>2</v>
      </c>
      <c r="N96">
        <v>0</v>
      </c>
      <c r="O96" t="str">
        <f>HYPERLINK("https://images.diginfra.net/framed3.html?imagesetuuid=4dfc1a1b-8cdf-4492-b411-5e67950ce484&amp;uri=https://images.diginfra.net/iiif/NL-HaNA_1.01.02/3765/NL-HaNA_1.01.02_3765_0459.jpg", "viewer_url")</f>
        <v>viewer_url</v>
      </c>
      <c r="P96" t="str">
        <f>HYPERLINK("https://images.diginfra.net/iiif/NL-HaNA_1.01.02/3765/NL-HaNA_1.01.02_3765_0459.jpg/1241,2523,1071,843/full/0/default.jpg", "iiif_url")</f>
        <v>iiif_url</v>
      </c>
      <c r="Q96" t="s">
        <v>403</v>
      </c>
      <c r="R96" t="str">
        <f>HYPERLINK("https://images.diginfra.net/framed3.html?imagesetuuid=4dfc1a1b-8cdf-4492-b411-5e67950ce484&amp;uri=https://images.diginfra.net/iiif/NL-HaNA_1.01.02/3765/NL-HaNA_1.01.02_3765_0462.jpg", "next_meeting_viewer_url")</f>
        <v>next_meeting_viewer_url</v>
      </c>
      <c r="S96" t="str">
        <f>HYPERLINK("https://images.diginfra.net/iiif/NL-HaNA_1.01.02/3765/NL-HaNA_1.01.02_3765_0462.jpg/1162,913,1138,2447/full/0/default.jpg", "next_meeting_iiif_url")</f>
        <v>next_meeting_iiif_url</v>
      </c>
      <c r="T96" t="s">
        <v>404</v>
      </c>
      <c r="U96" t="str">
        <f>HYPERLINK("https://images.diginfra.net/framed3.html?imagesetuuid=4dfc1a1b-8cdf-4492-b411-5e67950ce484&amp;uri=https://images.diginfra.net/iiif/NL-HaNA_1.01.02/3765/NL-HaNA_1.01.02_3765_0456.jpg", "prev_meeting_viewer_url")</f>
        <v>prev_meeting_viewer_url</v>
      </c>
      <c r="V96" t="str">
        <f>HYPERLINK("https://images.diginfra.net/iiif/NL-HaNA_1.01.02/3765/NL-HaNA_1.01.02_3765_0456.jpg/2396,2233,1112,1195/full/0/default.jpg", "prev_meeting_iiif_url")</f>
        <v>prev_meeting_iiif_url</v>
      </c>
    </row>
    <row r="97" spans="1:22" x14ac:dyDescent="0.2">
      <c r="A97" t="s">
        <v>405</v>
      </c>
      <c r="B97" t="s">
        <v>27</v>
      </c>
      <c r="D97" t="b">
        <v>1</v>
      </c>
      <c r="E97" t="b">
        <v>1</v>
      </c>
      <c r="F97">
        <v>1</v>
      </c>
      <c r="H97" t="s">
        <v>406</v>
      </c>
      <c r="I97">
        <v>3831</v>
      </c>
      <c r="J97">
        <v>494</v>
      </c>
      <c r="K97">
        <v>987</v>
      </c>
      <c r="L97">
        <v>0</v>
      </c>
      <c r="M97">
        <v>0</v>
      </c>
      <c r="N97">
        <v>3</v>
      </c>
      <c r="O97" t="str">
        <f>HYPERLINK("https://images.diginfra.net/framed3.html?imagesetuuid=fbccadee-0831-4262-9b53-6f48467f765a&amp;uri=https://images.diginfra.net/iiif/NL-HaNA_1.01.02/3831/NL-HaNA_1.01.02_3831_0494.jpg", "viewer_url")</f>
        <v>viewer_url</v>
      </c>
      <c r="P97" t="str">
        <f>HYPERLINK("https://images.diginfra.net/iiif/NL-HaNA_1.01.02/3831/NL-HaNA_1.01.02_3831_0494.jpg/3169,351,1094,3052/full/0/default.jpg", "iiif_url")</f>
        <v>iiif_url</v>
      </c>
      <c r="Q97" t="s">
        <v>407</v>
      </c>
      <c r="R97" t="str">
        <f>HYPERLINK("https://images.diginfra.net/framed3.html?imagesetuuid=fbccadee-0831-4262-9b53-6f48467f765a&amp;uri=https://images.diginfra.net/iiif/NL-HaNA_1.01.02/3831/NL-HaNA_1.01.02_3831_0496.jpg", "next_meeting_viewer_url")</f>
        <v>next_meeting_viewer_url</v>
      </c>
      <c r="S97" t="str">
        <f>HYPERLINK("https://images.diginfra.net/iiif/NL-HaNA_1.01.02/3831/NL-HaNA_1.01.02_3831_0496.jpg/169,1093,1089,2273/full/0/default.jpg", "next_meeting_iiif_url")</f>
        <v>next_meeting_iiif_url</v>
      </c>
      <c r="U97" t="str">
        <f>HYPERLINK("https://images.diginfra.net/framed3.html?imagesetuuid=fbccadee-0831-4262-9b53-6f48467f765a&amp;uri=https://images.diginfra.net/iiif/NL-HaNA_1.01.02/3831/NL-HaNA_1.01.02_3831_0492.jpg", "prev_meeting_viewer_url")</f>
        <v>prev_meeting_viewer_url</v>
      </c>
      <c r="V97" t="str">
        <f>HYPERLINK("https://images.diginfra.net/iiif/NL-HaNA_1.01.02/3831/NL-HaNA_1.01.02_3831_0492.jpg/198,2174,1070,1236/full/0/default.jpg", "prev_meeting_iiif_url")</f>
        <v>prev_meeting_iiif_url</v>
      </c>
    </row>
    <row r="98" spans="1:22" x14ac:dyDescent="0.2">
      <c r="A98" t="s">
        <v>408</v>
      </c>
      <c r="B98" t="s">
        <v>21</v>
      </c>
      <c r="C98" t="s">
        <v>409</v>
      </c>
      <c r="D98" t="b">
        <v>1</v>
      </c>
      <c r="E98" t="b">
        <v>1</v>
      </c>
      <c r="F98">
        <v>1</v>
      </c>
      <c r="H98" t="s">
        <v>410</v>
      </c>
      <c r="I98">
        <v>3770</v>
      </c>
      <c r="J98">
        <v>525</v>
      </c>
      <c r="K98">
        <v>1049</v>
      </c>
      <c r="L98">
        <v>0</v>
      </c>
      <c r="M98">
        <v>0</v>
      </c>
      <c r="N98">
        <v>0</v>
      </c>
      <c r="O98" t="str">
        <f>HYPERLINK("https://images.diginfra.net/framed3.html?imagesetuuid=ee423b29-ca44-4ac9-bc3a-01422a0a6240&amp;uri=https://images.diginfra.net/iiif/NL-HaNA_1.01.02/3770/NL-HaNA_1.01.02_3770_0525.jpg", "viewer_url")</f>
        <v>viewer_url</v>
      </c>
      <c r="P98" t="str">
        <f>HYPERLINK("https://images.diginfra.net/iiif/NL-HaNA_1.01.02/3770/NL-HaNA_1.01.02_3770_0525.jpg/2420,304,1126,3146/full/0/default.jpg", "iiif_url")</f>
        <v>iiif_url</v>
      </c>
      <c r="Q98" t="s">
        <v>411</v>
      </c>
      <c r="R98" t="str">
        <f>HYPERLINK("https://images.diginfra.net/framed3.html?imagesetuuid=ee423b29-ca44-4ac9-bc3a-01422a0a6240&amp;uri=https://images.diginfra.net/iiif/NL-HaNA_1.01.02/3770/NL-HaNA_1.01.02_3770_0526.jpg", "next_meeting_viewer_url")</f>
        <v>next_meeting_viewer_url</v>
      </c>
      <c r="S98" t="str">
        <f>HYPERLINK("https://images.diginfra.net/iiif/NL-HaNA_1.01.02/3770/NL-HaNA_1.01.02_3770_0526.jpg/3485,1828,1047,1602/full/0/default.jpg", "next_meeting_iiif_url")</f>
        <v>next_meeting_iiif_url</v>
      </c>
      <c r="T98" t="s">
        <v>412</v>
      </c>
      <c r="U98" t="str">
        <f>HYPERLINK("https://images.diginfra.net/framed3.html?imagesetuuid=ee423b29-ca44-4ac9-bc3a-01422a0a6240&amp;uri=https://images.diginfra.net/iiif/NL-HaNA_1.01.02/3770/NL-HaNA_1.01.02_3770_0523.jpg", "prev_meeting_viewer_url")</f>
        <v>prev_meeting_viewer_url</v>
      </c>
      <c r="V98" t="str">
        <f>HYPERLINK("https://images.diginfra.net/iiif/NL-HaNA_1.01.02/3770/NL-HaNA_1.01.02_3770_0523.jpg/1226,2801,1028,556/full/0/default.jpg", "prev_meeting_iiif_url")</f>
        <v>prev_meeting_iiif_url</v>
      </c>
    </row>
    <row r="99" spans="1:22" x14ac:dyDescent="0.2">
      <c r="A99" t="s">
        <v>413</v>
      </c>
      <c r="B99" t="s">
        <v>74</v>
      </c>
      <c r="C99" t="s">
        <v>414</v>
      </c>
      <c r="D99" t="b">
        <v>1</v>
      </c>
      <c r="E99" t="b">
        <v>1</v>
      </c>
      <c r="F99">
        <v>1</v>
      </c>
      <c r="H99" t="s">
        <v>415</v>
      </c>
      <c r="I99">
        <v>3800</v>
      </c>
      <c r="J99">
        <v>272</v>
      </c>
      <c r="K99">
        <v>543</v>
      </c>
      <c r="L99">
        <v>0</v>
      </c>
      <c r="M99">
        <v>3</v>
      </c>
      <c r="N99">
        <v>0</v>
      </c>
      <c r="O99" t="str">
        <f>HYPERLINK("https://images.diginfra.net/framed3.html?imagesetuuid=a9adb8ed-3212-4745-a472-51257845b9e2&amp;uri=https://images.diginfra.net/iiif/NL-HaNA_1.01.02/3800/NL-HaNA_1.01.02_3800_0272.jpg", "viewer_url")</f>
        <v>viewer_url</v>
      </c>
      <c r="P99" t="str">
        <f>HYPERLINK("https://images.diginfra.net/iiif/NL-HaNA_1.01.02/3800/NL-HaNA_1.01.02_3800_0272.jpg/2450,2672,1035,664/full/0/default.jpg", "iiif_url")</f>
        <v>iiif_url</v>
      </c>
      <c r="Q99" t="s">
        <v>416</v>
      </c>
      <c r="R99" t="str">
        <f>HYPERLINK("https://images.diginfra.net/framed3.html?imagesetuuid=a9adb8ed-3212-4745-a472-51257845b9e2&amp;uri=https://images.diginfra.net/iiif/NL-HaNA_1.01.02/3800/NL-HaNA_1.01.02_3800_0273.jpg", "next_meeting_viewer_url")</f>
        <v>next_meeting_viewer_url</v>
      </c>
      <c r="S99" t="str">
        <f>HYPERLINK("https://images.diginfra.net/iiif/NL-HaNA_1.01.02/3800/NL-HaNA_1.01.02_3800_0273.jpg/1225,739,1114,2691/full/0/default.jpg", "next_meeting_iiif_url")</f>
        <v>next_meeting_iiif_url</v>
      </c>
      <c r="T99" t="s">
        <v>417</v>
      </c>
      <c r="U99" t="str">
        <f>HYPERLINK("https://images.diginfra.net/framed3.html?imagesetuuid=a9adb8ed-3212-4745-a472-51257845b9e2&amp;uri=https://images.diginfra.net/iiif/NL-HaNA_1.01.02/3800/NL-HaNA_1.01.02_3800_0268.jpg", "prev_meeting_viewer_url")</f>
        <v>prev_meeting_viewer_url</v>
      </c>
      <c r="V99" t="str">
        <f>HYPERLINK("https://images.diginfra.net/iiif/NL-HaNA_1.01.02/3800/NL-HaNA_1.01.02_3800_0268.jpg/3553,3059,713,324/full/0/default.jpg", "prev_meeting_iiif_url")</f>
        <v>prev_meeting_iiif_url</v>
      </c>
    </row>
    <row r="100" spans="1:22" x14ac:dyDescent="0.2">
      <c r="A100" t="s">
        <v>418</v>
      </c>
      <c r="B100" t="s">
        <v>65</v>
      </c>
      <c r="C100" t="s">
        <v>419</v>
      </c>
      <c r="D100" t="b">
        <v>1</v>
      </c>
      <c r="E100" t="b">
        <v>1</v>
      </c>
      <c r="F100">
        <v>1</v>
      </c>
      <c r="H100" t="s">
        <v>420</v>
      </c>
      <c r="I100">
        <v>3817</v>
      </c>
      <c r="J100">
        <v>149</v>
      </c>
      <c r="K100">
        <v>297</v>
      </c>
      <c r="L100">
        <v>0</v>
      </c>
      <c r="M100">
        <v>1</v>
      </c>
      <c r="N100">
        <v>0</v>
      </c>
      <c r="O100" t="str">
        <f>HYPERLINK("https://images.diginfra.net/framed3.html?imagesetuuid=c13c7ed6-75ba-4433-9b44-0db683995fb3&amp;uri=https://images.diginfra.net/iiif/NL-HaNA_1.01.02/3817/NL-HaNA_1.01.02_3817_0149.jpg", "viewer_url")</f>
        <v>viewer_url</v>
      </c>
      <c r="P100" t="str">
        <f>HYPERLINK("https://images.diginfra.net/iiif/NL-HaNA_1.01.02/3817/NL-HaNA_1.01.02_3817_0149.jpg/2452,634,1103,2809/full/0/default.jpg", "iiif_url")</f>
        <v>iiif_url</v>
      </c>
      <c r="Q100" t="s">
        <v>421</v>
      </c>
      <c r="R100" t="str">
        <f>HYPERLINK("https://images.diginfra.net/framed3.html?imagesetuuid=c13c7ed6-75ba-4433-9b44-0db683995fb3&amp;uri=https://images.diginfra.net/iiif/NL-HaNA_1.01.02/3817/NL-HaNA_1.01.02_3817_0150.jpg", "next_meeting_viewer_url")</f>
        <v>next_meeting_viewer_url</v>
      </c>
      <c r="S100" t="str">
        <f>HYPERLINK("https://images.diginfra.net/iiif/NL-HaNA_1.01.02/3817/NL-HaNA_1.01.02_3817_0150.jpg/2400,1512,1083,1909/full/0/default.jpg", "next_meeting_iiif_url")</f>
        <v>next_meeting_iiif_url</v>
      </c>
      <c r="T100" t="s">
        <v>422</v>
      </c>
      <c r="U100" t="str">
        <f>HYPERLINK("https://images.diginfra.net/framed3.html?imagesetuuid=c13c7ed6-75ba-4433-9b44-0db683995fb3&amp;uri=https://images.diginfra.net/iiif/NL-HaNA_1.01.02/3817/NL-HaNA_1.01.02_3817_0147.jpg", "prev_meeting_viewer_url")</f>
        <v>prev_meeting_viewer_url</v>
      </c>
      <c r="V100" t="str">
        <f>HYPERLINK("https://images.diginfra.net/iiif/NL-HaNA_1.01.02/3817/NL-HaNA_1.01.02_3817_0147.jpg/2413,870,1106,2617/full/0/default.jpg", "prev_meeting_iiif_url")</f>
        <v>prev_meeting_iiif_url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2020-03-27T14:38:55Z</dcterms:created>
  <dcterms:modified xsi:type="dcterms:W3CDTF">2020-04-02T07:00:27Z</dcterms:modified>
</cp:coreProperties>
</file>