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<sst xmlns="http://schemas.openxmlformats.org/spreadsheetml/2006/main" uniqueCount="1709">
  <si>
    <t>date</t>
  </si>
  <si>
    <t>weekday</t>
  </si>
  <si>
    <t>match_string</t>
  </si>
  <si>
    <t>is_work_day</t>
  </si>
  <si>
    <t>has_meeting</t>
  </si>
  <si>
    <t>correct</t>
  </si>
  <si>
    <t>with_next</t>
  </si>
  <si>
    <t>reason</t>
  </si>
  <si>
    <t>id</t>
  </si>
  <si>
    <t>inventory_num</t>
  </si>
  <si>
    <t>scan_num</t>
  </si>
  <si>
    <t>page_num</t>
  </si>
  <si>
    <t>column_index</t>
  </si>
  <si>
    <t>textregion_index</t>
  </si>
  <si>
    <t>line_index</t>
  </si>
  <si>
    <t>meeting_status</t>
  </si>
  <si>
    <t>viewer_url</t>
  </si>
  <si>
    <t>iiif_url</t>
  </si>
  <si>
    <t>prev_meeting_status</t>
  </si>
  <si>
    <t>prev_meeting_match_string</t>
  </si>
  <si>
    <t>prev_meeting_viewer_url</t>
  </si>
  <si>
    <t>prev_meeting_iiif_url</t>
  </si>
  <si>
    <t>next_meeting_status</t>
  </si>
  <si>
    <t>next_meeting_match_string</t>
  </si>
  <si>
    <t>next_meeting_viewer_url</t>
  </si>
  <si>
    <t>next_meeting_iiif_url</t>
  </si>
  <si>
    <t>1762-10-02</t>
  </si>
  <si>
    <t>Sabbathi</t>
  </si>
  <si>
    <t>NL-HaNA_3817_0420-page-839-col-0-tr-2-line-0</t>
  </si>
  <si>
    <t>normal</t>
  </si>
  <si>
    <t>Voneris den 1 October</t>
  </si>
  <si>
    <t>Lune den 4 Oftober</t>
  </si>
  <si>
    <t>1737-11-02</t>
  </si>
  <si>
    <t>multi_day</t>
  </si>
  <si>
    <t>Veneris den 1. Novenbe</t>
  </si>
  <si>
    <t>Lune den 4, November</t>
  </si>
  <si>
    <t>1719-04-21</t>
  </si>
  <si>
    <t>Veneris</t>
  </si>
  <si>
    <t>Veneris den 21. Apri</t>
  </si>
  <si>
    <t>NL-HaNA_3774_0202-page-403-col-0-tr-1-line-0</t>
  </si>
  <si>
    <t>Sabbathi-den +2. Apri</t>
  </si>
  <si>
    <t>1781-02-27</t>
  </si>
  <si>
    <t>Martis</t>
  </si>
  <si>
    <t>Martis den 27 February</t>
  </si>
  <si>
    <t>NL-HaNA_3836_0251-page-500-col-1-tr-1-line-0</t>
  </si>
  <si>
    <t>Lune den 26 February</t>
  </si>
  <si>
    <t>Mercurii den 28 February</t>
  </si>
  <si>
    <t>1749-09-28</t>
  </si>
  <si>
    <t>Dominica</t>
  </si>
  <si>
    <t>NL-HaNA_3804_0380-page-758-col-1-tr-2-line-0</t>
  </si>
  <si>
    <t>Sabbatthi den 27 Septembe</t>
  </si>
  <si>
    <t>Lune den 29 September</t>
  </si>
  <si>
    <t>1716-12-24</t>
  </si>
  <si>
    <t>Jovis</t>
  </si>
  <si>
    <t>Jovis den 24. Decembe</t>
  </si>
  <si>
    <t>NL-HaNA_3771_0566-page-1131-col-1-tr-1-line-0</t>
  </si>
  <si>
    <t>Merrurii den 23. Decembe</t>
  </si>
  <si>
    <t>Luna den 28. December</t>
  </si>
  <si>
    <t>1711-12-24</t>
  </si>
  <si>
    <t>NL-HaNA_3766_0782-page-1562-col-1-tr-2-line-0</t>
  </si>
  <si>
    <t>Mercurti den 23. Decembe</t>
  </si>
  <si>
    <t>Lana den 28. December</t>
  </si>
  <si>
    <t>1739-12-02</t>
  </si>
  <si>
    <t>Mercurii</t>
  </si>
  <si>
    <t>Mercurii den 2 December</t>
  </si>
  <si>
    <t>NL-HaNA_3794_0381-page-761-col-1-tr-2-line-0</t>
  </si>
  <si>
    <t>Martis den 1 December</t>
  </si>
  <si>
    <t>Jovis den 3 December</t>
  </si>
  <si>
    <t>1732-03-26</t>
  </si>
  <si>
    <t>Martis den 25. Maar</t>
  </si>
  <si>
    <t>Jovis den 27. Maar</t>
  </si>
  <si>
    <t>1779-04-03</t>
  </si>
  <si>
    <t>NL-HaNA_3834_0231-page-461-col-0-tr-0-line-43</t>
  </si>
  <si>
    <t>Veneris den 2 April</t>
  </si>
  <si>
    <t>Martis den 6 April</t>
  </si>
  <si>
    <t>1763-10-24</t>
  </si>
  <si>
    <t>Lunae</t>
  </si>
  <si>
    <t>Lune den 24 October</t>
  </si>
  <si>
    <t>NL-HaNA_3818_0416-page-831-col-0-tr-1-line-0</t>
  </si>
  <si>
    <t>Veneris den 21 Oftober</t>
  </si>
  <si>
    <t>Martis den 25 Odtober</t>
  </si>
  <si>
    <t>1776-09-12</t>
  </si>
  <si>
    <t>Sovis den 12 September</t>
  </si>
  <si>
    <t>NL-HaNA_3831_0372-page-743-col-0-tr-0-line-0</t>
  </si>
  <si>
    <t>Mercurii den 11 September</t>
  </si>
  <si>
    <t>Veneris den 13 Scpttmber</t>
  </si>
  <si>
    <t>1720-08-07</t>
  </si>
  <si>
    <t>Mercurii den 7. Augnft</t>
  </si>
  <si>
    <t>NL-HaNA_3775_0327-page-652-col-0-tr-3-line-0</t>
  </si>
  <si>
    <t>Martis den 6. Auguft</t>
  </si>
  <si>
    <t>Jovis den 8. Aucuft</t>
  </si>
  <si>
    <t>1726-02-09</t>
  </si>
  <si>
    <t>Sabbathi den 9. Februari</t>
  </si>
  <si>
    <t>NL-HaNA_3781_0084-page-166-col-1-tr-1-line-0</t>
  </si>
  <si>
    <t>Veneris den 8. Februari</t>
  </si>
  <si>
    <t>Lane den 11. Februari</t>
  </si>
  <si>
    <t>1772-12-01</t>
  </si>
  <si>
    <t>NL-HaNA_3827_0468-page-934-col-1-tr-1-line-0</t>
  </si>
  <si>
    <t>Lune den 30 November</t>
  </si>
  <si>
    <t>1785-06-24</t>
  </si>
  <si>
    <t>Veneris den 24 Fuoy</t>
  </si>
  <si>
    <t>NL-HaNA_3844_0434-page-866-col-1-tr-0-line-48</t>
  </si>
  <si>
    <t>Line den 27 Jany</t>
  </si>
  <si>
    <t>1723-01-09</t>
  </si>
  <si>
    <t>Saûbathi den 9. Januari</t>
  </si>
  <si>
    <t>NL-HaNA_3778_0054-page-107-col-1-tr-0-line-0</t>
  </si>
  <si>
    <t>Veneris den 8. Januari</t>
  </si>
  <si>
    <t>Lune den 11. Januari</t>
  </si>
  <si>
    <t>1709-01-26</t>
  </si>
  <si>
    <t>Luna den 28. Januarii</t>
  </si>
  <si>
    <t>1791-11-23</t>
  </si>
  <si>
    <t>Mercurii den 23 November</t>
  </si>
  <si>
    <t>NL-HaNA_3855_0204-page-407-col-1-tr-1-line-0</t>
  </si>
  <si>
    <t>Martis den 22 November</t>
  </si>
  <si>
    <t>Jovis den 24 November</t>
  </si>
  <si>
    <t>1718-10-31</t>
  </si>
  <si>
    <t>Luu den 31. October</t>
  </si>
  <si>
    <t>NL-HaNA_3773_0498-page-994-col-0-tr-2-line-0</t>
  </si>
  <si>
    <t>Sabbathi den 29. Octobe</t>
  </si>
  <si>
    <t>Martis den 1. Novembe</t>
  </si>
  <si>
    <t>1712-05-11</t>
  </si>
  <si>
    <t>Mercurii den i1, Me</t>
  </si>
  <si>
    <t>NL-HaNA_3767_0295-page-589-col-1-tr-2-line-0</t>
  </si>
  <si>
    <t>Martis den 10. Me</t>
  </si>
  <si>
    <t>Jovis den 12. Me</t>
  </si>
  <si>
    <t>1723-05-01</t>
  </si>
  <si>
    <t>Sabbathi den 1. Me</t>
  </si>
  <si>
    <t>NL-HaNA_3778_0187-page-373-col-1-tr-0-line-0</t>
  </si>
  <si>
    <t>Veneris den 30. Apri</t>
  </si>
  <si>
    <t>Lune den 3. Mey</t>
  </si>
  <si>
    <t>1757-10-04</t>
  </si>
  <si>
    <t>Martis den 4 October</t>
  </si>
  <si>
    <t>NL-HaNA_3812_0431-page-861-col-1-tr-1-line-0</t>
  </si>
  <si>
    <t>Lune den 3 Oftober</t>
  </si>
  <si>
    <t>Mercurii den 5 October</t>
  </si>
  <si>
    <t>1747-10-20</t>
  </si>
  <si>
    <t>Veneris den 20 Oftober</t>
  </si>
  <si>
    <t>NL-HaNA_3802_0422-page-842-col-0-tr-2-line-0</t>
  </si>
  <si>
    <t>Jovis den 19 October</t>
  </si>
  <si>
    <t>Sabbathi den 21 Otober</t>
  </si>
  <si>
    <t>1789-06-25</t>
  </si>
  <si>
    <t>Jovis den 25 Jany</t>
  </si>
  <si>
    <t>NL-HaNA_3852_0318-page-635-col-0-tr-1-line-0</t>
  </si>
  <si>
    <t>Mercurii den 24 Juny</t>
  </si>
  <si>
    <t>Veneris den 26 Jany</t>
  </si>
  <si>
    <t>1752-09-24</t>
  </si>
  <si>
    <t>NL-HaNA_3807_0401-page-800-col-1-tr-1-line-0</t>
  </si>
  <si>
    <t>Lune den 25 September</t>
  </si>
  <si>
    <t>1727-10-22</t>
  </si>
  <si>
    <t>Mercurii den 22. Oftobe</t>
  </si>
  <si>
    <t>NL-HaNA_3782_0441-page-880-col-1-tr-1-line-0</t>
  </si>
  <si>
    <t>Jovis den 23. Octobe</t>
  </si>
  <si>
    <t>1765-05-11</t>
  </si>
  <si>
    <t>NL-HaNA_3820_0230-page-458-col-1-tr-1-line-0</t>
  </si>
  <si>
    <t>Venerir den 10 Mey</t>
  </si>
  <si>
    <t>Domina den 12 Mey</t>
  </si>
  <si>
    <t>1722-08-16</t>
  </si>
  <si>
    <t>NL-HaNA_3777_0331-page-660-col-0-tr-1-line-0</t>
  </si>
  <si>
    <t>Sabbathi den 15. August</t>
  </si>
  <si>
    <t>Lune den 17. Angufli</t>
  </si>
  <si>
    <t>1760-11-05</t>
  </si>
  <si>
    <t>Mercurii den s November</t>
  </si>
  <si>
    <t>NL-HaNA_3815_0459-page-917-col-0-tr-1-line-0</t>
  </si>
  <si>
    <t>Martis den 4 November</t>
  </si>
  <si>
    <t>1709-04-23</t>
  </si>
  <si>
    <t>Martis den 23. Apri</t>
  </si>
  <si>
    <t>NL-HaNA_3764_0230-page-458-col-1-tr-1-line-0</t>
  </si>
  <si>
    <t>Luna den 22. April</t>
  </si>
  <si>
    <t>Mercurii den 24. Apri</t>
  </si>
  <si>
    <t>1732-11-09</t>
  </si>
  <si>
    <t>NL-HaNA_3787_0362-page-723-col-0-tr-1-line-0</t>
  </si>
  <si>
    <t>Sabbath den 8. November</t>
  </si>
  <si>
    <t>Lune den 10. November</t>
  </si>
  <si>
    <t>1767-04-10</t>
  </si>
  <si>
    <t>Veneris den 10 April</t>
  </si>
  <si>
    <t>NL-HaNA_3822_0179-page-356-col-1-tr-1-line-0</t>
  </si>
  <si>
    <t>Jovis den 9 April</t>
  </si>
  <si>
    <t>Lane den 13 April</t>
  </si>
  <si>
    <t>1790-07-13</t>
  </si>
  <si>
    <t>Martis den 13 July</t>
  </si>
  <si>
    <t>NL-HaNA_3853_0327-page-652-col-3-tr-2-line-0</t>
  </si>
  <si>
    <t>Lane den 12 July</t>
  </si>
  <si>
    <t>oercurii den 14 7aul</t>
  </si>
  <si>
    <t>1738-12-25</t>
  </si>
  <si>
    <t>NL-HaNA_3793_0410-page-819-col-0-tr-1-line-0</t>
  </si>
  <si>
    <t>Mercuri den 24 December</t>
  </si>
  <si>
    <t>Sabbatbi den 27 ‘Decembe</t>
  </si>
  <si>
    <t>1750-02-23</t>
  </si>
  <si>
    <t>Lane den 23 February</t>
  </si>
  <si>
    <t>NL-HaNA_3805_0100-page-198-col-0-tr-1-line-0</t>
  </si>
  <si>
    <t>Sabbatthi den 21 February</t>
  </si>
  <si>
    <t>Martig’den 24 February.</t>
  </si>
  <si>
    <t>1717-09-20</t>
  </si>
  <si>
    <t>Luna den 20. September</t>
  </si>
  <si>
    <t>NL-HaNA_3772_0432-page-863-col-0-tr-1-line-0</t>
  </si>
  <si>
    <t>Sabbat hi den 18. Septemb</t>
  </si>
  <si>
    <t>Martis den 21. Septembe</t>
  </si>
  <si>
    <t>1767-04-13</t>
  </si>
  <si>
    <t>NL-HaNA_3822_0180-page-358-col-0-tr-1-line-1</t>
  </si>
  <si>
    <t>1728-05-03</t>
  </si>
  <si>
    <t>Lane den 3. Mey</t>
  </si>
  <si>
    <t>NL-HaNA_3783_0214-page-426-col-1-tr-1-line-0</t>
  </si>
  <si>
    <t>Martis den 4, Me</t>
  </si>
  <si>
    <t>1705-11-07</t>
  </si>
  <si>
    <t>Sabbath den 7. November</t>
  </si>
  <si>
    <t>NL-HaNA_3760_0649-page-1296-col-0-tr-1-line-15</t>
  </si>
  <si>
    <t>Veneris den '6. Novemb</t>
  </si>
  <si>
    <t>Luna den 9. November</t>
  </si>
  <si>
    <t>1776-02-26</t>
  </si>
  <si>
    <t>Lane den 26 February</t>
  </si>
  <si>
    <t>NL-HaNA_3831_0157-page-312-col-0-tr-0-line-0</t>
  </si>
  <si>
    <t>Veneris den 23 February</t>
  </si>
  <si>
    <t>Martis den 27 bebruary</t>
  </si>
  <si>
    <t>1753-07-14</t>
  </si>
  <si>
    <t>Sabatthi den 14 July</t>
  </si>
  <si>
    <t>NL-HaNA_3808_0285-page-568-col-1-tr-1-line-0</t>
  </si>
  <si>
    <t>Veneris den 13 Jaly</t>
  </si>
  <si>
    <t>Luna den 16 July</t>
  </si>
  <si>
    <t>1726-03-06</t>
  </si>
  <si>
    <t>Mercurii den 6. Maar</t>
  </si>
  <si>
    <t>NL-HaNA_3781_0117-page-232-col-0-tr-0-line-26</t>
  </si>
  <si>
    <t>Martis aen 5. Maar</t>
  </si>
  <si>
    <t>Jovis den 7. Maar</t>
  </si>
  <si>
    <t>1722-06-01</t>
  </si>
  <si>
    <t>Lune den 1. Funii</t>
  </si>
  <si>
    <t>NL-HaNA_3777_0238-page-474-col-1-tr-1-line-0</t>
  </si>
  <si>
    <t>Sabbathi den 30. Me</t>
  </si>
  <si>
    <t>Martis den 2. Jani</t>
  </si>
  <si>
    <t>1734-04-17</t>
  </si>
  <si>
    <t>Sabbathiì den 17. Apr</t>
  </si>
  <si>
    <t>NL-HaNA_3789_0134-page-266-col-1-tr-1-line-0</t>
  </si>
  <si>
    <t>Domeris den 16. April</t>
  </si>
  <si>
    <t>1767-04-30</t>
  </si>
  <si>
    <t>Jovis den 30 April</t>
  </si>
  <si>
    <t>NL-HaNA_3822_0207-page-413-col-1-tr-1-line-0</t>
  </si>
  <si>
    <t>Mercurii den 29 April</t>
  </si>
  <si>
    <t>Veneris den 1 Mey</t>
  </si>
  <si>
    <t>1782-08-26</t>
  </si>
  <si>
    <t>Lune den 26 Auausty</t>
  </si>
  <si>
    <t>NL-HaNA_3839_0084-page-167-col-1-tr-2-line-0</t>
  </si>
  <si>
    <t>Veneris den 23 Augusty</t>
  </si>
  <si>
    <t>Martis den 25 Auigify</t>
  </si>
  <si>
    <t>1746-08-06</t>
  </si>
  <si>
    <t>Sabbathi den 6 Angufty</t>
  </si>
  <si>
    <t>NL-HaNA_3801_0340-page-679-col-1-tr-1-line-0</t>
  </si>
  <si>
    <t>Veneris den 5 Angusty</t>
  </si>
  <si>
    <t>Luna den 8 Augusty</t>
  </si>
  <si>
    <t>1743-11-18</t>
  </si>
  <si>
    <t>Tune den 18 November</t>
  </si>
  <si>
    <t>NL-HaNA_3798_0339-page-676-col-0-tr-1-line-0</t>
  </si>
  <si>
    <t>Sabbathi den 16 November</t>
  </si>
  <si>
    <t>artis den 19 November</t>
  </si>
  <si>
    <t>1773-05-03</t>
  </si>
  <si>
    <t>Lune den 3 Mey</t>
  </si>
  <si>
    <t>NL-HaNA_3828_0224-page-446-col-1-tr-2-line-0</t>
  </si>
  <si>
    <t>Veneris den 30 April</t>
  </si>
  <si>
    <t>Martis den 4 Mey</t>
  </si>
  <si>
    <t>1756-03-04</t>
  </si>
  <si>
    <t>Jovis den 4 Maart</t>
  </si>
  <si>
    <t>NL-HaNA_3811_0115-page-229-col-1-tr-2-line-0</t>
  </si>
  <si>
    <t>Mercuri den 3 Maart</t>
  </si>
  <si>
    <t>Penetissdens Maart:</t>
  </si>
  <si>
    <t>1713-07-29</t>
  </si>
  <si>
    <t>Sabbathi den 29. Tal</t>
  </si>
  <si>
    <t>NL-HaNA_3768_0484-page-967-col-0-tr-2-line-0</t>
  </si>
  <si>
    <t>Lune den 31. Juli</t>
  </si>
  <si>
    <t>1763-10-06</t>
  </si>
  <si>
    <t>Tovis den 6 Oftober</t>
  </si>
  <si>
    <t>NL-HaNA_3818_0398-page-794-col-0-tr-0-line-0</t>
  </si>
  <si>
    <t>Mercuri den 5 Oftober</t>
  </si>
  <si>
    <t>Veneris den 7 October</t>
  </si>
  <si>
    <t>1779-03-29</t>
  </si>
  <si>
    <t>Lune den 29 Maart</t>
  </si>
  <si>
    <t>NL-HaNA_3834_0222-page-442-col-1-tr-0-line-6</t>
  </si>
  <si>
    <t>Veneris den 26 Maart</t>
  </si>
  <si>
    <t>1741-09-06</t>
  </si>
  <si>
    <t>Martis den 5 September</t>
  </si>
  <si>
    <t>Jovis den 7 September</t>
  </si>
  <si>
    <t>1775-04-12</t>
  </si>
  <si>
    <t>Mercurii den 12 April</t>
  </si>
  <si>
    <t>NL-HaNA_3830_0212-page-423-col-0-tr-1-line-0</t>
  </si>
  <si>
    <t>Martis den 11 April</t>
  </si>
  <si>
    <t>Tous den 13 April</t>
  </si>
  <si>
    <t>1768-12-18</t>
  </si>
  <si>
    <t>NL-HaNA_3823_0422-page-842-col-0-tr-0-line-6</t>
  </si>
  <si>
    <t>Veneris den 16 Decemier</t>
  </si>
  <si>
    <t>Lune den 19 December</t>
  </si>
  <si>
    <t>1710-04-04</t>
  </si>
  <si>
    <t>Veneris den 4. Apri</t>
  </si>
  <si>
    <t>NL-HaNA_3765_0222-page-442-col-0-tr-2-line-0</t>
  </si>
  <si>
    <t>Sabbathi den 5. Apri</t>
  </si>
  <si>
    <t>1788-07-11</t>
  </si>
  <si>
    <t>Veneris den 11 July</t>
  </si>
  <si>
    <t>NL-HaNA_3851_0023-page-45-col-1-tr-0-line-0</t>
  </si>
  <si>
    <t>Jovis den 10 Jul</t>
  </si>
  <si>
    <t>Dominica den 13 July</t>
  </si>
  <si>
    <t>1789-05-25</t>
  </si>
  <si>
    <t>Lune den 25 Mey</t>
  </si>
  <si>
    <t>NL-HaNA_3852_0280-page-559-col-1-tr-2-line-0</t>
  </si>
  <si>
    <t>Veneris den 22 Mey</t>
  </si>
  <si>
    <t>Martis den 26 Mej</t>
  </si>
  <si>
    <t>1769-10-26</t>
  </si>
  <si>
    <t>Veneris den 27 Oëtober</t>
  </si>
  <si>
    <t>1779-07-19</t>
  </si>
  <si>
    <t>Lune den 19 July</t>
  </si>
  <si>
    <t>NL-HaNA_3834_0390-page-779-col-0-tr-1-line-0</t>
  </si>
  <si>
    <t>Wemerts den 16 July</t>
  </si>
  <si>
    <t>Martis den 20 July</t>
  </si>
  <si>
    <t>1713-01-01</t>
  </si>
  <si>
    <t>NL-HaNA_3768_0030-page-59-col-0-tr-0-line-0</t>
  </si>
  <si>
    <t>Sabbath den 31. December</t>
  </si>
  <si>
    <t>Lune den 2. Januarij</t>
  </si>
  <si>
    <t>1714-07-11</t>
  </si>
  <si>
    <t>Mercurii den 11. Jul</t>
  </si>
  <si>
    <t>NL-HaNA_3769_0397-page-793-col-0-tr-1-line-0</t>
  </si>
  <si>
    <t>Martis den 10. Jul</t>
  </si>
  <si>
    <t>Jovis den 12. Ful</t>
  </si>
  <si>
    <t>1718-03-23</t>
  </si>
  <si>
    <t>Mercuri den 23. Maart</t>
  </si>
  <si>
    <t>NL-HaNA_3773_0166-page-331-col-1-tr-0-line-0</t>
  </si>
  <si>
    <t>Martis den 22. Maar</t>
  </si>
  <si>
    <t>Jovis den 34. Maar</t>
  </si>
  <si>
    <t>1711-11-12</t>
  </si>
  <si>
    <t>Jovis den 12. Novembe</t>
  </si>
  <si>
    <t>NL-HaNA_3766_0691-page-1380-col-1-tr-2-line-0</t>
  </si>
  <si>
    <t>Mercirii den 11. Novembe</t>
  </si>
  <si>
    <t>Venerts den 13. Novembe</t>
  </si>
  <si>
    <t>1736-09-10</t>
  </si>
  <si>
    <t>Lane den 10, September</t>
  </si>
  <si>
    <t>NL-HaNA_3791_0308-page-615-col-1-tr-1-line-0</t>
  </si>
  <si>
    <t>Sabbathì den 8. Septembe</t>
  </si>
  <si>
    <t>Martis den 11, Septembe</t>
  </si>
  <si>
    <t>1776-01-29</t>
  </si>
  <si>
    <t>Lune den 29 January</t>
  </si>
  <si>
    <t>NL-HaNA_3831_0123-page-245-col-0-tr-1-line-0</t>
  </si>
  <si>
    <t>Veneris den 26 January</t>
  </si>
  <si>
    <t>Martis den'30 January</t>
  </si>
  <si>
    <t>1758-09-20</t>
  </si>
  <si>
    <t>Mercurii den 20 September</t>
  </si>
  <si>
    <t>NL-HaNA_3813_0404-page-806-col-0-tr-1-line-20</t>
  </si>
  <si>
    <t>Martis den 19 September</t>
  </si>
  <si>
    <t>Jovis den 21 September</t>
  </si>
  <si>
    <t>1716-02-26</t>
  </si>
  <si>
    <t>Mercuriì den 26. Februari</t>
  </si>
  <si>
    <t>NL-HaNA_3771_0096-page-191-col-1-tr-3-line-0</t>
  </si>
  <si>
    <t>Martis den 25. Februari</t>
  </si>
  <si>
    <t>Jovis den 27. Februari</t>
  </si>
  <si>
    <t>1738-08-15</t>
  </si>
  <si>
    <t>Veneris den 1e. Auvust</t>
  </si>
  <si>
    <t>NL-HaNA_3793_0276-page-550-col-1-tr-3-line-0</t>
  </si>
  <si>
    <t>Jovis den 14. Augnst</t>
  </si>
  <si>
    <t>Sabbatbi den 16. August</t>
  </si>
  <si>
    <t>1777-10-10</t>
  </si>
  <si>
    <t>Jovis den 9 Oftober</t>
  </si>
  <si>
    <t>1766-08-19</t>
  </si>
  <si>
    <t>Martis dei Aucifty-</t>
  </si>
  <si>
    <t>NL-HaNA_3821_0324-page-647-col-0-tr-0-line-28</t>
  </si>
  <si>
    <t>Doninca den 17 Ateijfy</t>
  </si>
  <si>
    <t>Mercurii den 20 Angufty</t>
  </si>
  <si>
    <t>1779-05-19</t>
  </si>
  <si>
    <t>Mercurii den 19 Mey</t>
  </si>
  <si>
    <t>NL-HaNA_3834_0299-page-597-col-1-tr-2-line-0</t>
  </si>
  <si>
    <t>Jovis den 20 Mey</t>
  </si>
  <si>
    <t>1757-03-02</t>
  </si>
  <si>
    <t>Mercurii den 2 Maart</t>
  </si>
  <si>
    <t>NL-HaNA_3812_0155-page-309-col-1-tr-2-line-0</t>
  </si>
  <si>
    <t>Martis den 1 Maart</t>
  </si>
  <si>
    <t>Jovis den 3 Maart</t>
  </si>
  <si>
    <t>1748-03-25</t>
  </si>
  <si>
    <t>Lun den 25 Maart</t>
  </si>
  <si>
    <t>NL-HaNA_3803_0164-page-327-col-0-tr-2-line-0</t>
  </si>
  <si>
    <t>Sabbathi den 23 Maart</t>
  </si>
  <si>
    <t>Martis den 26 Maart</t>
  </si>
  <si>
    <t>1708-03-29</t>
  </si>
  <si>
    <t>Mercuri den 28. Maert</t>
  </si>
  <si>
    <t>Veneris den 30. Maer</t>
  </si>
  <si>
    <t>1759-12-11</t>
  </si>
  <si>
    <t>Martis den 11 December</t>
  </si>
  <si>
    <t>NL-HaNA_3814_0505-page-1009-col-0-tr-1-line-0</t>
  </si>
  <si>
    <t>Luna den 15 December</t>
  </si>
  <si>
    <t>Mercurii den 12 December</t>
  </si>
  <si>
    <t>1707-03-01</t>
  </si>
  <si>
    <t>Mortis den IT. Mae</t>
  </si>
  <si>
    <t>NL-HaNA_3762_0130-page-259-col-0-tr-0-line-17</t>
  </si>
  <si>
    <t>Luna den 28. Februarii</t>
  </si>
  <si>
    <t>Mercuri den 2. Maert</t>
  </si>
  <si>
    <t>1705-11-17</t>
  </si>
  <si>
    <t>Martis den 17. Novembe</t>
  </si>
  <si>
    <t>NL-HaNA_3760_0667-page-1332-col-1-tr-1-line-1</t>
  </si>
  <si>
    <t>Lana den 16. November</t>
  </si>
  <si>
    <t>Mercurii’den 18. Novembe</t>
  </si>
  <si>
    <t>1727-05-24</t>
  </si>
  <si>
    <t>Sabbathi den 24, Me</t>
  </si>
  <si>
    <t>NL-HaNA_3782_0250-page-498-col-0-tr-2-line-0</t>
  </si>
  <si>
    <t>Vencris den 23, Me</t>
  </si>
  <si>
    <t>Lune den 26, Mey</t>
  </si>
  <si>
    <t>1724-12-13</t>
  </si>
  <si>
    <t>Mercuri: den 6. December</t>
  </si>
  <si>
    <t>NL-HaNA_3779_0420-page-838-col-1-tr-2-line-0</t>
  </si>
  <si>
    <t>Moytis den . December</t>
  </si>
  <si>
    <t>Jovis den 7. December</t>
  </si>
  <si>
    <t>1726-03-31</t>
  </si>
  <si>
    <t>NL-HaNA_3781_0152-page-302-col-0-tr-3-line-0</t>
  </si>
  <si>
    <t>Sabbathi den 30, Maar</t>
  </si>
  <si>
    <t>Lune den 1, April</t>
  </si>
  <si>
    <t>1785-01-08</t>
  </si>
  <si>
    <t>NL-HaNA_3844_0127-page-252-col-1-tr-2-line-0</t>
  </si>
  <si>
    <t>Veneris den 7 January</t>
  </si>
  <si>
    <t>Lune den to Jannar</t>
  </si>
  <si>
    <t>1767-04-25</t>
  </si>
  <si>
    <t>NL-HaNA_3822_0200-page-399-col-0-tr-0-line-18</t>
  </si>
  <si>
    <t>Veneris den 24 April</t>
  </si>
  <si>
    <t>Lane den:27 April.</t>
  </si>
  <si>
    <t>1732-05-25</t>
  </si>
  <si>
    <t>NL-HaNA_3787_0207-page-412-col-1-tr-1-line-0</t>
  </si>
  <si>
    <t>Sabbathi den 24. Me</t>
  </si>
  <si>
    <t>Luna den 26, Mey</t>
  </si>
  <si>
    <t>1760-06-19</t>
  </si>
  <si>
    <t>Jovis den 19 Funy</t>
  </si>
  <si>
    <t>NL-HaNA_3815_0299-page-597-col-0-tr-2-line-14</t>
  </si>
  <si>
    <t>Keneris den 20 Juny</t>
  </si>
  <si>
    <t>1769-04-17</t>
  </si>
  <si>
    <t>Lune den 17 April</t>
  </si>
  <si>
    <t>NL-HaNA_3824_0217-page-432-col-1-tr-3-line-0</t>
  </si>
  <si>
    <t>1783-12-29</t>
  </si>
  <si>
    <t>Luua den 29 December</t>
  </si>
  <si>
    <t>NL-HaNA_3841_0273-page-544-col-0-tr-1-line-0</t>
  </si>
  <si>
    <t>Mouris don 10 December</t>
  </si>
  <si>
    <t>1759-03-26</t>
  </si>
  <si>
    <t>Lune den 26 Maart</t>
  </si>
  <si>
    <t>NL-HaNA_3814_0195-page-389-col-0-tr-1-line-2</t>
  </si>
  <si>
    <t>Veneris den 23 Maart</t>
  </si>
  <si>
    <t>Martis den 27 Maart</t>
  </si>
  <si>
    <t>1789-12-01</t>
  </si>
  <si>
    <t>NL-HaNA_3852_0525-page-1048-col-1-tr-2-line-0</t>
  </si>
  <si>
    <t>Lune den 20 November</t>
  </si>
  <si>
    <t>Mercarii den 21° Dzcemb</t>
  </si>
  <si>
    <t>1722-12-23</t>
  </si>
  <si>
    <t>Martis den 22. Decembe</t>
  </si>
  <si>
    <t>1746-10-22</t>
  </si>
  <si>
    <t>Sabbathi den 22 October</t>
  </si>
  <si>
    <t>NL-HaNA_3801_0429-page-856-col-0-tr-0-line-0</t>
  </si>
  <si>
    <t>Veneris den 21 October</t>
  </si>
  <si>
    <t>1764-10-05</t>
  </si>
  <si>
    <t>NL-HaNA_3819_0409-page-816-col-1-tr-0-line-0</t>
  </si>
  <si>
    <t>Tovis den 4 Odtober</t>
  </si>
  <si>
    <t>Luna den 8 Oftober</t>
  </si>
  <si>
    <t>1791-08-08</t>
  </si>
  <si>
    <t>Lune den 8 Augufty</t>
  </si>
  <si>
    <t>NL-HaNA_3855_0046-page-90-col-0-tr-1-line-0</t>
  </si>
  <si>
    <t>Veneris den 5 Augufty</t>
  </si>
  <si>
    <t>Martis den 9 Augufty</t>
  </si>
  <si>
    <t>1737-08-17</t>
  </si>
  <si>
    <t>Sabbathi den 17. August</t>
  </si>
  <si>
    <t>NL-HaNA_3792_0230-page-459-col-0-tr-2-line-0</t>
  </si>
  <si>
    <t>Veneris den 16. Augnst</t>
  </si>
  <si>
    <t>Lune den 19. Augusty</t>
  </si>
  <si>
    <t>1726-06-18</t>
  </si>
  <si>
    <t>Martis den 18. Junt</t>
  </si>
  <si>
    <t>NL-HaNA_3781_0256-page-510-col-0-tr-0-line-0</t>
  </si>
  <si>
    <t>Lune den 17. Junit</t>
  </si>
  <si>
    <t>Mercurii den 19. Juni</t>
  </si>
  <si>
    <t>1726-10-25</t>
  </si>
  <si>
    <t>Veneris den 25. Octobe</t>
  </si>
  <si>
    <t>NL-HaNA_3781_0422-page-843-col-0-tr-2-line-0</t>
  </si>
  <si>
    <t>Jovis den 24. Octobe</t>
  </si>
  <si>
    <t>Sabbathi den 26. Octobe</t>
  </si>
  <si>
    <t>1753-01-11</t>
  </si>
  <si>
    <t>Jovis den 11 January</t>
  </si>
  <si>
    <t>NL-HaNA_3808_0073-page-144-col-1-tr-0-line-54</t>
  </si>
  <si>
    <t>Mercurit den 10 January</t>
  </si>
  <si>
    <t>Von ore den 12 January</t>
  </si>
  <si>
    <t>1785-09-15</t>
  </si>
  <si>
    <t>Jovis den 15 Settember</t>
  </si>
  <si>
    <t>NL-HaNA_3845_0146-page-291-col-1-tr-2-line-0</t>
  </si>
  <si>
    <t>Merrurii den va September</t>
  </si>
  <si>
    <t>Veneris den 16 September</t>
  </si>
  <si>
    <t>1755-12-08</t>
  </si>
  <si>
    <t>Lune den 8 Derember</t>
  </si>
  <si>
    <t>NL-HaNA_3810_0415-page-829-col-1-tr-3-line-0</t>
  </si>
  <si>
    <t>Veneris den 5 December</t>
  </si>
  <si>
    <t>Martis den 9 December</t>
  </si>
  <si>
    <t>1796-03-31</t>
  </si>
  <si>
    <t>1758-02-10</t>
  </si>
  <si>
    <t>Veneris den 10 February</t>
  </si>
  <si>
    <t>NL-HaNA_3813_0133-page-265-col-1-tr-2-line-0</t>
  </si>
  <si>
    <t>Jovis den o February</t>
  </si>
  <si>
    <t xml:space="preserve">Lune den 13 February </t>
  </si>
  <si>
    <t>1719-08-07</t>
  </si>
  <si>
    <t>Lune den 7. Angu[ti</t>
  </si>
  <si>
    <t>NL-HaNA_3774_0357-page-712-col-0-tr-1-line-0</t>
  </si>
  <si>
    <t>Sabbathi den 5. Augtft</t>
  </si>
  <si>
    <t>Martis den 3. Angnft</t>
  </si>
  <si>
    <t>1746-06-18</t>
  </si>
  <si>
    <t>Lune den 20 Jany</t>
  </si>
  <si>
    <t>1729-04-08</t>
  </si>
  <si>
    <t>Veneris den 8, Apri</t>
  </si>
  <si>
    <t>NL-HaNA_3784_0158-page-315-col-0-tr-0-line-0</t>
  </si>
  <si>
    <t>Fovit den 7, Apri</t>
  </si>
  <si>
    <t>Sabbathi den 9. Apri</t>
  </si>
  <si>
    <t>1785-02-09</t>
  </si>
  <si>
    <t>Mercurii den 9 February</t>
  </si>
  <si>
    <t>NL-HaNA_3844_0188-page-374-col-0-tr-2-line-0</t>
  </si>
  <si>
    <t>Martis den © February</t>
  </si>
  <si>
    <t>Jovis den 10 February</t>
  </si>
  <si>
    <t>1761-09-27</t>
  </si>
  <si>
    <t>NL-HaNA_3816_0404-page-806-col-1-tr-1-line-0</t>
  </si>
  <si>
    <t>Veneris den 25 September</t>
  </si>
  <si>
    <t>Lune den 28 September</t>
  </si>
  <si>
    <t>1767-06-08</t>
  </si>
  <si>
    <t>NL-HaNA_3822_0260-page-518-col-1-tr-1-line-0</t>
  </si>
  <si>
    <t>Veneris den s Juny</t>
  </si>
  <si>
    <t>Martis den 9 Juny</t>
  </si>
  <si>
    <t>1743-02-24</t>
  </si>
  <si>
    <t>NL-HaNA_3798_0097-page-192-col-0-tr-1-line-1</t>
  </si>
  <si>
    <t>Sabbathi den 23 February</t>
  </si>
  <si>
    <t>Dominira den 24 February</t>
  </si>
  <si>
    <t>1772-05-22</t>
  </si>
  <si>
    <t>NL-HaNA_3827_0280-page-558-col-1-tr-1-line-0</t>
  </si>
  <si>
    <t>Jovis den 21 Mey</t>
  </si>
  <si>
    <t>1762-03-28</t>
  </si>
  <si>
    <t>NL-HaNA_3817_0196-page-390-col-0-tr-1-line-1</t>
  </si>
  <si>
    <t>Luna den 29 Maart</t>
  </si>
  <si>
    <t>1729-03-23</t>
  </si>
  <si>
    <t>NL-HaNA_3784_0135-page-268-col-0-tr-0-line-0</t>
  </si>
  <si>
    <t>Jovis den 24. Maar</t>
  </si>
  <si>
    <t>1746-06-04</t>
  </si>
  <si>
    <t>Sabbathi den 4 Juny</t>
  </si>
  <si>
    <t>NL-HaNA_3801_0253-page-505-col-0-tr-3-line-0</t>
  </si>
  <si>
    <t>Veneris den 3 Juny</t>
  </si>
  <si>
    <t>Lana den 6 Juny</t>
  </si>
  <si>
    <t>1777-09-08</t>
  </si>
  <si>
    <t>Lane den $ September</t>
  </si>
  <si>
    <t>NL-HaNA_3832_0406-page-811-col-0-tr-1-line-25</t>
  </si>
  <si>
    <t>denerss den 5 September</t>
  </si>
  <si>
    <t>Martis den-9 September</t>
  </si>
  <si>
    <t>1789-12-13</t>
  </si>
  <si>
    <t>NL-HaNA_3852_0546-page-1091-col-1-tr-2-line-0</t>
  </si>
  <si>
    <t>Veneris den 11 December</t>
  </si>
  <si>
    <t>Lane den v4 December</t>
  </si>
  <si>
    <t>1792-03-24</t>
  </si>
  <si>
    <t>NL-HaNA_3856_0217-page-433-col-0-tr-0-line-0</t>
  </si>
  <si>
    <t>1751-04-24</t>
  </si>
  <si>
    <t>Sabbattbi den 24 Apri</t>
  </si>
  <si>
    <t>NL-HaNA_3806_0176-page-351-col-0-tr-1-line-0</t>
  </si>
  <si>
    <t>Veneris den 23 April</t>
  </si>
  <si>
    <t>Dominica den:25 April</t>
  </si>
  <si>
    <t>1711-02-08</t>
  </si>
  <si>
    <t>NL-HaNA_3766_0113-page-224-col-1-tr-3-line-0</t>
  </si>
  <si>
    <t>Sabbathi den 7. Februari</t>
  </si>
  <si>
    <t>Lune den 9. Februari</t>
  </si>
  <si>
    <t>1756-08-14</t>
  </si>
  <si>
    <t>NL-HaNA_3811_0284-page-566-col-1-tr-0-line-36</t>
  </si>
  <si>
    <t>Veneris: den13 Angi:</t>
  </si>
  <si>
    <t>Lune den 16 Augusty.</t>
  </si>
  <si>
    <t>1754-04-20</t>
  </si>
  <si>
    <t>NL-HaNA_3809_0178-page-355-col-1-tr-2-line-0</t>
  </si>
  <si>
    <t>Veneris den 19 April</t>
  </si>
  <si>
    <t>Lune den 22 April</t>
  </si>
  <si>
    <t>1728-11-21</t>
  </si>
  <si>
    <t>NL-HaNA_3783_0490-page-978-col-0-tr-2-line-0</t>
  </si>
  <si>
    <t>Lane den 22. November</t>
  </si>
  <si>
    <t>1763-04-07</t>
  </si>
  <si>
    <t>Tovis den 3 April</t>
  </si>
  <si>
    <t>NL-HaNA_3818_0182-page-362-col-1-tr-0-line-18</t>
  </si>
  <si>
    <t>Mercurti den 6 April</t>
  </si>
  <si>
    <t>Veneris den 8 April</t>
  </si>
  <si>
    <t>1754-07-18</t>
  </si>
  <si>
    <t>Veneris den 19 Juh</t>
  </si>
  <si>
    <t>1760-05-19</t>
  </si>
  <si>
    <t>Lune den 19 Mey</t>
  </si>
  <si>
    <t>NL-HaNA_3815_0243-page-484-col-1-tr-0-line-5</t>
  </si>
  <si>
    <t>Jovis den 15 Mey</t>
  </si>
  <si>
    <t>Martis den 20 Mey</t>
  </si>
  <si>
    <t>1787-05-08</t>
  </si>
  <si>
    <t>Martis den 8 Mey</t>
  </si>
  <si>
    <t>NL-HaNA_3848_0326-page-650-col-1-tr-1-line-0</t>
  </si>
  <si>
    <t>Lune den 7 Mey</t>
  </si>
  <si>
    <t>Mercurii deng Mey</t>
  </si>
  <si>
    <t>1767-09-01</t>
  </si>
  <si>
    <t>Martis den 1 September</t>
  </si>
  <si>
    <t>NL-HaNA_3822_0347-page-693-col-1-tr-1-line-0</t>
  </si>
  <si>
    <t>Dominica. den 30 Auguft</t>
  </si>
  <si>
    <t>Merturii den 2 September</t>
  </si>
  <si>
    <t>1727-10-07</t>
  </si>
  <si>
    <t>Martis den 7. Octobe</t>
  </si>
  <si>
    <t>NL-HaNA_3782_0425-page-849-col-0-tr-1-line-0</t>
  </si>
  <si>
    <t>Luna den 6. October</t>
  </si>
  <si>
    <t>Mercurii den 8. Oetobe</t>
  </si>
  <si>
    <t>1730-11-24</t>
  </si>
  <si>
    <t>Veneris den 24. Novembe</t>
  </si>
  <si>
    <t>NL-HaNA_3785_0407-page-813-col-1-tr-1-line-0</t>
  </si>
  <si>
    <t>Jovis den 23, Novembe</t>
  </si>
  <si>
    <t>Sabbathi den 25. Novembe</t>
  </si>
  <si>
    <t>1718-12-30</t>
  </si>
  <si>
    <t>Veneris den 20. Decemke</t>
  </si>
  <si>
    <t>NL-HaNA_3773_0602-page-1203-col-0-tr-1-line-0</t>
  </si>
  <si>
    <t>Jovis den 29. Decembe</t>
  </si>
  <si>
    <t>1711-12-30</t>
  </si>
  <si>
    <t>Mercuri den 30. December</t>
  </si>
  <si>
    <t>NL-HaNA_3766_0796-page-1590-col-2-tr-2-line-0</t>
  </si>
  <si>
    <t>Martis den 219. Decemb</t>
  </si>
  <si>
    <t>Jovis den 31. Decembe</t>
  </si>
  <si>
    <t>1705-06-10</t>
  </si>
  <si>
    <t>Hovis den Tr. Juni</t>
  </si>
  <si>
    <t>1790-01-23</t>
  </si>
  <si>
    <t>NL-HaNA_3853_0114-page-226-col-0-tr-2-line-0</t>
  </si>
  <si>
    <t>Veneris den 22 January</t>
  </si>
  <si>
    <t>Lune den 25 January</t>
  </si>
  <si>
    <t>1762-10-18</t>
  </si>
  <si>
    <t xml:space="preserve">Lune den 18 October </t>
  </si>
  <si>
    <t>NL-HaNA_3817_0433-page-865-col-0-tr-0-line-47</t>
  </si>
  <si>
    <t>Veneris den 15 Oftober</t>
  </si>
  <si>
    <t>1758-05-06</t>
  </si>
  <si>
    <t>NL-HaNA_3813_0229-page-456-col-0-tr-1-line-10</t>
  </si>
  <si>
    <t>Veneris den s Mey</t>
  </si>
  <si>
    <t>Lune den 8 Mey</t>
  </si>
  <si>
    <t>1745-09-21</t>
  </si>
  <si>
    <t>Martis den 21 September</t>
  </si>
  <si>
    <t>NL-HaNA_3800_0395-page-788-col-0-tr-1-line-0</t>
  </si>
  <si>
    <t>Lana den 20 September</t>
  </si>
  <si>
    <t>Mercurii den 22 September</t>
  </si>
  <si>
    <t>1742-09-05</t>
  </si>
  <si>
    <t>Mercurii den 5 September</t>
  </si>
  <si>
    <t>NL-HaNA_3797_0359-page-717-col-0-tr-3-line-0</t>
  </si>
  <si>
    <t>Martis den 4 September</t>
  </si>
  <si>
    <t>Jovis den 6 September</t>
  </si>
  <si>
    <t>1748-09-12</t>
  </si>
  <si>
    <t>Jovis den 12 September</t>
  </si>
  <si>
    <t>NL-HaNA_3803_0358-page-714-col-1-tr-2-line-0</t>
  </si>
  <si>
    <t>Veneris den 13 September</t>
  </si>
  <si>
    <t>1721-02-23</t>
  </si>
  <si>
    <t>NL-HaNA_3776_0110-page-219-col-1-tr-1-line-0</t>
  </si>
  <si>
    <t>Sabbathi den 22. Februari</t>
  </si>
  <si>
    <t>Lune den 24. Februarii</t>
  </si>
  <si>
    <t>1774-12-01</t>
  </si>
  <si>
    <t>Tou:s den 1 December</t>
  </si>
  <si>
    <t>NL-HaNA_3829_0445-page-889-col-2-tr-1-line-0</t>
  </si>
  <si>
    <t>Mercurii den 30 Novembei</t>
  </si>
  <si>
    <t>Veneris den 2 December</t>
  </si>
  <si>
    <t>1749-05-02</t>
  </si>
  <si>
    <t>Veneris den 2 Mey</t>
  </si>
  <si>
    <t>NL-HaNA_3804_0198-page-395-col-1-tr-0-line-10</t>
  </si>
  <si>
    <t>Jovis den 1 Mey</t>
  </si>
  <si>
    <t>Sabbatthi den 3 Me</t>
  </si>
  <si>
    <t>1739-12-20</t>
  </si>
  <si>
    <t>NL-HaNA_3794_0394-page-786-col-1-tr-2-line-0</t>
  </si>
  <si>
    <t>Sabbatbi den 10 December</t>
  </si>
  <si>
    <t>Lune den 21 December</t>
  </si>
  <si>
    <t>1764-02-14</t>
  </si>
  <si>
    <t>Martis den 14 February</t>
  </si>
  <si>
    <t>NL-HaNA_3819_0125-page-249-col-0-tr-2-line-0</t>
  </si>
  <si>
    <t>Lune den 13 February</t>
  </si>
  <si>
    <t>Mercurii den 15 February</t>
  </si>
  <si>
    <t>1732-11-27</t>
  </si>
  <si>
    <t>Jovis den 27. Novembe</t>
  </si>
  <si>
    <t>NL-HaNA_3787_0377-page-752-col-1-tr-1-line-0</t>
  </si>
  <si>
    <t>Mercurii den 26. Novembe</t>
  </si>
  <si>
    <t>Veneris den 23, Novembe</t>
  </si>
  <si>
    <t>1782-11-28</t>
  </si>
  <si>
    <t>Jovis den 28 November</t>
  </si>
  <si>
    <t>NL-HaNA_3839_0244-page-486-col-0-tr-1-line-26</t>
  </si>
  <si>
    <t>Mercuvii den 2 November</t>
  </si>
  <si>
    <t>Vonoris den 29 November</t>
  </si>
  <si>
    <t>1708-02-25</t>
  </si>
  <si>
    <t xml:space="preserve">Sabbathi den 2. Februari </t>
  </si>
  <si>
    <t>NL-HaNA_3763_0105-page-209-col-0-tr-1-line-0</t>
  </si>
  <si>
    <t>Veneris den 24. Februari</t>
  </si>
  <si>
    <t>Luna den 27. Februarii</t>
  </si>
  <si>
    <t>1777-01-06</t>
  </si>
  <si>
    <t>Lune den 6 January</t>
  </si>
  <si>
    <t>NL-HaNA_3832_0094-page-187-col-1-tr-1-line-0</t>
  </si>
  <si>
    <t>Wemeris den "3 Januar</t>
  </si>
  <si>
    <t>Martis den 7 January</t>
  </si>
  <si>
    <t>1793-04-25</t>
  </si>
  <si>
    <t>Jovis den 25 April</t>
  </si>
  <si>
    <t>NL-HaNA_3858_0266-page-531-col-0-tr-2-line-0</t>
  </si>
  <si>
    <t>Mercurii den 24 April</t>
  </si>
  <si>
    <t>Heneris den 26 Aprit</t>
  </si>
  <si>
    <t>1747-04-09</t>
  </si>
  <si>
    <t>NL-HaNA_3802_0177-page-353-col-0-tr-1-line-0</t>
  </si>
  <si>
    <t>Luna den 10 April</t>
  </si>
  <si>
    <t>1763-04-08</t>
  </si>
  <si>
    <t>NL-HaNA_3818_0187-page-372-col-0-tr-1-line-0</t>
  </si>
  <si>
    <t>Langden 1x Aprili</t>
  </si>
  <si>
    <t>1741-02-19</t>
  </si>
  <si>
    <t>NL-HaNA_3796_0114-page-226-col-0-tr-1-line-0</t>
  </si>
  <si>
    <t>Sabbathì den 18 February</t>
  </si>
  <si>
    <t>Lune den 20 February</t>
  </si>
  <si>
    <t>1765-05-01</t>
  </si>
  <si>
    <t>Mercuri den 1 Mey</t>
  </si>
  <si>
    <t>NL-HaNA_3820_0217-page-433-col-0-tr-1-line-0</t>
  </si>
  <si>
    <t>Jovis den 2 Mey</t>
  </si>
  <si>
    <t>1705-10-21</t>
  </si>
  <si>
    <t xml:space="preserve">Mercuri den 21. Ofobek </t>
  </si>
  <si>
    <t>NL-HaNA_3760_0613-page-1224-col-0-tr-1-line-1</t>
  </si>
  <si>
    <t>Martis den 20. Octobe</t>
  </si>
  <si>
    <t>Aovis den 22. Odobet</t>
  </si>
  <si>
    <t>1726-11-30</t>
  </si>
  <si>
    <t>NL-HaNA_3781_0475-page-949-col-1-tr-1-line-1</t>
  </si>
  <si>
    <t>Veneris den 29. Novembe</t>
  </si>
  <si>
    <t>Lana den 2. December</t>
  </si>
  <si>
    <t>1758-06-04</t>
  </si>
  <si>
    <t>NL-HaNA_3813_0271-page-541-col-1-tr-1-line-0</t>
  </si>
  <si>
    <t>Veneris den 2 Jany</t>
  </si>
  <si>
    <t>Lune den 5 Juny</t>
  </si>
  <si>
    <t>1710-05-14</t>
  </si>
  <si>
    <t>Martis den 13. Me</t>
  </si>
  <si>
    <t>Fovis den 15. Me</t>
  </si>
  <si>
    <t>1767-09-20</t>
  </si>
  <si>
    <t>NL-HaNA_3822_0364-page-727-col-0-tr-0-line-0</t>
  </si>
  <si>
    <t>Veneris den 18 September</t>
  </si>
  <si>
    <t>Lune den 21 September</t>
  </si>
  <si>
    <t>1759-09-01</t>
  </si>
  <si>
    <t>NL-HaNA_3814_0385-page-768-col-1-tr-1-line-30</t>
  </si>
  <si>
    <t>Veneris den 31 Aucufty</t>
  </si>
  <si>
    <t>Lane ‘den 3 September</t>
  </si>
  <si>
    <t>1746-06-29</t>
  </si>
  <si>
    <t>Mercurii den 29 JFuny</t>
  </si>
  <si>
    <t>NL-HaNA_3801_0286-page-570-col-0-tr-1-line-0</t>
  </si>
  <si>
    <t>Martis den 28 Juny</t>
  </si>
  <si>
    <t>Jovis den 30 Juny</t>
  </si>
  <si>
    <t>1736-05-31</t>
  </si>
  <si>
    <t>Jovis den 31. Me</t>
  </si>
  <si>
    <t>NL-HaNA_3791_0202-page-402-col-1-tr-1-line-0</t>
  </si>
  <si>
    <t>Mercurii den 30. Me</t>
  </si>
  <si>
    <t>Veneris den 1, Jany</t>
  </si>
  <si>
    <t>1732-02-09</t>
  </si>
  <si>
    <t>Lune den 11. ebrnarii</t>
  </si>
  <si>
    <t>1716-01-11</t>
  </si>
  <si>
    <t>Sabbathi den 11. Fanuari</t>
  </si>
  <si>
    <t>NL-HaNA_3771_0038-page-75-col-0-tr-1-line-0</t>
  </si>
  <si>
    <t>Veneris den 10. Januari</t>
  </si>
  <si>
    <t>Lane den 13. Janaartu</t>
  </si>
  <si>
    <t>1775-04-05</t>
  </si>
  <si>
    <t>Mercurii den s April</t>
  </si>
  <si>
    <t>NL-HaNA_3830_0201-page-400-col-0-tr-0-line-20</t>
  </si>
  <si>
    <t>Martis den 4 April</t>
  </si>
  <si>
    <t>Jous den 6 April</t>
  </si>
  <si>
    <t>1786-12-31</t>
  </si>
  <si>
    <t>Veneris den 29 December</t>
  </si>
  <si>
    <t>1791-12-04</t>
  </si>
  <si>
    <t>NL-HaNA_3855_0222-page-443-col-0-tr-1-line-0</t>
  </si>
  <si>
    <t>Vencris den 2 December</t>
  </si>
  <si>
    <t>Lane den 5 December</t>
  </si>
  <si>
    <t>1746-07-29</t>
  </si>
  <si>
    <t>Venerls den 29 July</t>
  </si>
  <si>
    <t>NL-HaNA_3801_0327-page-652-col-1-tr-2-line-0</t>
  </si>
  <si>
    <t>Jovis den 28 July</t>
  </si>
  <si>
    <t>Sabbathi den 30 July</t>
  </si>
  <si>
    <t>1778-06-24</t>
  </si>
  <si>
    <t>Mercurii den 24 Jans</t>
  </si>
  <si>
    <t>NL-HaNA_3833_0338-page-675-col-1-tr-1-line-0</t>
  </si>
  <si>
    <t>Martis den 33 Juny</t>
  </si>
  <si>
    <t>1761-07-10</t>
  </si>
  <si>
    <t>Dominia den. 12 Fuly</t>
  </si>
  <si>
    <t>1717-02-18</t>
  </si>
  <si>
    <t>Jovis den 18. Februari</t>
  </si>
  <si>
    <t>NL-HaNA_3772_0102-page-202-col-0-tr-3-line-0</t>
  </si>
  <si>
    <t>Mercurii den 17. Februari</t>
  </si>
  <si>
    <t>Veneris den 19. Februari</t>
  </si>
  <si>
    <t>1717-07-11</t>
  </si>
  <si>
    <t>NL-HaNA_3772_0336-page-670-col-1-tr-3-line-0</t>
  </si>
  <si>
    <t>Sabbathi den to. Jul</t>
  </si>
  <si>
    <t>Lune den 12. Jali</t>
  </si>
  <si>
    <t>1729-09-24</t>
  </si>
  <si>
    <t>Sabbathi den 24, Septembe</t>
  </si>
  <si>
    <t>NL-HaNA_3784_0348-page-695-col-1-tr-1-line-0</t>
  </si>
  <si>
    <t>Lune den 26. September</t>
  </si>
  <si>
    <t>1744-02-09</t>
  </si>
  <si>
    <t>NL-HaNA_3799_0094-page-187-col-0-tr-0-line-0</t>
  </si>
  <si>
    <t>Sabbathi den 8 February</t>
  </si>
  <si>
    <t>Lune den 10 February</t>
  </si>
  <si>
    <t>1771-03-19</t>
  </si>
  <si>
    <t>Luna den 18 Maart</t>
  </si>
  <si>
    <t>Mercurti den 20 Maart</t>
  </si>
  <si>
    <t>1791-07-16</t>
  </si>
  <si>
    <t>NL-HaNA_3855_0020-page-38-col-1-tr-1-line-0</t>
  </si>
  <si>
    <t>Veneris den 15 July</t>
  </si>
  <si>
    <t>Domiaica den 17 July</t>
  </si>
  <si>
    <t>1765-01-28</t>
  </si>
  <si>
    <t>Luna den 28 fanuany</t>
  </si>
  <si>
    <t>NL-HaNA_3820_0110-page-218-col-1-tr-0-line-9</t>
  </si>
  <si>
    <t>Veneris den 25 January</t>
  </si>
  <si>
    <t>Martis den 29 January</t>
  </si>
  <si>
    <t>1791-09-21</t>
  </si>
  <si>
    <t>Mercuri den 21 September</t>
  </si>
  <si>
    <t>NL-HaNA_3855_0095-page-189-col-0-tr-2-line-0</t>
  </si>
  <si>
    <t>Martis den 20 September</t>
  </si>
  <si>
    <t>Jovis den 22 September</t>
  </si>
  <si>
    <t>1716-05-17</t>
  </si>
  <si>
    <t>NL-HaNA_3771_0232-page-463-col-1-tr-1-line-0</t>
  </si>
  <si>
    <t>Sabbath den 16, Mey</t>
  </si>
  <si>
    <t>Lane den 18, Mey</t>
  </si>
  <si>
    <t>1770-07-30</t>
  </si>
  <si>
    <t>Dominica den 29 July</t>
  </si>
  <si>
    <t>NL-HaNA_3825_0374-page-746-col-0-tr-2-line-0</t>
  </si>
  <si>
    <t>Veneris den 27 July</t>
  </si>
  <si>
    <t>Martis den 3t July</t>
  </si>
  <si>
    <t>1774-08-06</t>
  </si>
  <si>
    <t>Veneris den 5 Aucifty</t>
  </si>
  <si>
    <t>1756-11-27</t>
  </si>
  <si>
    <t>NL-HaNA_3811_0409-page-816-col-0-tr-0-line-32</t>
  </si>
  <si>
    <t>Lane den:29 November</t>
  </si>
  <si>
    <t>1718-08-08</t>
  </si>
  <si>
    <t>Lune den 8. Augusti</t>
  </si>
  <si>
    <t>NL-HaNA_3773_0380-page-758-col-0-tr-1-line-0</t>
  </si>
  <si>
    <t>Martis den 9. August</t>
  </si>
  <si>
    <t>1774-10-16</t>
  </si>
  <si>
    <t>NL-HaNA_3829_0401-page-801-col-1-tr-4-line-0</t>
  </si>
  <si>
    <t>Veneris den 14 Oftober</t>
  </si>
  <si>
    <t>Lane den 17 Oftober</t>
  </si>
  <si>
    <t>1752-08-28</t>
  </si>
  <si>
    <t>Lune den 28 Augufty</t>
  </si>
  <si>
    <t>NL-HaNA_3807_0374-page-747-col-1-tr-0-line-7</t>
  </si>
  <si>
    <t>Sabatthi. den 16 Auguft</t>
  </si>
  <si>
    <t>Martis den 29 Augufty</t>
  </si>
  <si>
    <t>1745-06-18</t>
  </si>
  <si>
    <t>Veneris den 18 Juny</t>
  </si>
  <si>
    <t>NL-HaNA_3800_0283-page-564-col-0-tr-1-line-0</t>
  </si>
  <si>
    <t>Jovis den 17 Juny</t>
  </si>
  <si>
    <t>Sabbathi den 19 Juny</t>
  </si>
  <si>
    <t>1767-05-03</t>
  </si>
  <si>
    <t>NL-HaNA_3822_0211-page-421-col-1-tr-3-line-0</t>
  </si>
  <si>
    <t>Lune den 4 Mey</t>
  </si>
  <si>
    <t>1768-02-29</t>
  </si>
  <si>
    <t>Lune den 29 February</t>
  </si>
  <si>
    <t>NL-HaNA_3823_0135-page-268-col-0-tr-1-line-0</t>
  </si>
  <si>
    <t>Veneris den 26 February</t>
  </si>
  <si>
    <t>1744-01-17</t>
  </si>
  <si>
    <t>Veneris den 1 January</t>
  </si>
  <si>
    <t>NL-HaNA_3799_0070-page-139-col-0-tr-0-line-0</t>
  </si>
  <si>
    <t>Jovis den 16 January</t>
  </si>
  <si>
    <t>Sabbathi den 18 January</t>
  </si>
  <si>
    <t>1713-10-24</t>
  </si>
  <si>
    <t>Martis den 24. Octobe</t>
  </si>
  <si>
    <t>NL-HaNA_3768_0696-page-1390-col-2-tr-1-line-0</t>
  </si>
  <si>
    <t>Luna den 23. October</t>
  </si>
  <si>
    <t>Morgurii den 25. Octobe</t>
  </si>
  <si>
    <t>1782-08-01</t>
  </si>
  <si>
    <t>Jovis den 1 Augusty</t>
  </si>
  <si>
    <t>NL-HaNA_3839_0054-page-107-col-1-tr-2-line-0</t>
  </si>
  <si>
    <t>Mercuri den 31 July</t>
  </si>
  <si>
    <t>Veneris den 2 Augufty</t>
  </si>
  <si>
    <t>1742-02-24</t>
  </si>
  <si>
    <t>Sabbathi den 24 February</t>
  </si>
  <si>
    <t>NL-HaNA_3797_0103-page-205-col-1-tr-1-line-0</t>
  </si>
  <si>
    <t>1741-12-29</t>
  </si>
  <si>
    <t>Lune den 25 December</t>
  </si>
  <si>
    <t>NL-HaNA_3796_0486-page-971-col-0-tr-3-line-0</t>
  </si>
  <si>
    <t>Sabbathi den 30 December</t>
  </si>
  <si>
    <t>1764-01-25</t>
  </si>
  <si>
    <t>Mercurii den 25 January</t>
  </si>
  <si>
    <t>NL-HaNA_3819_0107-page-212-col-0-tr-1-line-0</t>
  </si>
  <si>
    <t>Martis den 24 January</t>
  </si>
  <si>
    <t>Jovis den 26 January</t>
  </si>
  <si>
    <t>1729-01-02</t>
  </si>
  <si>
    <t>NL-HaNA_3784_0045-page-89-col-0-tr-0-line-0</t>
  </si>
  <si>
    <t>Lune den 3. fanuarii</t>
  </si>
  <si>
    <t>1708-08-06</t>
  </si>
  <si>
    <t>Luna den 6. Angnfli</t>
  </si>
  <si>
    <t>NL-HaNA_3763_0385-page-769-col-0-tr-1-line-0</t>
  </si>
  <si>
    <t>Sabbathi den 4. August</t>
  </si>
  <si>
    <t>Martis den 7. August</t>
  </si>
  <si>
    <t>1739-04-11</t>
  </si>
  <si>
    <t>Sabbathiì den u April</t>
  </si>
  <si>
    <t>NL-HaNA_3794_0144-page-287-col-0-tr-1-line-0</t>
  </si>
  <si>
    <t>Veneris den 10 Aprit</t>
  </si>
  <si>
    <t>Lune den 13 april</t>
  </si>
  <si>
    <t>1774-10-17</t>
  </si>
  <si>
    <t>Martis den 18 Oflober</t>
  </si>
  <si>
    <t>1759-03-23</t>
  </si>
  <si>
    <t>NL-HaNA_3814_0193-page-384-col-0-tr-0-line-0</t>
  </si>
  <si>
    <t>Jovis den 22 Maart</t>
  </si>
  <si>
    <t>1741-05-26</t>
  </si>
  <si>
    <t>Veneris den 26 Mey</t>
  </si>
  <si>
    <t>NL-HaNA_3796_0232-page-463-col-0-tr-1-line-0</t>
  </si>
  <si>
    <t>Jovis den 25 Mey</t>
  </si>
  <si>
    <t>Sabbathi den 27 Mey</t>
  </si>
  <si>
    <t>1777-10-28</t>
  </si>
  <si>
    <t>Martis den 29 DR ober</t>
  </si>
  <si>
    <t>NL-HaNA_3832_0462-page-923-col-0-tr-2-line-0</t>
  </si>
  <si>
    <t>Lune den 27 Oftoter</t>
  </si>
  <si>
    <t>Mevreurii den 29 Oftobe</t>
  </si>
  <si>
    <t>1796-02-23</t>
  </si>
  <si>
    <t>Mortis den 23 February</t>
  </si>
  <si>
    <t>NL-HaNA_3864_0318-page-634-col-1-tr-2-line-3</t>
  </si>
  <si>
    <t>Lune den 292 February</t>
  </si>
  <si>
    <t>Mercurii den 24 February</t>
  </si>
  <si>
    <t>1774-08-31</t>
  </si>
  <si>
    <t>Mercurii den 31 Auznfiy</t>
  </si>
  <si>
    <t>NL-HaNA_3829_0352-page-703-col-1-tr-2-line-0</t>
  </si>
  <si>
    <t>Martis den 30 Angufly</t>
  </si>
  <si>
    <t>1755-11-01</t>
  </si>
  <si>
    <t>NL-HaNA_3810_0375-page-749-col-0-tr-2-line-0</t>
  </si>
  <si>
    <t>Veneris den 31 Odtober</t>
  </si>
  <si>
    <t>Lanz den 3 November</t>
  </si>
  <si>
    <t>1731-02-11</t>
  </si>
  <si>
    <t>NL-HaNA_3786_0082-page-162-col-1-tr-2-line-0</t>
  </si>
  <si>
    <t>Sabbathi den 10. Februari</t>
  </si>
  <si>
    <t>Lune den 12, Februarii</t>
  </si>
  <si>
    <t>1766-09-06</t>
  </si>
  <si>
    <t>NL-HaNA_3821_0336-page-670-col-1-tr-2-line-0</t>
  </si>
  <si>
    <t>Veneris den September</t>
  </si>
  <si>
    <t>Luns den 8 September</t>
  </si>
  <si>
    <t>1739-04-02</t>
  </si>
  <si>
    <t>Fovis den 2 April</t>
  </si>
  <si>
    <t>NL-HaNA_3794_0135-page-269-col-1-tr-3-line-0</t>
  </si>
  <si>
    <t>Veneris den 3 April</t>
  </si>
  <si>
    <t>1720-01-26</t>
  </si>
  <si>
    <t>Peneris den 26. Januari</t>
  </si>
  <si>
    <t>NL-HaNA_3775_0075-page-149-col-1-tr-0-line-0</t>
  </si>
  <si>
    <t>Jovis den 25. Januari</t>
  </si>
  <si>
    <t>Sabbathi den 27. Januari</t>
  </si>
  <si>
    <t>1739-05-13</t>
  </si>
  <si>
    <t>Mercurii den 13 Mey</t>
  </si>
  <si>
    <t>NL-HaNA_3794_0173-page-344-col-0-tr-1-line-0</t>
  </si>
  <si>
    <t>Martis den 12 Mey</t>
  </si>
  <si>
    <t>1757-05-02</t>
  </si>
  <si>
    <t>Lune den i Mey</t>
  </si>
  <si>
    <t>NL-HaNA_3812_0234-page-467-col-2-tr-1-line-0</t>
  </si>
  <si>
    <t>Veneris den 29 April</t>
  </si>
  <si>
    <t>Martis den 3 Mey</t>
  </si>
  <si>
    <t>1743-11-10</t>
  </si>
  <si>
    <t>NL-HaNA_3798_0335-page-668-col-0-tr-3-line-0</t>
  </si>
  <si>
    <t>Sabbáthi den 9 November</t>
  </si>
  <si>
    <t>Lane den 11 November</t>
  </si>
  <si>
    <t>1770-02-27</t>
  </si>
  <si>
    <t>NL-HaNA_3825_0150-page-299-col-0-tr-0-line-26</t>
  </si>
  <si>
    <t>Lun den 26 February</t>
  </si>
  <si>
    <t>1749-08-23</t>
  </si>
  <si>
    <t>Sabbatthi den 23 August</t>
  </si>
  <si>
    <t>NL-HaNA_3804_0336-page-671-col-0-tr-1-line-0</t>
  </si>
  <si>
    <t>Veneris den 22 Augufty</t>
  </si>
  <si>
    <t>Lune den 25 Augusty</t>
  </si>
  <si>
    <t>1786-11-19</t>
  </si>
  <si>
    <t>NL-HaNA_3847_0246-page-490-col-0-tr-1-line-0</t>
  </si>
  <si>
    <t>Veneris den 17 November</t>
  </si>
  <si>
    <t>1786-12-25</t>
  </si>
  <si>
    <t>NL-HaNA_3847_0333-page-665-col-0-tr-1-line-0</t>
  </si>
  <si>
    <t>Mercuri den 27 December</t>
  </si>
  <si>
    <t>1775-06-19</t>
  </si>
  <si>
    <t>Veneris den 16 Jay</t>
  </si>
  <si>
    <t>Martis den. 20 Tun</t>
  </si>
  <si>
    <t>1762-12-19</t>
  </si>
  <si>
    <t>NL-HaNA_3817_0513-page-1025-col-0-tr-0-line-24</t>
  </si>
  <si>
    <t>Veneris den 17 December</t>
  </si>
  <si>
    <t>Lune den 20 December.</t>
  </si>
  <si>
    <t>1752-08-11</t>
  </si>
  <si>
    <t>Veneris den 11 Anenfty</t>
  </si>
  <si>
    <t>NL-HaNA_3807_0355-page-708-col-1-tr-0-line-37</t>
  </si>
  <si>
    <t>$ovis den 10 Augufty</t>
  </si>
  <si>
    <t>Sabatthi den 12 Augusty</t>
  </si>
  <si>
    <t>1718-11-16</t>
  </si>
  <si>
    <t>Mercuri den 16. November</t>
  </si>
  <si>
    <t>NL-HaNA_3773_0531-page-1060-col-0-tr-4-line-0</t>
  </si>
  <si>
    <t>Martis den 15. Novembe</t>
  </si>
  <si>
    <t>Jovis den 17. Novembe</t>
  </si>
  <si>
    <t>1792-08-06</t>
  </si>
  <si>
    <t>Lune den 6 Anguiy</t>
  </si>
  <si>
    <t>NL-HaNA_3857_0053-page-105-col-0-tr-1-line-0</t>
  </si>
  <si>
    <t>Veneris den 3 dAuguft</t>
  </si>
  <si>
    <t>Martis den 7 Augu[ty</t>
  </si>
  <si>
    <t>1706-03-11</t>
  </si>
  <si>
    <t>Jovis den 11. Maer</t>
  </si>
  <si>
    <t>NL-HaNA_3761_0141-page-281-col-1-tr-1-line-1</t>
  </si>
  <si>
    <t>Mercurii den 10. Maer</t>
  </si>
  <si>
    <t>Keneris den 2. Maert</t>
  </si>
  <si>
    <t>1753-05-15</t>
  </si>
  <si>
    <t>Martis den 15 Mey</t>
  </si>
  <si>
    <t>NL-HaNA_3808_0211-page-420-col-1-tr-2-line-1</t>
  </si>
  <si>
    <t>Lune den 14 Mey</t>
  </si>
  <si>
    <t>Mercurii den 16 Mey</t>
  </si>
  <si>
    <t>1720-11-13</t>
  </si>
  <si>
    <t>Martis den 12. Nousmbe</t>
  </si>
  <si>
    <t>Jovis den 14. Novembe</t>
  </si>
  <si>
    <t>1720-02-26</t>
  </si>
  <si>
    <t>Lune den 26, Febuarii</t>
  </si>
  <si>
    <t>NL-HaNA_3775_0114-page-226-col-1-tr-1-line-0</t>
  </si>
  <si>
    <t>Sabbat hi den 24. Februar</t>
  </si>
  <si>
    <t>Martis den 27. Februayi</t>
  </si>
  <si>
    <t>1780-07-16</t>
  </si>
  <si>
    <t>NL-HaNA_3835_0404-page-806-col-1-tr-1-line-0</t>
  </si>
  <si>
    <t>Veneris den 14 July</t>
  </si>
  <si>
    <t>Lane den 17 Jaly</t>
  </si>
  <si>
    <t>1788-06-28</t>
  </si>
  <si>
    <t>NL-HaNA_3850_0315-page-628-col-1-tr-1-line-0</t>
  </si>
  <si>
    <t>Veneris den 27 Juny</t>
  </si>
  <si>
    <t>Lune den 30 Jany</t>
  </si>
  <si>
    <t>1764-07-13</t>
  </si>
  <si>
    <t>Veneris den 13 July</t>
  </si>
  <si>
    <t>NL-HaNA_3819_0311-page-620-col-0-tr-2-line-0</t>
  </si>
  <si>
    <t>Jovis den 12 July</t>
  </si>
  <si>
    <t>1760-08-25</t>
  </si>
  <si>
    <t>Luna den 25 Augusty</t>
  </si>
  <si>
    <t>NL-HaNA_3815_0384-page-767-col-0-tr-1-line-0</t>
  </si>
  <si>
    <t>Veneris den 22 Angully</t>
  </si>
  <si>
    <t>Martis den 26 Augusly</t>
  </si>
  <si>
    <t>1767-05-13</t>
  </si>
  <si>
    <t>Mercuri den 13 Mey:</t>
  </si>
  <si>
    <t>NL-HaNA_3822_0228-page-454-col-0-tr-0-line-13</t>
  </si>
  <si>
    <t>Jovis den 14 Mej</t>
  </si>
  <si>
    <t>1717-11-18</t>
  </si>
  <si>
    <t>Zovis den 18. Novembe</t>
  </si>
  <si>
    <t>NL-HaNA_3772_0530-page-1058-col-0-tr-1-line-0</t>
  </si>
  <si>
    <t>Mercurii den 17. Novembe</t>
  </si>
  <si>
    <t>Veneris den 19. Novembe</t>
  </si>
  <si>
    <t>1750-07-08</t>
  </si>
  <si>
    <t>Mercurii den 3 July</t>
  </si>
  <si>
    <t>NL-HaNA_3805_0281-page-560-col-1-tr-1-line-0</t>
  </si>
  <si>
    <t>Martis den 7 July</t>
  </si>
  <si>
    <t>Jovis den 9 July</t>
  </si>
  <si>
    <t>1757-03-06</t>
  </si>
  <si>
    <t>NL-HaNA_3812_0162-page-322-col-1-tr-0-line-7</t>
  </si>
  <si>
    <t>Veneris den 4 Maart</t>
  </si>
  <si>
    <t>Lune den 7 Maart</t>
  </si>
  <si>
    <t>1747-03-02</t>
  </si>
  <si>
    <t>Jovis den 2 Maart</t>
  </si>
  <si>
    <t>NL-HaNA_3802_0132-page-262-col-0-tr-3-line-0</t>
  </si>
  <si>
    <t>Mercurii den 1 Maart</t>
  </si>
  <si>
    <t>Veneris den 3 Maart</t>
  </si>
  <si>
    <t>1712-03-31</t>
  </si>
  <si>
    <t>Jovis den 31. Maer</t>
  </si>
  <si>
    <t>NL-HaNA_3767_0184-page-367-col-0-tr-4-line-0</t>
  </si>
  <si>
    <t>Veneris den 1. Apri</t>
  </si>
  <si>
    <t>1746-11-23</t>
  </si>
  <si>
    <t>NL-HaNA_3801_0467-page-932-col-1-tr-0-line-0</t>
  </si>
  <si>
    <t>1710-10-03</t>
  </si>
  <si>
    <t>Veneris den 3. Octobe</t>
  </si>
  <si>
    <t>NL-HaNA_3765_0559-page-1117-col-0-tr-1-line-0</t>
  </si>
  <si>
    <t>Jovis den 2. Octobe</t>
  </si>
  <si>
    <t>1776-09-03</t>
  </si>
  <si>
    <t>Martis den 3 September</t>
  </si>
  <si>
    <t>NL-HaNA_3831_0364-page-727-col-0-tr-2-line-0</t>
  </si>
  <si>
    <t>Luna den 2 September</t>
  </si>
  <si>
    <t>Mereurii den 2 September</t>
  </si>
  <si>
    <t>1706-02-05</t>
  </si>
  <si>
    <t>Veneris den z. Februari</t>
  </si>
  <si>
    <t>NL-HaNA_3761_0071-page-140-col-0-tr-1-line-0</t>
  </si>
  <si>
    <t>Jovis den 4. Februari</t>
  </si>
  <si>
    <t>Sabbathi den 6. Februari</t>
  </si>
  <si>
    <t>1738-10-13</t>
  </si>
  <si>
    <t>Lune den 13. Oftober</t>
  </si>
  <si>
    <t>NL-HaNA_3793_0327-page-653-col-1-tr-1-line-0</t>
  </si>
  <si>
    <t>Martis den 14. Octobe</t>
  </si>
  <si>
    <t>1710-02-18</t>
  </si>
  <si>
    <t xml:space="preserve">Martis dn 18. Februari </t>
  </si>
  <si>
    <t>NL-HaNA_3765_0109-page-216-col-0-tr-0-line-0</t>
  </si>
  <si>
    <t xml:space="preserve">Luna den 17. Februari </t>
  </si>
  <si>
    <t>Mercuri den 19. Februarii</t>
  </si>
  <si>
    <t>1792-08-11</t>
  </si>
  <si>
    <t>NL-HaNA_3857_0059-page-116-col-0-tr-1-line-0</t>
  </si>
  <si>
    <t>Veneris den 10 Augifty</t>
  </si>
  <si>
    <t>Lune den 13 Augufiy</t>
  </si>
  <si>
    <t>1776-06-20</t>
  </si>
  <si>
    <t>Jovis den 20 Juny</t>
  </si>
  <si>
    <t>NL-HaNA_3831_0284-page-567-col-1-tr-1-line-8</t>
  </si>
  <si>
    <t>Mercuri den 19 Jun</t>
  </si>
  <si>
    <t>Veneris den 21 Jany</t>
  </si>
  <si>
    <t>1784-01-02</t>
  </si>
  <si>
    <t>Veneris den 2 January</t>
  </si>
  <si>
    <t>NL-HaNA_3842_0125-page-249-col-0-tr-0-line-0</t>
  </si>
  <si>
    <t>Lune den 4 January</t>
  </si>
  <si>
    <t>1791-12-14</t>
  </si>
  <si>
    <t>Mercuri den 14 December</t>
  </si>
  <si>
    <t>NL-HaNA_3855_0239-page-476-col-0-tr-1-line-0</t>
  </si>
  <si>
    <t>Martis den 13 December</t>
  </si>
  <si>
    <t>Jovis den 15 December</t>
  </si>
  <si>
    <t>1789-08-14</t>
  </si>
  <si>
    <t>Veneris den 14 Angifiy</t>
  </si>
  <si>
    <t>NL-HaNA_3852_0374-page-747-col-0-tr-0-line-0</t>
  </si>
  <si>
    <t>Jovis den 13 Augufiy</t>
  </si>
  <si>
    <t>Lane den 17 Augufty</t>
  </si>
  <si>
    <t>1718-01-15</t>
  </si>
  <si>
    <t>Súbbathi den 15. Januari</t>
  </si>
  <si>
    <t>NL-HaNA_3773_0060-page-118-col-0-tr-2-line-0</t>
  </si>
  <si>
    <t>Veneris den 14. Fanuari</t>
  </si>
  <si>
    <t>Lune den 17. Januaril</t>
  </si>
  <si>
    <t>1729-08-09</t>
  </si>
  <si>
    <t>Martis den 9, Auguft</t>
  </si>
  <si>
    <t>NL-HaNA_3784_0298-page-595-col-1-tr-1-line-0</t>
  </si>
  <si>
    <t>Lane den 3. Ausufti</t>
  </si>
  <si>
    <t>Mercurii den 10, Auguft</t>
  </si>
  <si>
    <t>1722-08-08</t>
  </si>
  <si>
    <t>Sabbathi den. 8. Augus</t>
  </si>
  <si>
    <t>NL-HaNA_3777_0319-page-636-col-0-tr-1-line-0</t>
  </si>
  <si>
    <t>Veneris den 7. August</t>
  </si>
  <si>
    <t>Dominica den 9. August</t>
  </si>
  <si>
    <t>1746-03-28</t>
  </si>
  <si>
    <t>Luna den 28 Maart</t>
  </si>
  <si>
    <t>NL-HaNA_3801_0160-page-319-col-0-tr-0-line-34</t>
  </si>
  <si>
    <t>Martis den 29 Maart</t>
  </si>
  <si>
    <t>1789-05-29</t>
  </si>
  <si>
    <t>Veneris den 29 Mey</t>
  </si>
  <si>
    <t>NL-HaNA_3852_0290-page-578-col-0-tr-2-line-0</t>
  </si>
  <si>
    <t>Jovis den 28 Mey</t>
  </si>
  <si>
    <t>Martis den 2 Jany</t>
  </si>
  <si>
    <t>1738-12-10</t>
  </si>
  <si>
    <t>Mercurii den 15 December</t>
  </si>
  <si>
    <t>NL-HaNA_3793_0395-page-788-col-0-tr-1-line-0</t>
  </si>
  <si>
    <t>Martis den 9. Decembe</t>
  </si>
  <si>
    <t>Jovis den 11. Decembe</t>
  </si>
  <si>
    <t>1782-05-25</t>
  </si>
  <si>
    <t>NL-HaNA_3838_0252-page-503-col-0-tr-1-line-0</t>
  </si>
  <si>
    <t>Lane den 27 Mey</t>
  </si>
  <si>
    <t>1796-02-18</t>
  </si>
  <si>
    <t>Jovis den 18 February</t>
  </si>
  <si>
    <t>NL-HaNA_3864_0300-page-599-col-1-tr-1-line-0</t>
  </si>
  <si>
    <t>Mercurii den 17 Rbruary</t>
  </si>
  <si>
    <t>Peneris den \9 February</t>
  </si>
  <si>
    <t>1785-06-01</t>
  </si>
  <si>
    <t>Mercuvii den 1 Juuy</t>
  </si>
  <si>
    <t>NL-HaNA_3844_0387-page-772-col-1-tr-2-line-0</t>
  </si>
  <si>
    <t>Martis den 31 Mey</t>
  </si>
  <si>
    <t>Jovis den 2 Júny</t>
  </si>
  <si>
    <t>1751-04-26</t>
  </si>
  <si>
    <t>NL-HaNA_3806_0177-page-352-col-1-tr-2-line-0</t>
  </si>
  <si>
    <t>Martis den 27 April</t>
  </si>
  <si>
    <t>1737-09-02</t>
  </si>
  <si>
    <t>Luna den 2. September</t>
  </si>
  <si>
    <t>NL-HaNA_3792_0246-page-490-col-0-tr-1-line-0</t>
  </si>
  <si>
    <t>Martis den 3, Septembe</t>
  </si>
  <si>
    <t>1749-06-15</t>
  </si>
  <si>
    <t>NL-HaNA_3804_0253-page-505-col-0-tr-3-line-0</t>
  </si>
  <si>
    <t>Lune den t6 Juny</t>
  </si>
  <si>
    <t>1759-03-01</t>
  </si>
  <si>
    <t>Jovis den t Maart</t>
  </si>
  <si>
    <t>NL-HaNA_3814_0158-page-315-col-1-tr-3-line-0</t>
  </si>
  <si>
    <t>Mercuri den 28 February</t>
  </si>
  <si>
    <t>Veneris den 2 Maart</t>
  </si>
  <si>
    <t>1764-12-23</t>
  </si>
  <si>
    <t>NL-HaNA_3819_0504-page-1006-col-0-tr-1-line-0</t>
  </si>
  <si>
    <t>Veneris den 21 December</t>
  </si>
  <si>
    <t>Luna den 24 December</t>
  </si>
  <si>
    <t>1766-11-23</t>
  </si>
  <si>
    <t>NL-HaNA_3821_0404-page-806-col-0-tr-1-line-0</t>
  </si>
  <si>
    <t>Veneris den 21 November</t>
  </si>
  <si>
    <t>Lune den 24 November</t>
  </si>
  <si>
    <t>1732-02-21</t>
  </si>
  <si>
    <t>NL-HaNA_3787_0097-page-193-col-0-tr-0-line-0</t>
  </si>
  <si>
    <t>Mercuri den 20, Februarii</t>
  </si>
  <si>
    <t>Veneris den 22. Februari</t>
  </si>
  <si>
    <t>1766-01-04</t>
  </si>
  <si>
    <t>NL-HaNA_3821_0089-page-176-col-1-tr-0-line-0</t>
  </si>
  <si>
    <t>Veneris den 3 January</t>
  </si>
  <si>
    <t>1770-10-04</t>
  </si>
  <si>
    <t>Jovis den 4 October</t>
  </si>
  <si>
    <t>NL-HaNA_3825_0439-page-877-col-2-tr-1-line-2</t>
  </si>
  <si>
    <t>Meoreurii den 3 Octobe</t>
  </si>
  <si>
    <t>Veneris den 5 October</t>
  </si>
  <si>
    <t>1738-12-04</t>
  </si>
  <si>
    <t>Jovis den 4. Decembe</t>
  </si>
  <si>
    <t>NL-HaNA_3793_0389-page-777-col-0-tr-2-line-0</t>
  </si>
  <si>
    <t>Mercurii den 3 December</t>
  </si>
  <si>
    <t>Veneris den 5. Decembe</t>
  </si>
  <si>
    <t>1772-11-29</t>
  </si>
  <si>
    <t>NL-HaNA_3827_0466-page-931-col-0-tr-0-line-0</t>
  </si>
  <si>
    <t>Veneris den 27 November</t>
  </si>
  <si>
    <t>1762-10-20</t>
  </si>
  <si>
    <t>1770-10-03</t>
  </si>
  <si>
    <t>NL-HaNA_3825_0438-page-875-col-0-tr-0-line-49</t>
  </si>
  <si>
    <t>Maurtis den 2 Offobe</t>
  </si>
  <si>
    <t>1787-09-03</t>
  </si>
  <si>
    <t>Lune den 3 September</t>
  </si>
  <si>
    <t>NL-HaNA_3849_0153-page-305-col-1-tr-1-line-1</t>
  </si>
  <si>
    <t>Veneris den 31 Augufiy</t>
  </si>
  <si>
    <t>1766-01-13</t>
  </si>
  <si>
    <t>Dominica den 11 January</t>
  </si>
  <si>
    <t>NL-HaNA_3821_0098-page-195-col-0-tr-1-line-0</t>
  </si>
  <si>
    <t>Veneris den 10 January</t>
  </si>
  <si>
    <t>Martis den t4 Jatuarg</t>
  </si>
  <si>
    <t>1779-09-30</t>
  </si>
  <si>
    <t>Jovis den 30 September</t>
  </si>
  <si>
    <t>NL-HaNA_3834_0490-page-979-col-0-tr-1-line-0</t>
  </si>
  <si>
    <t>Veneris den A Oftober</t>
  </si>
  <si>
    <t>1762-04-28</t>
  </si>
  <si>
    <t>Mercurii den 28 April</t>
  </si>
  <si>
    <t>NL-HaNA_3817_0240-page-478-col-0-tr-0-line-43</t>
  </si>
  <si>
    <t>Martis den 27. Apri</t>
  </si>
  <si>
    <t>1781-07-16</t>
  </si>
  <si>
    <t>Lana den 16 July</t>
  </si>
  <si>
    <t>NL-HaNA_3837_0033-page-64-col-0-tr-1-line-0</t>
  </si>
  <si>
    <t>Martis den 17 Zaly</t>
  </si>
  <si>
    <t>1792-02-21</t>
  </si>
  <si>
    <t>Martis den 21 February</t>
  </si>
  <si>
    <t>NL-HaNA_3856_0169-page-337-col-0-tr-3-line-0</t>
  </si>
  <si>
    <t>Mercurii den 22 February</t>
  </si>
  <si>
    <t>1737-10-10</t>
  </si>
  <si>
    <t>Jovis den ro. Octobe</t>
  </si>
  <si>
    <t>NL-HaNA_3792_0282-page-563-col-1-tr-1-line-0</t>
  </si>
  <si>
    <t>Mercurii den 9. Octobe</t>
  </si>
  <si>
    <t>Peneris den 11, Oftobe</t>
  </si>
  <si>
    <t>1751-02-24</t>
  </si>
  <si>
    <t>NL-HaNA_3806_0106-page-211-col-1-tr-2-line-0</t>
  </si>
  <si>
    <t>Martis den 23 February</t>
  </si>
  <si>
    <t>Jovis den 25 February</t>
  </si>
  <si>
    <t>1783-12-19</t>
  </si>
  <si>
    <t>Veneris den 19 December</t>
  </si>
  <si>
    <t>NL-HaNA_3841_0254-page-507-col-0-tr-0-line-0</t>
  </si>
  <si>
    <t>Jovis den vR Detember</t>
  </si>
  <si>
    <t>1728-10-03</t>
  </si>
  <si>
    <t>NL-HaNA_3783_0433-page-864-col-0-tr-4-line-0</t>
  </si>
  <si>
    <t>Sabbatbi den 2. Ofober</t>
  </si>
  <si>
    <t>Lune den 4. OSober</t>
  </si>
  <si>
    <t>1730-11-25</t>
  </si>
  <si>
    <t>NL-HaNA_3785_0408-page-815-col-0-tr-2-line-0</t>
  </si>
  <si>
    <t>Lune den 27. November</t>
  </si>
  <si>
    <t>1731-04-17</t>
  </si>
  <si>
    <t>Martis den 17. Apri</t>
  </si>
  <si>
    <t>NL-HaNA_3786_0139-page-276-col-0-tr-2-line-0</t>
  </si>
  <si>
    <t>Lune den 16. April</t>
  </si>
  <si>
    <t>Mereurii den 18. Apri</t>
  </si>
  <si>
    <t>1718-06-05</t>
  </si>
  <si>
    <t>Sabbathi den 4. Juni</t>
  </si>
  <si>
    <t>1779-12-07</t>
  </si>
  <si>
    <t>Martis den 7 December</t>
  </si>
  <si>
    <t>NL-HaNA_3834_0572-page-1143-col-0-tr-1-line-0</t>
  </si>
  <si>
    <t>Lune den 6 December</t>
  </si>
  <si>
    <t>Mercurii den 8 December</t>
  </si>
  <si>
    <t>1789-11-07</t>
  </si>
  <si>
    <t>Veneris den 6 November</t>
  </si>
  <si>
    <t>1742-11-07</t>
  </si>
  <si>
    <t>Mercurii den 7 November</t>
  </si>
  <si>
    <t>NL-HaNA_3797_0431-page-861-col-1-tr-2-line-0</t>
  </si>
  <si>
    <t>Martis den 6 November</t>
  </si>
  <si>
    <t>1706-02-12</t>
  </si>
  <si>
    <t xml:space="preserve">Venerisden 12. Februari </t>
  </si>
  <si>
    <t>NL-HaNA_3761_0082-page-163-col-0-tr-1-line-0</t>
  </si>
  <si>
    <t xml:space="preserve">gfbatbi den 1. Ecbruarii </t>
  </si>
  <si>
    <t>1715-02-21</t>
  </si>
  <si>
    <t>Jovis den 21. Februari</t>
  </si>
  <si>
    <t>NL-HaNA_3770_0103-page-205-col-0-tr-1-line-0</t>
  </si>
  <si>
    <t>Mercuri den 20. Februari</t>
  </si>
  <si>
    <t>Veneris den 22. Februart</t>
  </si>
  <si>
    <t>1739-08-29</t>
  </si>
  <si>
    <t>Sabbatbi den 29 Ancufty</t>
  </si>
  <si>
    <t>NL-HaNA_3794_0276-page-550-col-1-tr-1-line-0</t>
  </si>
  <si>
    <t>Veneris den 28 Angusty</t>
  </si>
  <si>
    <t>Lune den 31 Angafiy</t>
  </si>
  <si>
    <t>1741-10-10</t>
  </si>
  <si>
    <t>Martis den 10 Oftober</t>
  </si>
  <si>
    <t>NL-HaNA_3796_0388-page-775-col-1-tr-2-line-0</t>
  </si>
  <si>
    <t>Lune den 9 Oftober</t>
  </si>
  <si>
    <t>Mercuri den ut October</t>
  </si>
  <si>
    <t>1709-01-10</t>
  </si>
  <si>
    <t>Jovis den 10. Januari</t>
  </si>
  <si>
    <t>NL-HaNA_3764_0036-page-70-col-1-tr-1-line-0</t>
  </si>
  <si>
    <t>Mercurii den 9. Januari</t>
  </si>
  <si>
    <t>Veneris den 11. Januari</t>
  </si>
  <si>
    <t>1758-08-11</t>
  </si>
  <si>
    <t>NL-HaNA_3813_0356-page-710-col-1-tr-1-line-16</t>
  </si>
  <si>
    <t>Jovis den 10 Augufty</t>
  </si>
  <si>
    <t>1727-12-05</t>
  </si>
  <si>
    <t>NL-HaNA_3782_0482-page-962-col-0-tr-1-line-0</t>
  </si>
  <si>
    <t>Sabbathì den 6. Decembe</t>
  </si>
  <si>
    <t>1713-01-22</t>
  </si>
  <si>
    <t>NL-HaNA_3768_0073-page-144-col-1-tr-1-line-0</t>
  </si>
  <si>
    <t>Sabbathi den 21. Fanuari</t>
  </si>
  <si>
    <t>Lune den 23. Januartë</t>
  </si>
  <si>
    <t>1787-07-24</t>
  </si>
  <si>
    <t>Martis den 24 July</t>
  </si>
  <si>
    <t>NL-HaNA_3849_0058-page-115-col-0-tr-1-line-19</t>
  </si>
  <si>
    <t>Lune den 23 July</t>
  </si>
  <si>
    <t>1784-10-06</t>
  </si>
  <si>
    <t>Mercuri den 6 Oftobef</t>
  </si>
  <si>
    <t>NL-HaNA_3843_0156-page-311-col-0-tr-1-line-30</t>
  </si>
  <si>
    <t>Martis den 5 Oftober</t>
  </si>
  <si>
    <t>Jovis den 7 Oftober</t>
  </si>
  <si>
    <t>1714-05-28</t>
  </si>
  <si>
    <t>Luna den 28. Mey</t>
  </si>
  <si>
    <t>NL-HaNA_3769_0308-page-614-col-0-tr-1-line-0</t>
  </si>
  <si>
    <t>Sabbathi den 26. Me</t>
  </si>
  <si>
    <t>Martis den 19. Me</t>
  </si>
  <si>
    <t>1729-09-19</t>
  </si>
  <si>
    <t>Lune den 19. September</t>
  </si>
  <si>
    <t>NL-HaNA_3784_0339-page-677-col-0-tr-3-line-0</t>
  </si>
  <si>
    <t>Sabbathi den 17. Septembe</t>
  </si>
  <si>
    <t>Martis den 20, Septembe</t>
  </si>
  <si>
    <t>1764-08-28</t>
  </si>
  <si>
    <t>Martis den 28 Augusty</t>
  </si>
  <si>
    <t>NL-HaNA_3819_0362-page-722-col-0-tr-1-line-0</t>
  </si>
  <si>
    <t>Luna den 27 Angusty</t>
  </si>
  <si>
    <t>Mercurii den 29 Augnfty</t>
  </si>
  <si>
    <t>1742-10-10</t>
  </si>
  <si>
    <t>Mercuri deh 10 October</t>
  </si>
  <si>
    <t>NL-HaNA_3797_0407-page-813-col-1-tr-2-line-0</t>
  </si>
  <si>
    <t>Martis den 9 Oftober</t>
  </si>
  <si>
    <t>Jovis den 11 October</t>
  </si>
  <si>
    <t>1754-02-19</t>
  </si>
  <si>
    <t>NL-HaNA_3809_0112-page-223-col-0-tr-0-line-0</t>
  </si>
  <si>
    <t>Lune den 18 February</t>
  </si>
  <si>
    <t>Mercurii den 20 February</t>
  </si>
  <si>
    <t>1712-09-16</t>
  </si>
  <si>
    <t>Veneris den 16. Septembe</t>
  </si>
  <si>
    <t>NL-HaNA_3767_0536-page-1070-col-0-tr-3-line-0</t>
  </si>
  <si>
    <t>Zovis den 15. Septembe</t>
  </si>
  <si>
    <t>1719-05-13</t>
  </si>
  <si>
    <t>Sabbathi den 13. Me</t>
  </si>
  <si>
    <t>NL-HaNA_3774_0237-page-472-col-1-tr-3-line-0</t>
  </si>
  <si>
    <t>Veneris den 12. Me</t>
  </si>
  <si>
    <t>Lune den 15. Mey</t>
  </si>
  <si>
    <t>1770-10-24</t>
  </si>
  <si>
    <t>Mercuriì den 24 Oftober</t>
  </si>
  <si>
    <t>NL-HaNA_3825_0463-page-925-col-0-tr-1-line-35</t>
  </si>
  <si>
    <t>Martis den 23 OSobey</t>
  </si>
  <si>
    <t>Jovis den 25 October</t>
  </si>
  <si>
    <t>1779-07-22</t>
  </si>
  <si>
    <t>Jovis den 22 July</t>
  </si>
  <si>
    <t>NL-HaNA_3834_0397-page-792-col-1-tr-3-line-0</t>
  </si>
  <si>
    <t>Mercurii den 21 July</t>
  </si>
  <si>
    <t>Veneris den 23 Jul</t>
  </si>
  <si>
    <t>1792-01-18</t>
  </si>
  <si>
    <t>NL-HaNA_3856_0124-page-246-col-1-tr-1-line-10</t>
  </si>
  <si>
    <t>Martis den 17 TFanuar</t>
  </si>
  <si>
    <t>Fovis den 19 January</t>
  </si>
  <si>
    <t>1767-11-19</t>
  </si>
  <si>
    <t>1769-04-04</t>
  </si>
  <si>
    <t>NL-HaNA_3824_0198-page-394-col-0-tr-1-line-0</t>
  </si>
  <si>
    <t>Lune den 3 April</t>
  </si>
  <si>
    <t>Merenriì den 5 April</t>
  </si>
  <si>
    <t>1774-04-15</t>
  </si>
  <si>
    <t>Vekeris dek 14 April</t>
  </si>
  <si>
    <t>NL-HaNA_3829_0199-page-397-col-1-tr-0-line-0</t>
  </si>
  <si>
    <t>Fous den 14 April</t>
  </si>
  <si>
    <t>Lana den 18, April</t>
  </si>
  <si>
    <t>1779-09-06</t>
  </si>
  <si>
    <t>Lune den 6 September</t>
  </si>
  <si>
    <t>NL-HaNA_3834_0454-page-907-col-1-tr-0-line-30</t>
  </si>
  <si>
    <t>Veneris den 3 September</t>
  </si>
  <si>
    <t>1744-03-04</t>
  </si>
  <si>
    <t>Martis den 3 Maart</t>
  </si>
  <si>
    <t>Jovis den s Maart</t>
  </si>
  <si>
    <t>1710-01-15</t>
  </si>
  <si>
    <t>Mercuri den 15. Januarii</t>
  </si>
  <si>
    <t>NL-HaNA_3765_0053-page-105-col-0-tr-1-line-0</t>
  </si>
  <si>
    <t>Martis den 14. Januari</t>
  </si>
  <si>
    <t>Jovis den 16. Januari</t>
  </si>
  <si>
    <t>1722-11-08</t>
  </si>
  <si>
    <t>1760-01-04</t>
  </si>
  <si>
    <t>Veneris den 4 January</t>
  </si>
  <si>
    <t>NL-HaNA_3815_0094-page-186-col-1-tr-2-line-0</t>
  </si>
  <si>
    <t>Jovis den 3 January</t>
  </si>
  <si>
    <t>Lune den 7 January</t>
  </si>
  <si>
    <t>1720-06-10</t>
  </si>
  <si>
    <t>Lune den 10. Juni</t>
  </si>
  <si>
    <t>NL-HaNA_3775_0248-page-494-col-0-tr-2-line-0</t>
  </si>
  <si>
    <t>Sabbathi den 8. Juni</t>
  </si>
  <si>
    <t>Martis den 1. Junit</t>
  </si>
  <si>
    <t>1726-12-01</t>
  </si>
  <si>
    <t>NL-HaNA_3781_0477-page-952-col-0-tr-2-line-0</t>
  </si>
  <si>
    <t>1781-05-23</t>
  </si>
  <si>
    <t>Mercutii den 23 Mey</t>
  </si>
  <si>
    <t>NL-HaNA_3836_0416-page-831-col-0-tr-2-line-0</t>
  </si>
  <si>
    <t>Martis den 22 Mey</t>
  </si>
  <si>
    <t>Voneris den 25 Mey</t>
  </si>
  <si>
    <t>1775-06-27</t>
  </si>
  <si>
    <t>Martis den 27 Jun</t>
  </si>
  <si>
    <t>NL-HaNA_3830_0298-page-594-col-1-tr-1-line-55</t>
  </si>
  <si>
    <t>Dininica den 25 Jany</t>
  </si>
  <si>
    <t>Mercurii don 28 Jany</t>
  </si>
  <si>
    <t>1766-03-22</t>
  </si>
  <si>
    <t>NL-HaNA_3821_0172-page-343-col-0-tr-1-line-17</t>
  </si>
  <si>
    <t>Lune dit 24 Mairt</t>
  </si>
  <si>
    <t>1707-03-14</t>
  </si>
  <si>
    <t xml:space="preserve">Luna den 1. Maert </t>
  </si>
  <si>
    <t>NL-HaNA_3762_0155-page-309-col-1-tr-2-line-6</t>
  </si>
  <si>
    <t>Sabbuthi den 12. Maer</t>
  </si>
  <si>
    <t>Martisden 15. Maert</t>
  </si>
  <si>
    <t>1769-12-17</t>
  </si>
  <si>
    <t>NL-HaNA_3824_0534-page-1066-col-1-tr-1-line-0</t>
  </si>
  <si>
    <t>Veneris den 15 December</t>
  </si>
  <si>
    <t>Lune den 18 December</t>
  </si>
  <si>
    <t>1781-04-10</t>
  </si>
  <si>
    <t>Martis den 10 April</t>
  </si>
  <si>
    <t>NL-HaNA_3836_0333-page-664-col-0-tr-1-line-0</t>
  </si>
  <si>
    <t>Luna den 9 April</t>
  </si>
  <si>
    <t>Mercurii den 11 Apri</t>
  </si>
  <si>
    <t>1767-11-03</t>
  </si>
  <si>
    <t>Martis den 3 November</t>
  </si>
  <si>
    <t>NL-HaNA_3822_0410-page-818-col-0-tr-1-line-0</t>
  </si>
  <si>
    <t>Dominica den November</t>
  </si>
  <si>
    <t>1768-11-18</t>
  </si>
  <si>
    <t xml:space="preserve"> ener Won 18 Nobember e</t>
  </si>
  <si>
    <t>NL-HaNA_3823_0391-page-781-col-0-tr-0-line-31</t>
  </si>
  <si>
    <t>Lune den 21 November</t>
  </si>
  <si>
    <t>1794-01-22</t>
  </si>
  <si>
    <t>NL-HaNA_3860_0031-page-60-col-1-tr-1-line-2</t>
  </si>
  <si>
    <t>Martis den 21 January</t>
  </si>
  <si>
    <t>Tovis den 8 January</t>
  </si>
  <si>
    <t>1710-12-04</t>
  </si>
  <si>
    <t>NL-HaNA_3765_0678-page-1355-col-1-tr-2-line-0</t>
  </si>
  <si>
    <t>Veneris den . December</t>
  </si>
  <si>
    <t>1707-11-03</t>
  </si>
  <si>
    <t>Fovis den 3. Novembe</t>
  </si>
  <si>
    <t>NL-HaNA_3762_0577-page-1153-col-0-tr-2-line-0</t>
  </si>
  <si>
    <t>Mercurii den 2. Novembe</t>
  </si>
  <si>
    <t>Veneris den 4 November</t>
  </si>
  <si>
    <t>1788-04-28</t>
  </si>
  <si>
    <t>Lune den 28 April</t>
  </si>
  <si>
    <t>NL-HaNA_3850_0200-page-398-col-1-tr-1-line-0</t>
  </si>
  <si>
    <t>Veneris den 25 April</t>
  </si>
  <si>
    <t>Martis den 29 April</t>
  </si>
  <si>
    <t>1726-10-09</t>
  </si>
  <si>
    <t>Mercurii den 9. Ofober</t>
  </si>
  <si>
    <t>NL-HaNA_3781_0403-page-805-col-1-tr-1-line-0</t>
  </si>
  <si>
    <t>Martis den 8, Oftobe</t>
  </si>
  <si>
    <t>Fovis den 10. Oftobe</t>
  </si>
  <si>
    <t>1751-11-22</t>
  </si>
  <si>
    <t>Lune den 22 Novemben</t>
  </si>
  <si>
    <t>NL-HaNA_3806_0412-page-823-col-1-tr-2-line-0</t>
  </si>
  <si>
    <t>Sabbatthi den 20 Novembe</t>
  </si>
  <si>
    <t>Martis den 23 November</t>
  </si>
  <si>
    <t>1750-06-15</t>
  </si>
  <si>
    <t>Lune den 15 Jans</t>
  </si>
  <si>
    <t>NL-HaNA_3805_0253-page-504-col-1-tr-0-line-0</t>
  </si>
  <si>
    <t>Martis den 16 Jans.</t>
  </si>
  <si>
    <t>1787-05-20</t>
  </si>
  <si>
    <t>NL-HaNA_3848_0370-page-739-col-0-tr-2-line-0</t>
  </si>
  <si>
    <t>Veneris den 15 Mey</t>
  </si>
  <si>
    <t>Lane den 21 Mey</t>
  </si>
  <si>
    <t>1731-01-28</t>
  </si>
  <si>
    <t>NL-HaNA_3786_0069-page-137-col-1-tr-1-line-0</t>
  </si>
  <si>
    <t>Lune den 29. Januarij</t>
  </si>
  <si>
    <t>1710-06-11</t>
  </si>
  <si>
    <t>Mercuri den 11. Junii</t>
  </si>
  <si>
    <t>NL-HaNA_3765_0354-page-706-col-0-tr-1-line-0</t>
  </si>
  <si>
    <t>Martis den 10. Juni</t>
  </si>
  <si>
    <t>Jovis den 12. Juni</t>
  </si>
  <si>
    <t>1745-09-11</t>
  </si>
  <si>
    <t>Sabbathi den 11 September</t>
  </si>
  <si>
    <t>NL-HaNA_3800_0384-page-767-col-0-tr-1-line-0</t>
  </si>
  <si>
    <t>Veneris den 10 September</t>
  </si>
  <si>
    <t>Luna den 13 September</t>
  </si>
  <si>
    <t>1762-12-22</t>
  </si>
  <si>
    <t>Mercarii den 22 December</t>
  </si>
  <si>
    <t>NL-HaNA_3817_0516-page-1030-col-0-tr-2-line-0</t>
  </si>
  <si>
    <t>Martis den 21 Decembes</t>
  </si>
  <si>
    <t>Jovis den 23. Deeembe</t>
  </si>
  <si>
    <t>1738-10-05</t>
  </si>
  <si>
    <t>NL-HaNA_3793_0323-page-644-col-1-tr-2-line-0</t>
  </si>
  <si>
    <t>Sabbathi den 4 October</t>
  </si>
  <si>
    <t>Lune den 6. October</t>
  </si>
  <si>
    <t>1710-05-09</t>
  </si>
  <si>
    <t>Veneris den 9. Me</t>
  </si>
  <si>
    <t>NL-HaNA_3765_0291-page-581-col-0-tr-1-line-0</t>
  </si>
  <si>
    <t>Jovis den 8. Me</t>
  </si>
  <si>
    <t>Sabbathi den 10. Me</t>
  </si>
  <si>
    <t>1716-03-18</t>
  </si>
  <si>
    <t>Mercurii den 18. Maer</t>
  </si>
  <si>
    <t>NL-HaNA_3771_0134-page-267-col-0-tr-1-line-0</t>
  </si>
  <si>
    <t>Martis den 17. Maer</t>
  </si>
  <si>
    <t>Tovis den 109. Mae</t>
  </si>
  <si>
    <t>1765-11-13</t>
  </si>
  <si>
    <t>Mercuri den 13 November</t>
  </si>
  <si>
    <t>NL-HaNA_3820_0419-page-836-col-0-tr-1-line-0</t>
  </si>
  <si>
    <t>Martis den 12 November</t>
  </si>
  <si>
    <t>1753-08-03</t>
  </si>
  <si>
    <t>Veneris den 3 AuguWy</t>
  </si>
  <si>
    <t>NL-HaNA_3808_0325-page-649-col-0-tr-4-line-0</t>
  </si>
  <si>
    <t>Jovis den 2 Augufij</t>
  </si>
  <si>
    <t>1718-08-31</t>
  </si>
  <si>
    <t>Mercuris den 31. Aaguft</t>
  </si>
  <si>
    <t>NL-HaNA_3773_0414-page-826-col-1-tr-2-line-0</t>
  </si>
  <si>
    <t>Martis den 30. August</t>
  </si>
  <si>
    <t>Jovis den 1. Septembe</t>
  </si>
  <si>
    <t>1770-01-31</t>
  </si>
  <si>
    <t>Mercurii den 31 January</t>
  </si>
  <si>
    <t>NL-HaNA_3825_0128-page-254-col-1-tr-0-line-0</t>
  </si>
  <si>
    <t>Martis den 30 January</t>
  </si>
  <si>
    <t>Jovis dem 1 Febraary</t>
  </si>
  <si>
    <t>1721-01-11</t>
  </si>
  <si>
    <t>Sabbathi den 11. Januari</t>
  </si>
  <si>
    <t>NL-HaNA_3776_0059-page-117-col-1-tr-2-line-0</t>
  </si>
  <si>
    <t>Lune den 13. Januarij</t>
  </si>
  <si>
    <t>1780-01-13</t>
  </si>
  <si>
    <t>Jovis den 13 January</t>
  </si>
  <si>
    <t>NL-HaNA_3835_0121-page-240-col-1-tr-1-line-0</t>
  </si>
  <si>
    <t>Mercurii den 12 January</t>
  </si>
  <si>
    <t>Veneris den 14 January</t>
  </si>
  <si>
    <t>1729-11-08</t>
  </si>
  <si>
    <t>Martis den 8. Novembe</t>
  </si>
  <si>
    <t>NL-HaNA_3784_0397-page-792-col-1-tr-1-line-0</t>
  </si>
  <si>
    <t>Lune den 7. November</t>
  </si>
  <si>
    <t>Mercunni den, 9; Novemb</t>
  </si>
  <si>
    <t>1720-07-25</t>
  </si>
  <si>
    <t>Jovis den 25. Jul</t>
  </si>
  <si>
    <t>NL-HaNA_3775_0311-page-620-col-0-tr-2-line-0</t>
  </si>
  <si>
    <t>Veneris den 26. Jul</t>
  </si>
  <si>
    <t>1731-01-11</t>
  </si>
  <si>
    <t>Jovis den 11, Januari</t>
  </si>
  <si>
    <t>NL-HaNA_3786_0051-page-101-col-0-tr-2-line-0</t>
  </si>
  <si>
    <t>Mercuri den 10, Januarii</t>
  </si>
  <si>
    <t>Vencris den 12. Januari</t>
  </si>
  <si>
    <t>1748-04-29</t>
  </si>
  <si>
    <t>Luna den 29 April</t>
  </si>
  <si>
    <t>NL-HaNA_3803_0221-page-440-col-0-tr-1-line-0</t>
  </si>
  <si>
    <t>Sabbathi den 27 April</t>
  </si>
  <si>
    <t>Martis den 30 April</t>
  </si>
  <si>
    <t>1727-12-01</t>
  </si>
  <si>
    <t>Lune den 1. December</t>
  </si>
  <si>
    <t>NL-HaNA_3782_0478-page-954-col-1-tr-2-line-0</t>
  </si>
  <si>
    <t>Sabbathi den 29. Novembe</t>
  </si>
  <si>
    <t>Martis den 2, Decembe</t>
  </si>
  <si>
    <t>1767-03-29</t>
  </si>
  <si>
    <t>NL-HaNA_3822_0162-page-322-col-0-tr-1-line-0</t>
  </si>
  <si>
    <t>Veneris den 27 Maart</t>
  </si>
  <si>
    <t>Lune den 30 Maart</t>
  </si>
  <si>
    <t>1782-11-24</t>
  </si>
  <si>
    <t>NL-HaNA_3839_0242-page-482-col-1-tr-2-line-0</t>
  </si>
  <si>
    <t>Veneris den 22 November</t>
  </si>
  <si>
    <t>Luue den 25 November</t>
  </si>
  <si>
    <t>1758-04-01</t>
  </si>
  <si>
    <t>NL-HaNA_3813_0187-page-373-col-1-tr-4-line-0</t>
  </si>
  <si>
    <t>Veneris den 31 Maart</t>
  </si>
  <si>
    <t>Lane den 3 äpril.</t>
  </si>
  <si>
    <t>1734-08-22</t>
  </si>
  <si>
    <t>NL-HaNA_3789_0258-page-515-col-0-tr-0-line-0</t>
  </si>
  <si>
    <t>Sabbathi den 21. Augusl</t>
  </si>
  <si>
    <t>Lane den 23, Aaguftt</t>
  </si>
  <si>
    <t>1720-08-22</t>
  </si>
  <si>
    <t>Veneris den 23. August</t>
  </si>
  <si>
    <t>1788-07-15</t>
  </si>
  <si>
    <t>Martis den 15 July</t>
  </si>
  <si>
    <t>NL-HaNA_3851_0025-page-49-col-1-tr-2-line-0</t>
  </si>
  <si>
    <t>1707-03-07</t>
  </si>
  <si>
    <t>Luna den 7. Maert</t>
  </si>
  <si>
    <t>NL-HaNA_3762_0142-page-283-col-0-tr-2-line-0</t>
  </si>
  <si>
    <t>Sabbatbi den 5. Maer</t>
  </si>
  <si>
    <t>Martis den 8. Maer</t>
  </si>
  <si>
    <t>1705-03-13</t>
  </si>
  <si>
    <t>Weneris den 13. Maer</t>
  </si>
  <si>
    <t>NL-HaNA_3760_0179-page-356-col-0-tr-0-line-24</t>
  </si>
  <si>
    <t>Fovisden 12. Maert</t>
  </si>
  <si>
    <t>Sabbatht den 14. Maer</t>
  </si>
  <si>
    <t>1739-02-14</t>
  </si>
  <si>
    <t>Sabbathi den 14 February</t>
  </si>
  <si>
    <t>NL-HaNA_3794_0089-page-177-col-1-tr-1-line-0</t>
  </si>
  <si>
    <t>Veneris den 13 Februars</t>
  </si>
  <si>
    <t>Lune den 16 February</t>
  </si>
  <si>
    <t>1736-10-11</t>
  </si>
  <si>
    <t>Jovis den rt. Octobe</t>
  </si>
  <si>
    <t>NL-HaNA_3791_0338-page-674-col-1-tr-1-line-0</t>
  </si>
  <si>
    <t>Mercurii den 10. Octobe</t>
  </si>
  <si>
    <t>Veneris den 12. Oftobe</t>
  </si>
  <si>
    <t>1737-11-14</t>
  </si>
  <si>
    <t>NL-HaNA_3792_0313-page-624-col-1-tr-1-line-0</t>
  </si>
  <si>
    <t>Veneris den 15 November</t>
  </si>
  <si>
    <t>1761-06-09</t>
  </si>
  <si>
    <t>Martis den o Jany</t>
  </si>
  <si>
    <t>NL-HaNA_3816_0281-page-561-col-1-tr-1-line-0</t>
  </si>
  <si>
    <t>Lune den 3 JFuny</t>
  </si>
  <si>
    <t>1734-02-25</t>
  </si>
  <si>
    <t>Jovis den 25. Februari</t>
  </si>
  <si>
    <t>NL-HaNA_3789_0088-page-174-col-1-tr-1-line-0</t>
  </si>
  <si>
    <t>Mercuri den 24, Februarii</t>
  </si>
  <si>
    <t>Veneris den 26. Februari</t>
  </si>
  <si>
    <t>1770-12-18</t>
  </si>
  <si>
    <t>Martis den 18 December</t>
  </si>
  <si>
    <t>NL-HaNA_3825_0536-page-1070-col-0-tr-2-line-0</t>
  </si>
  <si>
    <t>Lune den 17 December</t>
  </si>
  <si>
    <t>1742-05-20</t>
  </si>
  <si>
    <t>NL-HaNA_3797_0217-page-432-col-0-tr-2-line-0</t>
  </si>
  <si>
    <t>Sabbatht den 19 Mey</t>
  </si>
  <si>
    <t>Lune den 21 Mey</t>
  </si>
  <si>
    <t>1738-10-23</t>
  </si>
  <si>
    <t>Mercurii den 22. Octobe</t>
  </si>
  <si>
    <t>Veneris den 24. Octobe</t>
  </si>
  <si>
    <t>1737-02-10</t>
  </si>
  <si>
    <t>NL-HaNA_3792_0040-page-78-col-0-tr-1-line-0</t>
  </si>
  <si>
    <t>Luna den 11. February</t>
  </si>
  <si>
    <t>1786-01-14</t>
  </si>
  <si>
    <t>NL-HaNA_3846_0159-page-316-col-1-tr-3-line-0</t>
  </si>
  <si>
    <t>Lune den 16 January</t>
  </si>
  <si>
    <t>1707-11-10</t>
  </si>
  <si>
    <t>Jovis den 10. Novembe</t>
  </si>
  <si>
    <t>NL-HaNA_3762_0589-page-1177-col-0-tr-1-line-0</t>
  </si>
  <si>
    <t>Mercurii den 9. Novembe</t>
  </si>
  <si>
    <t>Veneris den 11. Novembe</t>
  </si>
  <si>
    <t>1786-04-16</t>
  </si>
  <si>
    <t>NL-HaNA_3846_0340-page-679-col-1-tr-2-line-0</t>
  </si>
  <si>
    <t>Veneris den 14 April</t>
  </si>
  <si>
    <t>Martis den 18 April</t>
  </si>
  <si>
    <t>1709-05-31</t>
  </si>
  <si>
    <t>Veneris den 31. Me</t>
  </si>
  <si>
    <t>NL-HaNA_3764_0316-page-631-col-0-tr-1-line-0</t>
  </si>
  <si>
    <t>Jovis den 30. Me</t>
  </si>
  <si>
    <t>Sabbathi den 1. Juni</t>
  </si>
  <si>
    <t>1784-06-21</t>
  </si>
  <si>
    <t>Lune den 21 Jany</t>
  </si>
  <si>
    <t>NL-HaNA_3842_0389-page-777-col-0-tr-0-line-0</t>
  </si>
  <si>
    <t>Veueris den 18 Jany</t>
  </si>
  <si>
    <t>Martis den 22 Juny</t>
  </si>
  <si>
    <t>1737-01-07</t>
  </si>
  <si>
    <t>Lune den 7. January</t>
  </si>
  <si>
    <t>NL-HaNA_3792_0010-page-18-col-0-tr-3-line-0</t>
  </si>
  <si>
    <t>Sabbathi den 5. lanuary</t>
  </si>
  <si>
    <t>Martis den 8. January</t>
  </si>
  <si>
    <t>1783-01-08</t>
  </si>
  <si>
    <t>Mercurii den $ January</t>
  </si>
  <si>
    <t>NL-HaNA_3840_0012-page-22-col-1-tr-1-line-0</t>
  </si>
  <si>
    <t>Jovis den 9 January</t>
  </si>
  <si>
    <t>1778-08-28</t>
  </si>
  <si>
    <t>Veneris den 28 Auzufty</t>
  </si>
  <si>
    <t>NL-HaNA_3833_0414-page-827-col-0-tr-1-line-0</t>
  </si>
  <si>
    <t>Lana den 31 Auguliy</t>
  </si>
  <si>
    <t>1735-10-20</t>
  </si>
  <si>
    <t>Jovis. den 20, Octob</t>
  </si>
  <si>
    <t>NL-HaNA_3790_0344-page-686-col-1-tr-1-line-0</t>
  </si>
  <si>
    <t>Veneris den 21, Oftobe</t>
  </si>
  <si>
    <t>1764-08-25</t>
  </si>
  <si>
    <t>NL-HaNA_3819_0360-page-719-col-1-tr-0-line-52</t>
  </si>
  <si>
    <t>Veneris den 24 Augufty</t>
  </si>
  <si>
    <t>1722-12-20</t>
  </si>
  <si>
    <t>1773-08-23</t>
  </si>
  <si>
    <t>Lune den 23 Angusty</t>
  </si>
  <si>
    <t>NL-HaNA_3828_0351-page-701-col-1-tr-1-line-0</t>
  </si>
  <si>
    <t>Martis den 24 Augufty</t>
  </si>
  <si>
    <t>1776-12-24</t>
  </si>
  <si>
    <t>Lune den 23 December</t>
  </si>
  <si>
    <t>Veneris den 27 December</t>
  </si>
  <si>
    <t>1784-01-13</t>
  </si>
  <si>
    <t>Mariis den 13 Jánvary</t>
  </si>
  <si>
    <t>NL-HaNA_3842_0136-page-271-col-1-tr-2-line-0</t>
  </si>
  <si>
    <t>Luue den 12 January</t>
  </si>
  <si>
    <t>Mereurii den 14 January</t>
  </si>
  <si>
    <t>1779-12-25</t>
  </si>
  <si>
    <t>NL-HaNA_3834_0597-page-1192-col-0-tr-2-line-0</t>
  </si>
  <si>
    <t>Veneris den 24 December</t>
  </si>
  <si>
    <t>Lune den 27 December</t>
  </si>
  <si>
    <t>1718-01-19</t>
  </si>
  <si>
    <t>Mercurii den 19. Jannari</t>
  </si>
  <si>
    <t>NL-HaNA_3773_0064-page-126-col-0-tr-1-line-0</t>
  </si>
  <si>
    <t>Martis den 18. Januari</t>
  </si>
  <si>
    <t>1708-03-09</t>
  </si>
  <si>
    <t>Veneris den 9. Maer</t>
  </si>
  <si>
    <t>NL-HaNA_3763_0130-page-259-col-1-tr-2-line-0</t>
  </si>
  <si>
    <t>Jovis den 8. Maer</t>
  </si>
  <si>
    <t>Sabbathi den to. Maer</t>
  </si>
  <si>
    <t>1766-05-31</t>
  </si>
  <si>
    <t>NL-HaNA_3821_0243-page-485-col-0-tr-0-line-0</t>
  </si>
  <si>
    <t>Veneris den 30 Mey</t>
  </si>
  <si>
    <t>Lune den 2 Jany</t>
  </si>
  <si>
    <t>1726-07-22</t>
  </si>
  <si>
    <t>Lune den 22. Juli</t>
  </si>
  <si>
    <t>NL-HaNA_3781_0306-page-610-col-1-tr-1-line-0</t>
  </si>
  <si>
    <t>Sabbathi den 20. Jul</t>
  </si>
  <si>
    <t>Martis den 23. Jul</t>
  </si>
  <si>
    <t>1719-08-30</t>
  </si>
  <si>
    <t>Mercurii den 30. August</t>
  </si>
  <si>
    <t>NL-HaNA_3774_0384-page-767-col-1-tr-2-line-0</t>
  </si>
  <si>
    <t>Martis den 29. August</t>
  </si>
  <si>
    <t>Jovis den 31. August</t>
  </si>
  <si>
    <t>1731-01-19</t>
  </si>
  <si>
    <t>Veneris den 19. Januari</t>
  </si>
  <si>
    <t>NL-HaNA_3786_0059-page-117-col-0-tr-1-line-0</t>
  </si>
  <si>
    <t>Jovis den 18. Januari</t>
  </si>
  <si>
    <t>Sabbathi den 20. Fauuari</t>
  </si>
  <si>
    <t>1760-12-11</t>
  </si>
  <si>
    <t>Jovis den 11 December</t>
  </si>
  <si>
    <t>NL-HaNA_3815_0512-page-1023-col-0-tr-1-line-51</t>
  </si>
  <si>
    <t>Mercurii den 10 December</t>
  </si>
  <si>
    <t>Veneris den 12 December</t>
  </si>
  <si>
    <t>1722-12-21</t>
  </si>
  <si>
    <t>1722-01-23</t>
  </si>
  <si>
    <t>Veneris den 23. Januari</t>
  </si>
  <si>
    <t>NL-HaNA_3777_0072-page-143-col-1-tr-2-line-0</t>
  </si>
  <si>
    <t>Jovis den 22. Januari</t>
  </si>
  <si>
    <t>Sabbathi den 24. Jannari</t>
  </si>
  <si>
    <t>1766-08-17</t>
  </si>
  <si>
    <t>NL-HaNA_3821_0323-page-644-col-1-tr-0-line-45</t>
  </si>
  <si>
    <t>1768-06-03</t>
  </si>
  <si>
    <t>NL-HaNA_3823_0238-page-474-col-1-tr-4-line-0</t>
  </si>
  <si>
    <t>Jovis den 2 Juny</t>
  </si>
  <si>
    <t>Lune den 6 Jany</t>
  </si>
  <si>
    <t>1741-12-04</t>
  </si>
  <si>
    <t>Lune den 4 December</t>
  </si>
  <si>
    <t>NL-HaNA_3796_0456-page-910-col-0-tr-1-line-0</t>
  </si>
  <si>
    <t>Sabbathi den 2 December</t>
  </si>
  <si>
    <t>Martis den s December</t>
  </si>
  <si>
    <t>1721-04-29</t>
  </si>
  <si>
    <t>Martis den 29. Apri</t>
  </si>
  <si>
    <t>NL-HaNA_3776_0193-page-385-col-1-tr-2-line-0</t>
  </si>
  <si>
    <t>Mercurii den 30. Apri</t>
  </si>
  <si>
    <t>1745-02-17</t>
  </si>
  <si>
    <t>Mercurii den 17 February</t>
  </si>
  <si>
    <t>NL-HaNA_3800_0118-page-235-col-0-tr-2-line-0</t>
  </si>
  <si>
    <t>Martis den 16 February</t>
  </si>
  <si>
    <t>Jovis den 18 Hebraary</t>
  </si>
  <si>
    <t>1786-10-06</t>
  </si>
  <si>
    <t>Veneris den 6 Oftober</t>
  </si>
  <si>
    <t>NL-HaNA_3847_0162-page-323-col-0-tr-1-line-0</t>
  </si>
  <si>
    <t>Jovis den 5 Odtober</t>
  </si>
  <si>
    <t>Lune den vo Oftober</t>
  </si>
  <si>
    <t>1732-12-22</t>
  </si>
  <si>
    <t>Lune den 22. Deecmber</t>
  </si>
  <si>
    <t>NL-HaNA_3787_0405-page-808-col-1-tr-1-line-0</t>
  </si>
  <si>
    <t>Sabbathi den 20. Decembe</t>
  </si>
  <si>
    <t>1793-10-12</t>
  </si>
  <si>
    <t>NL-HaNA_3859_0145-page-289-col-0-tr-2-line-0</t>
  </si>
  <si>
    <t>Veneris den 11 Oftober</t>
  </si>
  <si>
    <t>Lune den 14 Oêobers</t>
  </si>
  <si>
    <t>1768-05-08</t>
  </si>
  <si>
    <t>NL-HaNA_3823_0212-page-423-col-1-tr-1-line-0</t>
  </si>
  <si>
    <t>Lune den 9 Mey</t>
  </si>
  <si>
    <t>1707-09-13</t>
  </si>
  <si>
    <t>Martis den 13. Septembe</t>
  </si>
  <si>
    <t>NL-HaNA_3762_0484-page-967-col-1-tr-2-line-0</t>
  </si>
  <si>
    <t xml:space="preserve">Lun den 12. September </t>
  </si>
  <si>
    <t>Mercurii den 14. Septembe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</si>
</sst>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97"/>
  <sheetViews>
    <sheetView workbookViewId="0">
      <selection activeCell="A1" sqref="A1"/>
    </sheetView>
  </sheetViews>
  <sheetFormatPr baseColWidth="8" defaultRowHeight="15"/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>
      <c r="A2" t="s">
        <v>26</v>
      </c>
      <c r="B2" t="s">
        <v>27</v>
      </c>
      <c r="D2" t="b">
        <v>0</v>
      </c>
      <c r="E2" t="b">
        <v>0</v>
      </c>
      <c r="I2" t="s">
        <v>28</v>
      </c>
      <c r="J2" t="n">
        <v>3817</v>
      </c>
      <c r="K2" t="n">
        <v>420</v>
      </c>
      <c r="L2" t="n">
        <v>839</v>
      </c>
      <c r="M2" t="n">
        <v>0</v>
      </c>
      <c r="N2" t="n">
        <v>2</v>
      </c>
      <c r="O2" t="n">
        <v>0</v>
      </c>
      <c r="P2" t="s">
        <v>29</v>
      </c>
      <c r="Q2">
        <f>HYPERLINK("https://images.diginfra.net/framed3.html?imagesetuuid=c13c7ed6-75ba-4433-9b44-0db683995fb3&amp;uri=https://images.diginfra.net/iiif/NL-HaNA_1.01.02/3817/NL-HaNA_1.01.02_3817_0420.jpg", "viewer_url")</f>
        <v/>
      </c>
      <c r="R2">
        <f>HYPERLINK("https://images.diginfra.net/iiif/NL-HaNA_1.01.02/3817/NL-HaNA_1.01.02_3817_0420.jpg/2348,1426,1094,2027/full/0/default.jpg", "iiif_url")</f>
        <v/>
      </c>
      <c r="S2" t="s">
        <v>29</v>
      </c>
      <c r="T2" t="s">
        <v>30</v>
      </c>
      <c r="U2">
        <f>HYPERLINK("https://images.diginfra.net/framed3.html?imagesetuuid=c13c7ed6-75ba-4433-9b44-0db683995fb3&amp;uri=https://images.diginfra.net/iiif/NL-HaNA_1.01.02/3817/NL-HaNA_1.01.02_3817_0416.jpg", "prev_meeting_viewer_url")</f>
        <v/>
      </c>
      <c r="V2">
        <f>HYPERLINK("https://images.diginfra.net/iiif/NL-HaNA_1.01.02/3817/NL-HaNA_1.01.02_3817_0416.jpg/2374,1129,1116,2269/full/0/default.jpg", "prev_meeting_iiif_url")</f>
        <v/>
      </c>
      <c r="W2" t="s">
        <v>29</v>
      </c>
      <c r="X2" t="s">
        <v>31</v>
      </c>
      <c r="Y2">
        <f>HYPERLINK("https://images.diginfra.net/framed3.html?imagesetuuid=c13c7ed6-75ba-4433-9b44-0db683995fb3&amp;uri=https://images.diginfra.net/iiif/NL-HaNA_1.01.02/3817/NL-HaNA_1.01.02_3817_0420.jpg", "next_meeting_viewer_url")</f>
        <v/>
      </c>
      <c r="Z2">
        <f>HYPERLINK("https://images.diginfra.net/iiif/NL-HaNA_1.01.02/3817/NL-HaNA_1.01.02_3817_0420.jpg/2348,1426,1094,2027/full/0/default.jpg", "next_meeting_iiif_url")</f>
        <v/>
      </c>
    </row>
    <row r="3" spans="1:26">
      <c r="A3" t="s">
        <v>32</v>
      </c>
      <c r="B3" t="s">
        <v>27</v>
      </c>
      <c r="D3" t="b">
        <v>1</v>
      </c>
      <c r="E3" t="b">
        <v>0</v>
      </c>
      <c r="Q3">
        <f>HYPERLINK("None", "viewer_url")</f>
        <v/>
      </c>
      <c r="R3">
        <f>HYPERLINK("None", "iiif_url")</f>
        <v/>
      </c>
      <c r="S3" t="s">
        <v>33</v>
      </c>
      <c r="T3" t="s">
        <v>34</v>
      </c>
      <c r="U3">
        <f>HYPERLINK("https://images.diginfra.net/framed3.html?imagesetuuid=507d79a4-2a42-4e84-afa5-a9ccb1e544fe&amp;uri=https://images.diginfra.net/iiif/NL-HaNA_1.01.02/3792/NL-HaNA_1.01.02_3792_0303.jpg", "prev_meeting_viewer_url")</f>
        <v/>
      </c>
      <c r="V3">
        <f>HYPERLINK("https://images.diginfra.net/iiif/NL-HaNA_1.01.02/3792/NL-HaNA_1.01.02_3792_0303.jpg/1242,2722,1041,740/full/0/default.jpg", "prev_meeting_iiif_url")</f>
        <v/>
      </c>
      <c r="W3" t="s">
        <v>29</v>
      </c>
      <c r="X3" t="s">
        <v>35</v>
      </c>
      <c r="Y3">
        <f>HYPERLINK("https://images.diginfra.net/framed3.html?imagesetuuid=507d79a4-2a42-4e84-afa5-a9ccb1e544fe&amp;uri=https://images.diginfra.net/iiif/NL-HaNA_1.01.02/3792/NL-HaNA_1.01.02_3792_0306.jpg", "next_meeting_viewer_url")</f>
        <v/>
      </c>
      <c r="Z3">
        <f>HYPERLINK("https://images.diginfra.net/iiif/NL-HaNA_1.01.02/3792/NL-HaNA_1.01.02_3792_0306.jpg/2598,2687,1039,772/full/0/default.jpg", "next_meeting_iiif_url")</f>
        <v/>
      </c>
    </row>
    <row r="4" spans="1:26">
      <c r="A4" t="s">
        <v>36</v>
      </c>
      <c r="B4" t="s">
        <v>37</v>
      </c>
      <c r="C4" t="s">
        <v>38</v>
      </c>
      <c r="D4" t="b">
        <v>1</v>
      </c>
      <c r="E4" t="b">
        <v>1</v>
      </c>
      <c r="I4" t="s">
        <v>39</v>
      </c>
      <c r="J4" t="n">
        <v>3774</v>
      </c>
      <c r="K4" t="n">
        <v>202</v>
      </c>
      <c r="L4" t="n">
        <v>403</v>
      </c>
      <c r="M4" t="n">
        <v>0</v>
      </c>
      <c r="N4" t="n">
        <v>1</v>
      </c>
      <c r="O4" t="n">
        <v>0</v>
      </c>
      <c r="P4" t="s">
        <v>29</v>
      </c>
      <c r="Q4">
        <f>HYPERLINK("https://images.diginfra.net/framed3.html?imagesetuuid=a94d24a1-7932-4b81-a3e6-04161d471ec1&amp;uri=https://images.diginfra.net/iiif/NL-HaNA_1.01.02/3774/NL-HaNA_1.01.02_3774_0202.jpg", "viewer_url")</f>
        <v/>
      </c>
      <c r="R4">
        <f>HYPERLINK("https://images.diginfra.net/iiif/NL-HaNA_1.01.02/3774/NL-HaNA_1.01.02_3774_0202.jpg/2398,2161,1027,1272/full/0/default.jpg", "iiif_url")</f>
        <v/>
      </c>
      <c r="W4" t="s">
        <v>29</v>
      </c>
      <c r="X4" t="s">
        <v>40</v>
      </c>
      <c r="Y4">
        <f>HYPERLINK("https://images.diginfra.net/framed3.html?imagesetuuid=a94d24a1-7932-4b81-a3e6-04161d471ec1&amp;uri=https://images.diginfra.net/iiif/NL-HaNA_1.01.02/3774/NL-HaNA_1.01.02_3774_0203.jpg", "next_meeting_viewer_url")</f>
        <v/>
      </c>
      <c r="Z4">
        <f>HYPERLINK("https://images.diginfra.net/iiif/NL-HaNA_1.01.02/3774/NL-HaNA_1.01.02_3774_0203.jpg/3347,313,1132,3146/full/0/default.jpg", "next_meeting_iiif_url")</f>
        <v/>
      </c>
    </row>
    <row r="5" spans="1:26">
      <c r="A5" t="s">
        <v>41</v>
      </c>
      <c r="B5" t="s">
        <v>42</v>
      </c>
      <c r="C5" t="s">
        <v>43</v>
      </c>
      <c r="D5" t="b">
        <v>1</v>
      </c>
      <c r="E5" t="b">
        <v>1</v>
      </c>
      <c r="I5" t="s">
        <v>44</v>
      </c>
      <c r="J5" t="n">
        <v>3836</v>
      </c>
      <c r="K5" t="n">
        <v>251</v>
      </c>
      <c r="L5" t="n">
        <v>500</v>
      </c>
      <c r="M5" t="n">
        <v>1</v>
      </c>
      <c r="N5" t="n">
        <v>1</v>
      </c>
      <c r="O5" t="n">
        <v>0</v>
      </c>
      <c r="P5" t="s">
        <v>29</v>
      </c>
      <c r="Q5">
        <f>HYPERLINK("https://images.diginfra.net/framed3.html?imagesetuuid=4afc9a09-602a-4496-bef5-1ae8940042a8&amp;uri=https://images.diginfra.net/iiif/NL-HaNA_1.01.02/3836/NL-HaNA_1.01.02_3836_0251.jpg", "viewer_url")</f>
        <v/>
      </c>
      <c r="R5">
        <f>HYPERLINK("https://images.diginfra.net/iiif/NL-HaNA_1.01.02/3836/NL-HaNA_1.01.02_3836_0251.jpg/1157,1040,1083,2356/full/0/default.jpg", "iiif_url")</f>
        <v/>
      </c>
      <c r="S5" t="s">
        <v>29</v>
      </c>
      <c r="T5" t="s">
        <v>45</v>
      </c>
      <c r="U5">
        <f>HYPERLINK("https://images.diginfra.net/framed3.html?imagesetuuid=4afc9a09-602a-4496-bef5-1ae8940042a8&amp;uri=https://images.diginfra.net/iiif/NL-HaNA_1.01.02/3836/NL-HaNA_1.01.02_3836_0248.jpg", "prev_meeting_viewer_url")</f>
        <v/>
      </c>
      <c r="V5">
        <f>HYPERLINK("https://images.diginfra.net/iiif/NL-HaNA_1.01.02/3836/NL-HaNA_1.01.02_3836_0248.jpg/1276,2957,846,313/full/0/default.jpg", "prev_meeting_iiif_url")</f>
        <v/>
      </c>
      <c r="W5" t="s">
        <v>29</v>
      </c>
      <c r="X5" t="s">
        <v>46</v>
      </c>
      <c r="Y5">
        <f>HYPERLINK("https://images.diginfra.net/framed3.html?imagesetuuid=4afc9a09-602a-4496-bef5-1ae8940042a8&amp;uri=https://images.diginfra.net/iiif/NL-HaNA_1.01.02/3836/NL-HaNA_1.01.02_3836_0256.jpg", "next_meeting_viewer_url")</f>
        <v/>
      </c>
      <c r="Z5">
        <f>HYPERLINK("https://images.diginfra.net/iiif/NL-HaNA_1.01.02/3836/NL-HaNA_1.01.02_3836_0256.jpg/1172,1125,1101,2204/full/0/default.jpg", "next_meeting_iiif_url")</f>
        <v/>
      </c>
    </row>
    <row r="6" spans="1:26">
      <c r="A6" t="s">
        <v>47</v>
      </c>
      <c r="B6" t="s">
        <v>48</v>
      </c>
      <c r="D6" t="b">
        <v>0</v>
      </c>
      <c r="E6" t="b">
        <v>0</v>
      </c>
      <c r="I6" t="s">
        <v>49</v>
      </c>
      <c r="J6" t="n">
        <v>3804</v>
      </c>
      <c r="K6" t="n">
        <v>380</v>
      </c>
      <c r="L6" t="n">
        <v>758</v>
      </c>
      <c r="M6" t="n">
        <v>1</v>
      </c>
      <c r="N6" t="n">
        <v>2</v>
      </c>
      <c r="O6" t="n">
        <v>0</v>
      </c>
      <c r="P6" t="s">
        <v>29</v>
      </c>
      <c r="Q6">
        <f>HYPERLINK("https://images.diginfra.net/framed3.html?imagesetuuid=278358e3-85df-45df-a4c3-0043ae8e62fa&amp;uri=https://images.diginfra.net/iiif/NL-HaNA_1.01.02/3804/NL-HaNA_1.01.02_3804_0380.jpg", "viewer_url")</f>
        <v/>
      </c>
      <c r="R6">
        <f>HYPERLINK("https://images.diginfra.net/iiif/NL-HaNA_1.01.02/3804/NL-HaNA_1.01.02_3804_0380.jpg/1234,2358,1063,982/full/0/default.jpg", "iiif_url")</f>
        <v/>
      </c>
      <c r="S6" t="s">
        <v>29</v>
      </c>
      <c r="T6" t="s">
        <v>50</v>
      </c>
      <c r="U6">
        <f>HYPERLINK("https://images.diginfra.net/framed3.html?imagesetuuid=278358e3-85df-45df-a4c3-0043ae8e62fa&amp;uri=https://images.diginfra.net/iiif/NL-HaNA_1.01.02/3804/NL-HaNA_1.01.02_3804_0379.jpg", "prev_meeting_viewer_url")</f>
        <v/>
      </c>
      <c r="V6">
        <f>HYPERLINK("https://images.diginfra.net/iiif/NL-HaNA_1.01.02/3804/NL-HaNA_1.01.02_3804_0379.jpg/2428,2586,1054,745/full/0/default.jpg", "prev_meeting_iiif_url")</f>
        <v/>
      </c>
      <c r="W6" t="s">
        <v>29</v>
      </c>
      <c r="X6" t="s">
        <v>51</v>
      </c>
      <c r="Y6">
        <f>HYPERLINK("https://images.diginfra.net/framed3.html?imagesetuuid=278358e3-85df-45df-a4c3-0043ae8e62fa&amp;uri=https://images.diginfra.net/iiif/NL-HaNA_1.01.02/3804/NL-HaNA_1.01.02_3804_0380.jpg", "next_meeting_viewer_url")</f>
        <v/>
      </c>
      <c r="Z6">
        <f>HYPERLINK("https://images.diginfra.net/iiif/NL-HaNA_1.01.02/3804/NL-HaNA_1.01.02_3804_0380.jpg/1234,2358,1063,982/full/0/default.jpg", "next_meeting_iiif_url")</f>
        <v/>
      </c>
    </row>
    <row r="7" spans="1:26">
      <c r="A7" t="s">
        <v>52</v>
      </c>
      <c r="B7" t="s">
        <v>53</v>
      </c>
      <c r="C7" t="s">
        <v>54</v>
      </c>
      <c r="D7" t="b">
        <v>1</v>
      </c>
      <c r="E7" t="b">
        <v>1</v>
      </c>
      <c r="I7" t="s">
        <v>55</v>
      </c>
      <c r="J7" t="n">
        <v>3771</v>
      </c>
      <c r="K7" t="n">
        <v>566</v>
      </c>
      <c r="L7" t="n">
        <v>1131</v>
      </c>
      <c r="M7" t="n">
        <v>1</v>
      </c>
      <c r="N7" t="n">
        <v>1</v>
      </c>
      <c r="O7" t="n">
        <v>0</v>
      </c>
      <c r="P7" t="s">
        <v>29</v>
      </c>
      <c r="Q7">
        <f>HYPERLINK("https://images.diginfra.net/framed3.html?imagesetuuid=16b7bf4c-5e05-4e5e-b109-cf178ead6c3f&amp;uri=https://images.diginfra.net/iiif/NL-HaNA_1.01.02/3771/NL-HaNA_1.01.02_3771_0566.jpg", "viewer_url")</f>
        <v/>
      </c>
      <c r="R7">
        <f>HYPERLINK("https://images.diginfra.net/iiif/NL-HaNA_1.01.02/3771/NL-HaNA_1.01.02_3771_0566.jpg/3533,2329,1034,1096/full/0/default.jpg", "iiif_url")</f>
        <v/>
      </c>
      <c r="S7" t="s">
        <v>29</v>
      </c>
      <c r="T7" t="s">
        <v>56</v>
      </c>
      <c r="U7">
        <f>HYPERLINK("https://images.diginfra.net/framed3.html?imagesetuuid=16b7bf4c-5e05-4e5e-b109-cf178ead6c3f&amp;uri=https://images.diginfra.net/iiif/NL-HaNA_1.01.02/3771/NL-HaNA_1.01.02_3771_0564.jpg", "prev_meeting_viewer_url")</f>
        <v/>
      </c>
      <c r="V7">
        <f>HYPERLINK("https://images.diginfra.net/iiif/NL-HaNA_1.01.02/3771/NL-HaNA_1.01.02_3771_0564.jpg/3480,1282,1107,2141/full/0/default.jpg", "prev_meeting_iiif_url")</f>
        <v/>
      </c>
      <c r="W7" t="s">
        <v>29</v>
      </c>
      <c r="X7" t="s">
        <v>57</v>
      </c>
      <c r="Y7">
        <f>HYPERLINK("https://images.diginfra.net/framed3.html?imagesetuuid=16b7bf4c-5e05-4e5e-b109-cf178ead6c3f&amp;uri=https://images.diginfra.net/iiif/NL-HaNA_1.01.02/3771/NL-HaNA_1.01.02_3771_0569.jpg", "next_meeting_viewer_url")</f>
        <v/>
      </c>
      <c r="Z7">
        <f>HYPERLINK("https://images.diginfra.net/iiif/NL-HaNA_1.01.02/3771/NL-HaNA_1.01.02_3771_0569.jpg/3434,1685,1093,1800/full/0/default.jpg", "next_meeting_iiif_url")</f>
        <v/>
      </c>
    </row>
    <row r="8" spans="1:26">
      <c r="A8" t="s">
        <v>58</v>
      </c>
      <c r="B8" t="s">
        <v>53</v>
      </c>
      <c r="C8" t="s">
        <v>54</v>
      </c>
      <c r="D8" t="b">
        <v>1</v>
      </c>
      <c r="E8" t="b">
        <v>1</v>
      </c>
      <c r="I8" t="s">
        <v>59</v>
      </c>
      <c r="J8" t="n">
        <v>3766</v>
      </c>
      <c r="K8" t="n">
        <v>782</v>
      </c>
      <c r="L8" t="n">
        <v>1562</v>
      </c>
      <c r="M8" t="n">
        <v>1</v>
      </c>
      <c r="N8" t="n">
        <v>2</v>
      </c>
      <c r="O8" t="n">
        <v>0</v>
      </c>
      <c r="P8" t="s">
        <v>29</v>
      </c>
      <c r="Q8">
        <f>HYPERLINK("https://images.diginfra.net/framed3.html?imagesetuuid=a6b973ba-587c-4902-9423-42544f6e97a0&amp;uri=https://images.diginfra.net/iiif/NL-HaNA_1.01.02/3766/NL-HaNA_1.01.02_3766_0782.jpg", "viewer_url")</f>
        <v/>
      </c>
      <c r="R8">
        <f>HYPERLINK("https://images.diginfra.net/iiif/NL-HaNA_1.01.02/3766/NL-HaNA_1.01.02_3766_0782.jpg/1290,1809,1124,1626/full/0/default.jpg", "iiif_url")</f>
        <v/>
      </c>
      <c r="S8" t="s">
        <v>29</v>
      </c>
      <c r="T8" t="s">
        <v>60</v>
      </c>
      <c r="U8">
        <f>HYPERLINK("https://images.diginfra.net/framed3.html?imagesetuuid=a6b973ba-587c-4902-9423-42544f6e97a0&amp;uri=https://images.diginfra.net/iiif/NL-HaNA_1.01.02/3766/NL-HaNA_1.01.02_3766_0779.jpg", "prev_meeting_viewer_url")</f>
        <v/>
      </c>
      <c r="V8">
        <f>HYPERLINK("https://images.diginfra.net/iiif/NL-HaNA_1.01.02/3766/NL-HaNA_1.01.02_3766_0779.jpg/2590,2794,1048,612/full/0/default.jpg", "prev_meeting_iiif_url")</f>
        <v/>
      </c>
      <c r="W8" t="s">
        <v>29</v>
      </c>
      <c r="X8" t="s">
        <v>61</v>
      </c>
      <c r="Y8">
        <f>HYPERLINK("https://images.diginfra.net/framed3.html?imagesetuuid=a6b973ba-587c-4902-9423-42544f6e97a0&amp;uri=https://images.diginfra.net/iiif/NL-HaNA_1.01.02/3766/NL-HaNA_1.01.02_3766_0786.jpg", "next_meeting_viewer_url")</f>
        <v/>
      </c>
      <c r="Z8">
        <f>HYPERLINK("https://images.diginfra.net/iiif/NL-HaNA_1.01.02/3766/NL-HaNA_1.01.02_3766_0786.jpg/3492,973,1106,2472/full/0/default.jpg", "next_meeting_iiif_url")</f>
        <v/>
      </c>
    </row>
    <row r="9" spans="1:26">
      <c r="A9" t="s">
        <v>62</v>
      </c>
      <c r="B9" t="s">
        <v>63</v>
      </c>
      <c r="C9" t="s">
        <v>64</v>
      </c>
      <c r="D9" t="b">
        <v>1</v>
      </c>
      <c r="E9" t="b">
        <v>1</v>
      </c>
      <c r="I9" t="s">
        <v>65</v>
      </c>
      <c r="J9" t="n">
        <v>3794</v>
      </c>
      <c r="K9" t="n">
        <v>381</v>
      </c>
      <c r="L9" t="n">
        <v>761</v>
      </c>
      <c r="M9" t="n">
        <v>1</v>
      </c>
      <c r="N9" t="n">
        <v>2</v>
      </c>
      <c r="O9" t="n">
        <v>0</v>
      </c>
      <c r="P9" t="s">
        <v>29</v>
      </c>
      <c r="Q9">
        <f>HYPERLINK("https://images.diginfra.net/framed3.html?imagesetuuid=5debb5c6-ae39-480e-845e-6e10690f8984&amp;uri=https://images.diginfra.net/iiif/NL-HaNA_1.01.02/3794/NL-HaNA_1.01.02_3794_0381.jpg", "viewer_url")</f>
        <v/>
      </c>
      <c r="R9">
        <f>HYPERLINK("https://images.diginfra.net/iiif/NL-HaNA_1.01.02/3794/NL-HaNA_1.01.02_3794_0381.jpg/3474,2046,1043,1309/full/0/default.jpg", "iiif_url")</f>
        <v/>
      </c>
      <c r="S9" t="s">
        <v>29</v>
      </c>
      <c r="T9" t="s">
        <v>66</v>
      </c>
      <c r="U9">
        <f>HYPERLINK("https://images.diginfra.net/framed3.html?imagesetuuid=5debb5c6-ae39-480e-845e-6e10690f8984&amp;uri=https://images.diginfra.net/iiif/NL-HaNA_1.01.02/3794/NL-HaNA_1.01.02_3794_0381.jpg", "prev_meeting_viewer_url")</f>
        <v/>
      </c>
      <c r="V9">
        <f>HYPERLINK("https://images.diginfra.net/iiif/NL-HaNA_1.01.02/3794/NL-HaNA_1.01.02_3794_0381.jpg/2490,1935,1084,1447/full/0/default.jpg", "prev_meeting_iiif_url")</f>
        <v/>
      </c>
      <c r="W9" t="s">
        <v>29</v>
      </c>
      <c r="X9" t="s">
        <v>67</v>
      </c>
      <c r="Y9">
        <f>HYPERLINK("https://images.diginfra.net/framed3.html?imagesetuuid=5debb5c6-ae39-480e-845e-6e10690f8984&amp;uri=https://images.diginfra.net/iiif/NL-HaNA_1.01.02/3794/NL-HaNA_1.01.02_3794_0382.jpg", "next_meeting_viewer_url")</f>
        <v/>
      </c>
      <c r="Z9">
        <f>HYPERLINK("https://images.diginfra.net/iiif/NL-HaNA_1.01.02/3794/NL-HaNA_1.01.02_3794_0382.jpg/3422,1090,1099,2348/full/0/default.jpg", "next_meeting_iiif_url")</f>
        <v/>
      </c>
    </row>
    <row r="10" spans="1:26">
      <c r="A10" t="s">
        <v>68</v>
      </c>
      <c r="B10" t="s">
        <v>63</v>
      </c>
      <c r="D10" t="b">
        <v>1</v>
      </c>
      <c r="E10" t="b">
        <v>0</v>
      </c>
      <c r="Q10">
        <f>HYPERLINK("None", "viewer_url")</f>
        <v/>
      </c>
      <c r="R10">
        <f>HYPERLINK("None", "iiif_url")</f>
        <v/>
      </c>
      <c r="S10" t="s">
        <v>33</v>
      </c>
      <c r="T10" t="s">
        <v>69</v>
      </c>
      <c r="U10">
        <f>HYPERLINK("https://images.diginfra.net/framed3.html?imagesetuuid=db7b00f7-0cd1-4078-9123-41ccf17bd821&amp;uri=https://images.diginfra.net/iiif/NL-HaNA_1.01.02/3787/NL-HaNA_1.01.02_3787_0139.jpg", "prev_meeting_viewer_url")</f>
        <v/>
      </c>
      <c r="V10">
        <f>HYPERLINK("https://images.diginfra.net/iiif/NL-HaNA_1.01.02/3787/NL-HaNA_1.01.02_3787_0139.jpg/265,295,1084,3099/full/0/default.jpg", "prev_meeting_iiif_url")</f>
        <v/>
      </c>
      <c r="W10" t="s">
        <v>29</v>
      </c>
      <c r="X10" t="s">
        <v>70</v>
      </c>
      <c r="Y10">
        <f>HYPERLINK("https://images.diginfra.net/framed3.html?imagesetuuid=db7b00f7-0cd1-4078-9123-41ccf17bd821&amp;uri=https://images.diginfra.net/iiif/NL-HaNA_1.01.02/3787/NL-HaNA_1.01.02_3787_0139.jpg", "next_meeting_viewer_url")</f>
        <v/>
      </c>
      <c r="Z10">
        <f>HYPERLINK("https://images.diginfra.net/iiif/NL-HaNA_1.01.02/3787/NL-HaNA_1.01.02_3787_0139.jpg/2375,685,1079,2766/full/0/default.jpg", "next_meeting_iiif_url")</f>
        <v/>
      </c>
    </row>
    <row r="11" spans="1:26">
      <c r="A11" t="s">
        <v>71</v>
      </c>
      <c r="B11" t="s">
        <v>27</v>
      </c>
      <c r="D11" t="b">
        <v>0</v>
      </c>
      <c r="E11" t="b">
        <v>0</v>
      </c>
      <c r="I11" t="s">
        <v>72</v>
      </c>
      <c r="J11" t="n">
        <v>3834</v>
      </c>
      <c r="K11" t="n">
        <v>231</v>
      </c>
      <c r="L11" t="n">
        <v>461</v>
      </c>
      <c r="M11" t="n">
        <v>0</v>
      </c>
      <c r="N11" t="n">
        <v>0</v>
      </c>
      <c r="O11" t="n">
        <v>43</v>
      </c>
      <c r="P11" t="s">
        <v>29</v>
      </c>
      <c r="Q11">
        <f>HYPERLINK("https://images.diginfra.net/framed3.html?imagesetuuid=bf11cd8e-e3f4-444c-9caa-dcdfd20137d7&amp;uri=https://images.diginfra.net/iiif/NL-HaNA_1.01.02/3834/NL-HaNA_1.01.02_3834_0231.jpg", "viewer_url")</f>
        <v/>
      </c>
      <c r="R11">
        <f>HYPERLINK("https://images.diginfra.net/iiif/NL-HaNA_1.01.02/3834/NL-HaNA_1.01.02_3834_0231.jpg/2472,2027,1087,1351/full/0/default.jpg", "iiif_url")</f>
        <v/>
      </c>
      <c r="S11" t="s">
        <v>29</v>
      </c>
      <c r="T11" t="s">
        <v>73</v>
      </c>
      <c r="U11">
        <f>HYPERLINK("https://images.diginfra.net/framed3.html?imagesetuuid=bf11cd8e-e3f4-444c-9caa-dcdfd20137d7&amp;uri=https://images.diginfra.net/iiif/NL-HaNA_1.01.02/3834/NL-HaNA_1.01.02_3834_0230.jpg", "prev_meeting_viewer_url")</f>
        <v/>
      </c>
      <c r="V11">
        <f>HYPERLINK("https://images.diginfra.net/iiif/NL-HaNA_1.01.02/3834/NL-HaNA_1.01.02_3834_0230.jpg/2396,2032,1052,1330/full/0/default.jpg", "prev_meeting_iiif_url")</f>
        <v/>
      </c>
      <c r="W11" t="s">
        <v>29</v>
      </c>
      <c r="X11" t="s">
        <v>74</v>
      </c>
      <c r="Y11">
        <f>HYPERLINK("https://images.diginfra.net/framed3.html?imagesetuuid=bf11cd8e-e3f4-444c-9caa-dcdfd20137d7&amp;uri=https://images.diginfra.net/iiif/NL-HaNA_1.01.02/3834/NL-HaNA_1.01.02_3834_0231.jpg", "next_meeting_viewer_url")</f>
        <v/>
      </c>
      <c r="Z11">
        <f>HYPERLINK("https://images.diginfra.net/iiif/NL-HaNA_1.01.02/3834/NL-HaNA_1.01.02_3834_0231.jpg/2472,2027,1087,1351/full/0/default.jpg", "next_meeting_iiif_url")</f>
        <v/>
      </c>
    </row>
    <row r="12" spans="1:26">
      <c r="A12" t="s">
        <v>75</v>
      </c>
      <c r="B12" t="s">
        <v>76</v>
      </c>
      <c r="C12" t="s">
        <v>77</v>
      </c>
      <c r="D12" t="b">
        <v>1</v>
      </c>
      <c r="E12" t="b">
        <v>1</v>
      </c>
      <c r="I12" t="s">
        <v>78</v>
      </c>
      <c r="J12" t="n">
        <v>3818</v>
      </c>
      <c r="K12" t="n">
        <v>416</v>
      </c>
      <c r="L12" t="n">
        <v>831</v>
      </c>
      <c r="M12" t="n">
        <v>0</v>
      </c>
      <c r="N12" t="n">
        <v>1</v>
      </c>
      <c r="O12" t="n">
        <v>0</v>
      </c>
      <c r="P12" t="s">
        <v>29</v>
      </c>
      <c r="Q12">
        <f>HYPERLINK("https://images.diginfra.net/framed3.html?imagesetuuid=0a2b2b00-4d8f-4694-bcd4-866d49afa989&amp;uri=https://images.diginfra.net/iiif/NL-HaNA_1.01.02/3818/NL-HaNA_1.01.02_3818_0416.jpg", "viewer_url")</f>
        <v/>
      </c>
      <c r="R12">
        <f>HYPERLINK("https://images.diginfra.net/iiif/NL-HaNA_1.01.02/3818/NL-HaNA_1.01.02_3818_0416.jpg/2321,1494,1112,1896/full/0/default.jpg", "iiif_url")</f>
        <v/>
      </c>
      <c r="S12" t="s">
        <v>29</v>
      </c>
      <c r="T12" t="s">
        <v>79</v>
      </c>
      <c r="U12">
        <f>HYPERLINK("https://images.diginfra.net/framed3.html?imagesetuuid=0a2b2b00-4d8f-4694-bcd4-866d49afa989&amp;uri=https://images.diginfra.net/iiif/NL-HaNA_1.01.02/3818/NL-HaNA_1.01.02_3818_0416.jpg", "prev_meeting_viewer_url")</f>
        <v/>
      </c>
      <c r="V12">
        <f>HYPERLINK("https://images.diginfra.net/iiif/NL-HaNA_1.01.02/3818/NL-HaNA_1.01.02_3818_0416.jpg/236,666,1106,2710/full/0/default.jpg", "prev_meeting_iiif_url")</f>
        <v/>
      </c>
      <c r="W12" t="s">
        <v>29</v>
      </c>
      <c r="X12" t="s">
        <v>80</v>
      </c>
      <c r="Y12">
        <f>HYPERLINK("https://images.diginfra.net/framed3.html?imagesetuuid=0a2b2b00-4d8f-4694-bcd4-866d49afa989&amp;uri=https://images.diginfra.net/iiif/NL-HaNA_1.01.02/3818/NL-HaNA_1.01.02_3818_0418.jpg", "next_meeting_viewer_url")</f>
        <v/>
      </c>
      <c r="Z12">
        <f>HYPERLINK("https://images.diginfra.net/iiif/NL-HaNA_1.01.02/3818/NL-HaNA_1.01.02_3818_0418.jpg/245,1909,1109,1439/full/0/default.jpg", "next_meeting_iiif_url")</f>
        <v/>
      </c>
    </row>
    <row r="13" spans="1:26">
      <c r="A13" t="s">
        <v>81</v>
      </c>
      <c r="B13" t="s">
        <v>53</v>
      </c>
      <c r="C13" t="s">
        <v>82</v>
      </c>
      <c r="D13" t="b">
        <v>1</v>
      </c>
      <c r="E13" t="b">
        <v>1</v>
      </c>
      <c r="I13" t="s">
        <v>83</v>
      </c>
      <c r="J13" t="n">
        <v>3831</v>
      </c>
      <c r="K13" t="n">
        <v>372</v>
      </c>
      <c r="L13" t="n">
        <v>743</v>
      </c>
      <c r="M13" t="n">
        <v>0</v>
      </c>
      <c r="N13" t="n">
        <v>0</v>
      </c>
      <c r="O13" t="n">
        <v>0</v>
      </c>
      <c r="P13" t="s">
        <v>29</v>
      </c>
      <c r="Q13">
        <f>HYPERLINK("https://images.diginfra.net/framed3.html?imagesetuuid=fbccadee-0831-4262-9b53-6f48467f765a&amp;uri=https://images.diginfra.net/iiif/NL-HaNA_1.01.02/3831/NL-HaNA_1.01.02_3831_0372.jpg", "viewer_url")</f>
        <v/>
      </c>
      <c r="R13">
        <f>HYPERLINK("https://images.diginfra.net/iiif/NL-HaNA_1.01.02/3831/NL-HaNA_1.01.02_3831_0372.jpg/2361,255,1076,2359/full/0/default.jpg", "iiif_url")</f>
        <v/>
      </c>
      <c r="S13" t="s">
        <v>29</v>
      </c>
      <c r="T13" t="s">
        <v>84</v>
      </c>
      <c r="U13">
        <f>HYPERLINK("https://images.diginfra.net/framed3.html?imagesetuuid=fbccadee-0831-4262-9b53-6f48467f765a&amp;uri=https://images.diginfra.net/iiif/NL-HaNA_1.01.02/3831/NL-HaNA_1.01.02_3831_0371.jpg", "prev_meeting_viewer_url")</f>
        <v/>
      </c>
      <c r="V13">
        <f>HYPERLINK("https://images.diginfra.net/iiif/NL-HaNA_1.01.02/3831/NL-HaNA_1.01.02_3831_0371.jpg/2380,1310,1070,2057/full/0/default.jpg", "prev_meeting_iiif_url")</f>
        <v/>
      </c>
      <c r="W13" t="s">
        <v>29</v>
      </c>
      <c r="X13" t="s">
        <v>85</v>
      </c>
      <c r="Y13">
        <f>HYPERLINK("https://images.diginfra.net/framed3.html?imagesetuuid=fbccadee-0831-4262-9b53-6f48467f765a&amp;uri=https://images.diginfra.net/iiif/NL-HaNA_1.01.02/3831/NL-HaNA_1.01.02_3831_0372.jpg", "next_meeting_viewer_url")</f>
        <v/>
      </c>
      <c r="Z13">
        <f>HYPERLINK("https://images.diginfra.net/iiif/NL-HaNA_1.01.02/3831/NL-HaNA_1.01.02_3831_0372.jpg/2372,2447,1058,888/full/0/default.jpg", "next_meeting_iiif_url")</f>
        <v/>
      </c>
    </row>
    <row r="14" spans="1:26">
      <c r="A14" t="s">
        <v>86</v>
      </c>
      <c r="B14" t="s">
        <v>63</v>
      </c>
      <c r="C14" t="s">
        <v>87</v>
      </c>
      <c r="D14" t="b">
        <v>1</v>
      </c>
      <c r="E14" t="b">
        <v>1</v>
      </c>
      <c r="I14" t="s">
        <v>88</v>
      </c>
      <c r="J14" t="n">
        <v>3775</v>
      </c>
      <c r="K14" t="n">
        <v>327</v>
      </c>
      <c r="L14" t="n">
        <v>652</v>
      </c>
      <c r="M14" t="n">
        <v>0</v>
      </c>
      <c r="N14" t="n">
        <v>3</v>
      </c>
      <c r="O14" t="n">
        <v>0</v>
      </c>
      <c r="P14" t="s">
        <v>29</v>
      </c>
      <c r="Q14">
        <f>HYPERLINK("https://images.diginfra.net/framed3.html?imagesetuuid=e344f420-8808-4cb9-bb8a-07944ccb8c18&amp;uri=https://images.diginfra.net/iiif/NL-HaNA_1.01.02/3775/NL-HaNA_1.01.02_3775_0327.jpg", "viewer_url")</f>
        <v/>
      </c>
      <c r="R14">
        <f>HYPERLINK("https://images.diginfra.net/iiif/NL-HaNA_1.01.02/3775/NL-HaNA_1.01.02_3775_0327.jpg/318,2332,1023,998/full/0/default.jpg", "iiif_url")</f>
        <v/>
      </c>
      <c r="S14" t="s">
        <v>29</v>
      </c>
      <c r="T14" t="s">
        <v>89</v>
      </c>
      <c r="U14">
        <f>HYPERLINK("https://images.diginfra.net/framed3.html?imagesetuuid=e344f420-8808-4cb9-bb8a-07944ccb8c18&amp;uri=https://images.diginfra.net/iiif/NL-HaNA_1.01.02/3775/NL-HaNA_1.01.02_3775_0324.jpg", "prev_meeting_viewer_url")</f>
        <v/>
      </c>
      <c r="V14">
        <f>HYPERLINK("https://images.diginfra.net/iiif/NL-HaNA_1.01.02/3775/NL-HaNA_1.01.02_3775_0324.jpg/3126,1533,1091,1907/full/0/default.jpg", "prev_meeting_iiif_url")</f>
        <v/>
      </c>
      <c r="W14" t="s">
        <v>29</v>
      </c>
      <c r="X14" t="s">
        <v>90</v>
      </c>
      <c r="Y14">
        <f>HYPERLINK("https://images.diginfra.net/framed3.html?imagesetuuid=e344f420-8808-4cb9-bb8a-07944ccb8c18&amp;uri=https://images.diginfra.net/iiif/NL-HaNA_1.01.02/3775/NL-HaNA_1.01.02_3775_0327.jpg", "next_meeting_viewer_url")</f>
        <v/>
      </c>
      <c r="Z14">
        <f>HYPERLINK("https://images.diginfra.net/iiif/NL-HaNA_1.01.02/3775/NL-HaNA_1.01.02_3775_0327.jpg/3197,2599,1044,812/full/0/default.jpg", "next_meeting_iiif_url")</f>
        <v/>
      </c>
    </row>
    <row r="15" spans="1:26">
      <c r="A15" t="s">
        <v>91</v>
      </c>
      <c r="B15" t="s">
        <v>27</v>
      </c>
      <c r="C15" t="s">
        <v>92</v>
      </c>
      <c r="D15" t="b">
        <v>1</v>
      </c>
      <c r="E15" t="b">
        <v>1</v>
      </c>
      <c r="I15" t="s">
        <v>93</v>
      </c>
      <c r="J15" t="n">
        <v>3781</v>
      </c>
      <c r="K15" t="n">
        <v>84</v>
      </c>
      <c r="L15" t="n">
        <v>166</v>
      </c>
      <c r="M15" t="n">
        <v>1</v>
      </c>
      <c r="N15" t="n">
        <v>1</v>
      </c>
      <c r="O15" t="n">
        <v>0</v>
      </c>
      <c r="P15" t="s">
        <v>29</v>
      </c>
      <c r="Q15">
        <f>HYPERLINK("https://images.diginfra.net/framed3.html?imagesetuuid=7806433b-7f26-4d4e-8e76-37d108a188de&amp;uri=https://images.diginfra.net/iiif/NL-HaNA_1.01.02/3781/NL-HaNA_1.01.02_3781_0084.jpg", "viewer_url")</f>
        <v/>
      </c>
      <c r="R15">
        <f>HYPERLINK("https://images.diginfra.net/iiif/NL-HaNA_1.01.02/3781/NL-HaNA_1.01.02_3781_0084.jpg/1343,522,1106,2971/full/0/default.jpg", "iiif_url")</f>
        <v/>
      </c>
      <c r="S15" t="s">
        <v>29</v>
      </c>
      <c r="T15" t="s">
        <v>94</v>
      </c>
      <c r="U15">
        <f>HYPERLINK("https://images.diginfra.net/framed3.html?imagesetuuid=7806433b-7f26-4d4e-8e76-37d108a188de&amp;uri=https://images.diginfra.net/iiif/NL-HaNA_1.01.02/3781/NL-HaNA_1.01.02_3781_0083.jpg", "prev_meeting_viewer_url")</f>
        <v/>
      </c>
      <c r="V15">
        <f>HYPERLINK("https://images.diginfra.net/iiif/NL-HaNA_1.01.02/3781/NL-HaNA_1.01.02_3781_0083.jpg/1384,2533,1068,882/full/0/default.jpg", "prev_meeting_iiif_url")</f>
        <v/>
      </c>
      <c r="W15" t="s">
        <v>29</v>
      </c>
      <c r="X15" t="s">
        <v>95</v>
      </c>
      <c r="Y15">
        <f>HYPERLINK("https://images.diginfra.net/framed3.html?imagesetuuid=7806433b-7f26-4d4e-8e76-37d108a188de&amp;uri=https://images.diginfra.net/iiif/NL-HaNA_1.01.02/3781/NL-HaNA_1.01.02_3781_0085.jpg", "next_meeting_viewer_url")</f>
        <v/>
      </c>
      <c r="Z15">
        <f>HYPERLINK("https://images.diginfra.net/iiif/NL-HaNA_1.01.02/3781/NL-HaNA_1.01.02_3781_0085.jpg/394,1073,1096,2451/full/0/default.jpg", "next_meeting_iiif_url")</f>
        <v/>
      </c>
    </row>
    <row r="16" spans="1:26">
      <c r="A16" t="s">
        <v>96</v>
      </c>
      <c r="B16" t="s">
        <v>42</v>
      </c>
      <c r="C16" t="s">
        <v>66</v>
      </c>
      <c r="D16" t="b">
        <v>1</v>
      </c>
      <c r="E16" t="b">
        <v>1</v>
      </c>
      <c r="I16" t="s">
        <v>97</v>
      </c>
      <c r="J16" t="n">
        <v>3827</v>
      </c>
      <c r="K16" t="n">
        <v>468</v>
      </c>
      <c r="L16" t="n">
        <v>934</v>
      </c>
      <c r="M16" t="n">
        <v>1</v>
      </c>
      <c r="N16" t="n">
        <v>1</v>
      </c>
      <c r="O16" t="n">
        <v>0</v>
      </c>
      <c r="P16" t="s">
        <v>29</v>
      </c>
      <c r="Q16">
        <f>HYPERLINK("https://images.diginfra.net/framed3.html?imagesetuuid=cb4f4e9c-bdd8-4992-9de8-6ddd9348148f&amp;uri=https://images.diginfra.net/iiif/NL-HaNA_1.01.02/3827/NL-HaNA_1.01.02_3827_0468.jpg", "viewer_url")</f>
        <v/>
      </c>
      <c r="R16">
        <f>HYPERLINK("https://images.diginfra.net/iiif/NL-HaNA_1.01.02/3827/NL-HaNA_1.01.02_3827_0468.jpg/1219,1175,1075,2110/full/0/default.jpg", "iiif_url")</f>
        <v/>
      </c>
      <c r="S16" t="s">
        <v>29</v>
      </c>
      <c r="T16" t="s">
        <v>98</v>
      </c>
      <c r="U16">
        <f>HYPERLINK("https://images.diginfra.net/framed3.html?imagesetuuid=cb4f4e9c-bdd8-4992-9de8-6ddd9348148f&amp;uri=https://images.diginfra.net/iiif/NL-HaNA_1.01.02/3827/NL-HaNA_1.01.02_3827_0466.jpg", "prev_meeting_viewer_url")</f>
        <v/>
      </c>
      <c r="V16">
        <f>HYPERLINK("https://images.diginfra.net/iiif/NL-HaNA_1.01.02/3827/NL-HaNA_1.01.02_3827_0466.jpg/2326,216,1086,3081/full/0/default.jpg", "prev_meeting_iiif_url")</f>
        <v/>
      </c>
      <c r="W16" t="s">
        <v>29</v>
      </c>
      <c r="X16" t="s">
        <v>64</v>
      </c>
      <c r="Y16">
        <f>HYPERLINK("https://images.diginfra.net/framed3.html?imagesetuuid=cb4f4e9c-bdd8-4992-9de8-6ddd9348148f&amp;uri=https://images.diginfra.net/iiif/NL-HaNA_1.01.02/3827/NL-HaNA_1.01.02_3827_0469.jpg", "next_meeting_viewer_url")</f>
        <v/>
      </c>
      <c r="Z16">
        <f>HYPERLINK("https://images.diginfra.net/iiif/NL-HaNA_1.01.02/3827/NL-HaNA_1.01.02_3827_0469.jpg/1268,2801,1033,557/full/0/default.jpg", "next_meeting_iiif_url")</f>
        <v/>
      </c>
    </row>
    <row r="17" spans="1:26">
      <c r="A17" t="s">
        <v>99</v>
      </c>
      <c r="B17" t="s">
        <v>37</v>
      </c>
      <c r="C17" t="s">
        <v>100</v>
      </c>
      <c r="D17" t="b">
        <v>1</v>
      </c>
      <c r="E17" t="b">
        <v>1</v>
      </c>
      <c r="I17" t="s">
        <v>101</v>
      </c>
      <c r="J17" t="n">
        <v>3844</v>
      </c>
      <c r="K17" t="n">
        <v>434</v>
      </c>
      <c r="L17" t="n">
        <v>866</v>
      </c>
      <c r="M17" t="n">
        <v>1</v>
      </c>
      <c r="N17" t="n">
        <v>0</v>
      </c>
      <c r="O17" t="n">
        <v>48</v>
      </c>
      <c r="P17" t="s">
        <v>29</v>
      </c>
      <c r="Q17">
        <f>HYPERLINK("https://images.diginfra.net/framed3.html?imagesetuuid=61690246-944a-4d63-9d72-95ab6a0a9306&amp;uri=https://images.diginfra.net/iiif/NL-HaNA_1.01.02/3844/NL-HaNA_1.01.02_3844_0434.jpg", "viewer_url")</f>
        <v/>
      </c>
      <c r="R17">
        <f>HYPERLINK("https://images.diginfra.net/iiif/NL-HaNA_1.01.02/3844/NL-HaNA_1.01.02_3844_0434.jpg/1347,2427,1029,1064/full/0/default.jpg", "iiif_url")</f>
        <v/>
      </c>
      <c r="W17" t="s">
        <v>29</v>
      </c>
      <c r="X17" t="s">
        <v>102</v>
      </c>
      <c r="Y17">
        <f>HYPERLINK("https://images.diginfra.net/framed3.html?imagesetuuid=61690246-944a-4d63-9d72-95ab6a0a9306&amp;uri=https://images.diginfra.net/iiif/NL-HaNA_1.01.02/3844/NL-HaNA_1.01.02_3844_0435.jpg", "next_meeting_viewer_url")</f>
        <v/>
      </c>
      <c r="Z17">
        <f>HYPERLINK("https://images.diginfra.net/iiif/NL-HaNA_1.01.02/3844/NL-HaNA_1.01.02_3844_0435.jpg/3463,2320,1019,1030/full/0/default.jpg", "next_meeting_iiif_url")</f>
        <v/>
      </c>
    </row>
    <row r="18" spans="1:26">
      <c r="A18" t="s">
        <v>103</v>
      </c>
      <c r="B18" t="s">
        <v>27</v>
      </c>
      <c r="C18" t="s">
        <v>104</v>
      </c>
      <c r="D18" t="b">
        <v>1</v>
      </c>
      <c r="E18" t="b">
        <v>1</v>
      </c>
      <c r="I18" t="s">
        <v>105</v>
      </c>
      <c r="J18" t="n">
        <v>3778</v>
      </c>
      <c r="K18" t="n">
        <v>54</v>
      </c>
      <c r="L18" t="n">
        <v>107</v>
      </c>
      <c r="M18" t="n">
        <v>1</v>
      </c>
      <c r="N18" t="n">
        <v>0</v>
      </c>
      <c r="O18" t="n">
        <v>0</v>
      </c>
      <c r="P18" t="s">
        <v>29</v>
      </c>
      <c r="Q18">
        <f>HYPERLINK("https://images.diginfra.net/framed3.html?imagesetuuid=c7562dfc-1537-4f53-946e-774c7935b363&amp;uri=https://images.diginfra.net/iiif/NL-HaNA_1.01.02/3778/NL-HaNA_1.01.02_3778_0054.jpg", "viewer_url")</f>
        <v/>
      </c>
      <c r="R18">
        <f>HYPERLINK("https://images.diginfra.net/iiif/NL-HaNA_1.01.02/3778/NL-HaNA_1.01.02_3778_0054.jpg/3394,351,1123,3085/full/0/default.jpg", "iiif_url")</f>
        <v/>
      </c>
      <c r="S18" t="s">
        <v>29</v>
      </c>
      <c r="T18" t="s">
        <v>106</v>
      </c>
      <c r="U18">
        <f>HYPERLINK("https://images.diginfra.net/framed3.html?imagesetuuid=c7562dfc-1537-4f53-946e-774c7935b363&amp;uri=https://images.diginfra.net/iiif/NL-HaNA_1.01.02/3778/NL-HaNA_1.01.02_3778_0053.jpg", "prev_meeting_viewer_url")</f>
        <v/>
      </c>
      <c r="V18">
        <f>HYPERLINK("https://images.diginfra.net/iiif/NL-HaNA_1.01.02/3778/NL-HaNA_1.01.02_3778_0053.jpg/1250,533,1113,2905/full/0/default.jpg", "prev_meeting_iiif_url")</f>
        <v/>
      </c>
      <c r="W18" t="s">
        <v>29</v>
      </c>
      <c r="X18" t="s">
        <v>107</v>
      </c>
      <c r="Y18">
        <f>HYPERLINK("https://images.diginfra.net/framed3.html?imagesetuuid=c7562dfc-1537-4f53-946e-774c7935b363&amp;uri=https://images.diginfra.net/iiif/NL-HaNA_1.01.02/3778/NL-HaNA_1.01.02_3778_0056.jpg", "next_meeting_viewer_url")</f>
        <v/>
      </c>
      <c r="Z18">
        <f>HYPERLINK("https://images.diginfra.net/iiif/NL-HaNA_1.01.02/3778/NL-HaNA_1.01.02_3778_0056.jpg/1254,2580,1038,786/full/0/default.jpg", "next_meeting_iiif_url")</f>
        <v/>
      </c>
    </row>
    <row r="19" spans="1:26">
      <c r="A19" t="s">
        <v>108</v>
      </c>
      <c r="B19" t="s">
        <v>27</v>
      </c>
      <c r="D19" t="b">
        <v>1</v>
      </c>
      <c r="E19" t="b">
        <v>0</v>
      </c>
      <c r="Q19">
        <f>HYPERLINK("None", "viewer_url")</f>
        <v/>
      </c>
      <c r="R19">
        <f>HYPERLINK("None", "iiif_url")</f>
        <v/>
      </c>
      <c r="S19" t="s">
        <v>33</v>
      </c>
      <c r="U19">
        <f>HYPERLINK("https://images.diginfra.net/framed3.html?imagesetuuid=111590de-8f08-498e-8bad-f6a289f87065&amp;uri=https://images.diginfra.net/iiif/NL-HaNA_1.01.02/3764/NL-HaNA_1.01.02_3764_0061.jpg", "prev_meeting_viewer_url")</f>
        <v/>
      </c>
      <c r="V19">
        <f>HYPERLINK("https://images.diginfra.net/iiif/NL-HaNA_1.01.02/3764/NL-HaNA_1.01.02_3764_0061.jpg/3614,2511,1047,928/full/0/default.jpg", "prev_meeting_iiif_url")</f>
        <v/>
      </c>
      <c r="W19" t="s">
        <v>29</v>
      </c>
      <c r="X19" t="s">
        <v>109</v>
      </c>
      <c r="Y19">
        <f>HYPERLINK("https://images.diginfra.net/framed3.html?imagesetuuid=111590de-8f08-498e-8bad-f6a289f87065&amp;uri=https://images.diginfra.net/iiif/NL-HaNA_1.01.02/3764/NL-HaNA_1.01.02_3764_0064.jpg", "next_meeting_viewer_url")</f>
        <v/>
      </c>
      <c r="Z19">
        <f>HYPERLINK("https://images.diginfra.net/iiif/NL-HaNA_1.01.02/3764/NL-HaNA_1.01.02_3764_0064.jpg/2586,455,1115,2983/full/0/default.jpg", "next_meeting_iiif_url")</f>
        <v/>
      </c>
    </row>
    <row r="20" spans="1:26">
      <c r="A20" t="s">
        <v>110</v>
      </c>
      <c r="B20" t="s">
        <v>63</v>
      </c>
      <c r="C20" t="s">
        <v>111</v>
      </c>
      <c r="D20" t="b">
        <v>1</v>
      </c>
      <c r="E20" t="b">
        <v>1</v>
      </c>
      <c r="I20" t="s">
        <v>112</v>
      </c>
      <c r="J20" t="n">
        <v>3855</v>
      </c>
      <c r="K20" t="n">
        <v>204</v>
      </c>
      <c r="L20" t="n">
        <v>407</v>
      </c>
      <c r="M20" t="n">
        <v>1</v>
      </c>
      <c r="N20" t="n">
        <v>1</v>
      </c>
      <c r="O20" t="n">
        <v>0</v>
      </c>
      <c r="P20" t="s">
        <v>29</v>
      </c>
      <c r="Q20">
        <f>HYPERLINK("https://images.diginfra.net/framed3.html?imagesetuuid=5244deb9-8f97-4a39-89ba-6da1d308b8f5&amp;uri=https://images.diginfra.net/iiif/NL-HaNA_1.01.02/3855/NL-HaNA_1.01.02_3855_0204.jpg", "viewer_url")</f>
        <v/>
      </c>
      <c r="R20">
        <f>HYPERLINK("https://images.diginfra.net/iiif/NL-HaNA_1.01.02/3855/NL-HaNA_1.01.02_3855_0204.jpg/3282,523,1082,2877/full/0/default.jpg", "iiif_url")</f>
        <v/>
      </c>
      <c r="S20" t="s">
        <v>29</v>
      </c>
      <c r="T20" t="s">
        <v>113</v>
      </c>
      <c r="U20">
        <f>HYPERLINK("https://images.diginfra.net/framed3.html?imagesetuuid=5244deb9-8f97-4a39-89ba-6da1d308b8f5&amp;uri=https://images.diginfra.net/iiif/NL-HaNA_1.01.02/3855/NL-HaNA_1.01.02_3855_0203.jpg", "prev_meeting_viewer_url")</f>
        <v/>
      </c>
      <c r="V20">
        <f>HYPERLINK("https://images.diginfra.net/iiif/NL-HaNA_1.01.02/3855/NL-HaNA_1.01.02_3855_0203.jpg/2484,1913,1015,1416/full/0/default.jpg", "prev_meeting_iiif_url")</f>
        <v/>
      </c>
      <c r="W20" t="s">
        <v>29</v>
      </c>
      <c r="X20" t="s">
        <v>114</v>
      </c>
      <c r="Y20">
        <f>HYPERLINK("https://images.diginfra.net/framed3.html?imagesetuuid=5244deb9-8f97-4a39-89ba-6da1d308b8f5&amp;uri=https://images.diginfra.net/iiif/NL-HaNA_1.01.02/3855/NL-HaNA_1.01.02_3855_0206.jpg", "next_meeting_viewer_url")</f>
        <v/>
      </c>
      <c r="Z20">
        <f>HYPERLINK("https://images.diginfra.net/iiif/NL-HaNA_1.01.02/3855/NL-HaNA_1.01.02_3855_0206.jpg/2396,947,1067,2444/full/0/default.jpg", "next_meeting_iiif_url")</f>
        <v/>
      </c>
    </row>
    <row r="21" spans="1:26">
      <c r="A21" t="s">
        <v>115</v>
      </c>
      <c r="B21" t="s">
        <v>76</v>
      </c>
      <c r="C21" t="s">
        <v>116</v>
      </c>
      <c r="D21" t="b">
        <v>1</v>
      </c>
      <c r="E21" t="b">
        <v>1</v>
      </c>
      <c r="I21" t="s">
        <v>117</v>
      </c>
      <c r="J21" t="n">
        <v>3773</v>
      </c>
      <c r="K21" t="n">
        <v>498</v>
      </c>
      <c r="L21" t="n">
        <v>994</v>
      </c>
      <c r="M21" t="n">
        <v>0</v>
      </c>
      <c r="N21" t="n">
        <v>2</v>
      </c>
      <c r="O21" t="n">
        <v>0</v>
      </c>
      <c r="P21" t="s">
        <v>29</v>
      </c>
      <c r="Q21">
        <f>HYPERLINK("https://images.diginfra.net/framed3.html?imagesetuuid=0d0ede5e-a7f6-4a03-b996-493e50528c24&amp;uri=https://images.diginfra.net/iiif/NL-HaNA_1.01.02/3773/NL-HaNA_1.01.02_3773_0498.jpg", "viewer_url")</f>
        <v/>
      </c>
      <c r="R21">
        <f>HYPERLINK("https://images.diginfra.net/iiif/NL-HaNA_1.01.02/3773/NL-HaNA_1.01.02_3773_0498.jpg/332,2183,1036,1195/full/0/default.jpg", "iiif_url")</f>
        <v/>
      </c>
      <c r="S21" t="s">
        <v>29</v>
      </c>
      <c r="T21" t="s">
        <v>118</v>
      </c>
      <c r="U21">
        <f>HYPERLINK("https://images.diginfra.net/framed3.html?imagesetuuid=0d0ede5e-a7f6-4a03-b996-493e50528c24&amp;uri=https://images.diginfra.net/iiif/NL-HaNA_1.01.02/3773/NL-HaNA_1.01.02_3773_0497.jpg", "prev_meeting_viewer_url")</f>
        <v/>
      </c>
      <c r="V21">
        <f>HYPERLINK("https://images.diginfra.net/iiif/NL-HaNA_1.01.02/3773/NL-HaNA_1.01.02_3773_0497.jpg/194,1503,1089,1842/full/0/default.jpg", "prev_meeting_iiif_url")</f>
        <v/>
      </c>
      <c r="W21" t="s">
        <v>29</v>
      </c>
      <c r="X21" t="s">
        <v>119</v>
      </c>
      <c r="Y21">
        <f>HYPERLINK("https://images.diginfra.net/framed3.html?imagesetuuid=0d0ede5e-a7f6-4a03-b996-493e50528c24&amp;uri=https://images.diginfra.net/iiif/NL-HaNA_1.01.02/3773/NL-HaNA_1.01.02_3773_0503.jpg", "next_meeting_viewer_url")</f>
        <v/>
      </c>
      <c r="Z21">
        <f>HYPERLINK("https://images.diginfra.net/iiif/NL-HaNA_1.01.02/3773/NL-HaNA_1.01.02_3773_0503.jpg/2367,1117,1095,2305/full/0/default.jpg", "next_meeting_iiif_url")</f>
        <v/>
      </c>
    </row>
    <row r="22" spans="1:26">
      <c r="A22" t="s">
        <v>120</v>
      </c>
      <c r="B22" t="s">
        <v>63</v>
      </c>
      <c r="C22" t="s">
        <v>121</v>
      </c>
      <c r="D22" t="b">
        <v>1</v>
      </c>
      <c r="E22" t="b">
        <v>1</v>
      </c>
      <c r="I22" t="s">
        <v>122</v>
      </c>
      <c r="J22" t="n">
        <v>3767</v>
      </c>
      <c r="K22" t="n">
        <v>295</v>
      </c>
      <c r="L22" t="n">
        <v>589</v>
      </c>
      <c r="M22" t="n">
        <v>1</v>
      </c>
      <c r="N22" t="n">
        <v>2</v>
      </c>
      <c r="O22" t="n">
        <v>0</v>
      </c>
      <c r="P22" t="s">
        <v>29</v>
      </c>
      <c r="Q22">
        <f>HYPERLINK("https://images.diginfra.net/framed3.html?imagesetuuid=1dfc3e45-daeb-4e8d-b5c8-e02b6196102c&amp;uri=https://images.diginfra.net/iiif/NL-HaNA_1.01.02/3767/NL-HaNA_1.01.02_3767_0295.jpg", "viewer_url")</f>
        <v/>
      </c>
      <c r="R22">
        <f>HYPERLINK("https://images.diginfra.net/iiif/NL-HaNA_1.01.02/3767/NL-HaNA_1.01.02_3767_0295.jpg/3415,2445,1055,927/full/0/default.jpg", "iiif_url")</f>
        <v/>
      </c>
      <c r="S22" t="s">
        <v>29</v>
      </c>
      <c r="T22" t="s">
        <v>123</v>
      </c>
      <c r="U22">
        <f>HYPERLINK("https://images.diginfra.net/framed3.html?imagesetuuid=1dfc3e45-daeb-4e8d-b5c8-e02b6196102c&amp;uri=https://images.diginfra.net/iiif/NL-HaNA_1.01.02/3767/NL-HaNA_1.01.02_3767_0293.jpg", "prev_meeting_viewer_url")</f>
        <v/>
      </c>
      <c r="V22">
        <f>HYPERLINK("https://images.diginfra.net/iiif/NL-HaNA_1.01.02/3767/NL-HaNA_1.01.02_3767_0293.jpg/1384,2316,1055,1028/full/0/default.jpg", "prev_meeting_iiif_url")</f>
        <v/>
      </c>
      <c r="W22" t="s">
        <v>29</v>
      </c>
      <c r="X22" t="s">
        <v>124</v>
      </c>
      <c r="Y22">
        <f>HYPERLINK("https://images.diginfra.net/framed3.html?imagesetuuid=1dfc3e45-daeb-4e8d-b5c8-e02b6196102c&amp;uri=https://images.diginfra.net/iiif/NL-HaNA_1.01.02/3767/NL-HaNA_1.01.02_3767_0297.jpg", "next_meeting_viewer_url")</f>
        <v/>
      </c>
      <c r="Z22">
        <f>HYPERLINK("https://images.diginfra.net/iiif/NL-HaNA_1.01.02/3767/NL-HaNA_1.01.02_3767_0297.jpg/1244,2289,1074,1127/full/0/default.jpg", "next_meeting_iiif_url")</f>
        <v/>
      </c>
    </row>
    <row r="23" spans="1:26">
      <c r="A23" t="s">
        <v>125</v>
      </c>
      <c r="B23" t="s">
        <v>27</v>
      </c>
      <c r="C23" t="s">
        <v>126</v>
      </c>
      <c r="D23" t="b">
        <v>1</v>
      </c>
      <c r="E23" t="b">
        <v>1</v>
      </c>
      <c r="I23" t="s">
        <v>127</v>
      </c>
      <c r="J23" t="n">
        <v>3778</v>
      </c>
      <c r="K23" t="n">
        <v>187</v>
      </c>
      <c r="L23" t="n">
        <v>373</v>
      </c>
      <c r="M23" t="n">
        <v>1</v>
      </c>
      <c r="N23" t="n">
        <v>0</v>
      </c>
      <c r="O23" t="n">
        <v>0</v>
      </c>
      <c r="P23" t="s">
        <v>29</v>
      </c>
      <c r="Q23">
        <f>HYPERLINK("https://images.diginfra.net/framed3.html?imagesetuuid=c7562dfc-1537-4f53-946e-774c7935b363&amp;uri=https://images.diginfra.net/iiif/NL-HaNA_1.01.02/3778/NL-HaNA_1.01.02_3778_0187.jpg", "viewer_url")</f>
        <v/>
      </c>
      <c r="R23">
        <f>HYPERLINK("https://images.diginfra.net/iiif/NL-HaNA_1.01.02/3778/NL-HaNA_1.01.02_3778_0187.jpg/3335,272,1108,3043/full/0/default.jpg", "iiif_url")</f>
        <v/>
      </c>
      <c r="S23" t="s">
        <v>29</v>
      </c>
      <c r="T23" t="s">
        <v>128</v>
      </c>
      <c r="U23">
        <f>HYPERLINK("https://images.diginfra.net/framed3.html?imagesetuuid=c7562dfc-1537-4f53-946e-774c7935b363&amp;uri=https://images.diginfra.net/iiif/NL-HaNA_1.01.02/3778/NL-HaNA_1.01.02_3778_0186.jpg", "prev_meeting_viewer_url")</f>
        <v/>
      </c>
      <c r="V23">
        <f>HYPERLINK("https://images.diginfra.net/iiif/NL-HaNA_1.01.02/3778/NL-HaNA_1.01.02_3778_0186.jpg/233,2390,1034,980/full/0/default.jpg", "prev_meeting_iiif_url")</f>
        <v/>
      </c>
      <c r="W23" t="s">
        <v>29</v>
      </c>
      <c r="X23" t="s">
        <v>129</v>
      </c>
      <c r="Y23">
        <f>HYPERLINK("https://images.diginfra.net/framed3.html?imagesetuuid=c7562dfc-1537-4f53-946e-774c7935b363&amp;uri=https://images.diginfra.net/iiif/NL-HaNA_1.01.02/3778/NL-HaNA_1.01.02_3778_0188.jpg", "next_meeting_viewer_url")</f>
        <v/>
      </c>
      <c r="Z23">
        <f>HYPERLINK("https://images.diginfra.net/iiif/NL-HaNA_1.01.02/3778/NL-HaNA_1.01.02_3778_0188.jpg/2358,1016,1092,2374/full/0/default.jpg", "next_meeting_iiif_url")</f>
        <v/>
      </c>
    </row>
    <row r="24" spans="1:26">
      <c r="A24" t="s">
        <v>130</v>
      </c>
      <c r="B24" t="s">
        <v>42</v>
      </c>
      <c r="C24" t="s">
        <v>131</v>
      </c>
      <c r="D24" t="b">
        <v>1</v>
      </c>
      <c r="E24" t="b">
        <v>1</v>
      </c>
      <c r="I24" t="s">
        <v>132</v>
      </c>
      <c r="J24" t="n">
        <v>3812</v>
      </c>
      <c r="K24" t="n">
        <v>431</v>
      </c>
      <c r="L24" t="n">
        <v>861</v>
      </c>
      <c r="M24" t="n">
        <v>1</v>
      </c>
      <c r="N24" t="n">
        <v>1</v>
      </c>
      <c r="O24" t="n">
        <v>0</v>
      </c>
      <c r="P24" t="s">
        <v>29</v>
      </c>
      <c r="Q24">
        <f>HYPERLINK("https://images.diginfra.net/framed3.html?imagesetuuid=2068053a-a1c4-40f9-a503-3778784a1420&amp;uri=https://images.diginfra.net/iiif/NL-HaNA_1.01.02/3812/NL-HaNA_1.01.02_3812_0431.jpg", "viewer_url")</f>
        <v/>
      </c>
      <c r="R24">
        <f>HYPERLINK("https://images.diginfra.net/iiif/NL-HaNA_1.01.02/3812/NL-HaNA_1.01.02_3812_0431.jpg/3254,1563,1094,1806/full/0/default.jpg", "iiif_url")</f>
        <v/>
      </c>
      <c r="S24" t="s">
        <v>29</v>
      </c>
      <c r="T24" t="s">
        <v>133</v>
      </c>
      <c r="U24">
        <f>HYPERLINK("https://images.diginfra.net/framed3.html?imagesetuuid=2068053a-a1c4-40f9-a503-3778784a1420&amp;uri=https://images.diginfra.net/iiif/NL-HaNA_1.01.02/3812/NL-HaNA_1.01.02_3812_0429.jpg", "prev_meeting_viewer_url")</f>
        <v/>
      </c>
      <c r="V24">
        <f>HYPERLINK("https://images.diginfra.net/iiif/NL-HaNA_1.01.02/3812/NL-HaNA_1.01.02_3812_0429.jpg/3269,898,1096,2468/full/0/default.jpg", "prev_meeting_iiif_url")</f>
        <v/>
      </c>
      <c r="W24" t="s">
        <v>29</v>
      </c>
      <c r="X24" t="s">
        <v>134</v>
      </c>
      <c r="Y24">
        <f>HYPERLINK("https://images.diginfra.net/framed3.html?imagesetuuid=2068053a-a1c4-40f9-a503-3778784a1420&amp;uri=https://images.diginfra.net/iiif/NL-HaNA_1.01.02/3812/NL-HaNA_1.01.02_3812_0434.jpg", "next_meeting_viewer_url")</f>
        <v/>
      </c>
      <c r="Z24">
        <f>HYPERLINK("https://images.diginfra.net/iiif/NL-HaNA_1.01.02/3812/NL-HaNA_1.01.02_3812_0434.jpg/1162,577,1092,2751/full/0/default.jpg", "next_meeting_iiif_url")</f>
        <v/>
      </c>
    </row>
    <row r="25" spans="1:26">
      <c r="A25" t="s">
        <v>135</v>
      </c>
      <c r="B25" t="s">
        <v>37</v>
      </c>
      <c r="C25" t="s">
        <v>136</v>
      </c>
      <c r="D25" t="b">
        <v>1</v>
      </c>
      <c r="E25" t="b">
        <v>1</v>
      </c>
      <c r="I25" t="s">
        <v>137</v>
      </c>
      <c r="J25" t="n">
        <v>3802</v>
      </c>
      <c r="K25" t="n">
        <v>422</v>
      </c>
      <c r="L25" t="n">
        <v>842</v>
      </c>
      <c r="M25" t="n">
        <v>0</v>
      </c>
      <c r="N25" t="n">
        <v>2</v>
      </c>
      <c r="O25" t="n">
        <v>0</v>
      </c>
      <c r="P25" t="s">
        <v>29</v>
      </c>
      <c r="Q25">
        <f>HYPERLINK("https://images.diginfra.net/framed3.html?imagesetuuid=42a0dd68-0122-4267-985e-43a657deae45&amp;uri=https://images.diginfra.net/iiif/NL-HaNA_1.01.02/3802/NL-HaNA_1.01.02_3802_0422.jpg", "viewer_url")</f>
        <v/>
      </c>
      <c r="R25">
        <f>HYPERLINK("https://images.diginfra.net/iiif/NL-HaNA_1.01.02/3802/NL-HaNA_1.01.02_3802_0422.jpg/277,1585,1079,1802/full/0/default.jpg", "iiif_url")</f>
        <v/>
      </c>
      <c r="S25" t="s">
        <v>29</v>
      </c>
      <c r="T25" t="s">
        <v>138</v>
      </c>
      <c r="U25">
        <f>HYPERLINK("https://images.diginfra.net/framed3.html?imagesetuuid=42a0dd68-0122-4267-985e-43a657deae45&amp;uri=https://images.diginfra.net/iiif/NL-HaNA_1.01.02/3802/NL-HaNA_1.01.02_3802_0420.jpg", "prev_meeting_viewer_url")</f>
        <v/>
      </c>
      <c r="V25">
        <f>HYPERLINK("https://images.diginfra.net/iiif/NL-HaNA_1.01.02/3802/NL-HaNA_1.01.02_3802_0420.jpg/2442,2328,1035,1031/full/0/default.jpg", "prev_meeting_iiif_url")</f>
        <v/>
      </c>
      <c r="W25" t="s">
        <v>29</v>
      </c>
      <c r="X25" t="s">
        <v>139</v>
      </c>
      <c r="Y25">
        <f>HYPERLINK("https://images.diginfra.net/framed3.html?imagesetuuid=42a0dd68-0122-4267-985e-43a657deae45&amp;uri=https://images.diginfra.net/iiif/NL-HaNA_1.01.02/3802/NL-HaNA_1.01.02_3802_0422.jpg", "next_meeting_viewer_url")</f>
        <v/>
      </c>
      <c r="Z25">
        <f>HYPERLINK("https://images.diginfra.net/iiif/NL-HaNA_1.01.02/3802/NL-HaNA_1.01.02_3802_0422.jpg/2340,1662,1080,1700/full/0/default.jpg", "next_meeting_iiif_url")</f>
        <v/>
      </c>
    </row>
    <row r="26" spans="1:26">
      <c r="A26" t="s">
        <v>140</v>
      </c>
      <c r="B26" t="s">
        <v>53</v>
      </c>
      <c r="C26" t="s">
        <v>141</v>
      </c>
      <c r="D26" t="b">
        <v>1</v>
      </c>
      <c r="E26" t="b">
        <v>1</v>
      </c>
      <c r="I26" t="s">
        <v>142</v>
      </c>
      <c r="J26" t="n">
        <v>3852</v>
      </c>
      <c r="K26" t="n">
        <v>318</v>
      </c>
      <c r="L26" t="n">
        <v>635</v>
      </c>
      <c r="M26" t="n">
        <v>0</v>
      </c>
      <c r="N26" t="n">
        <v>1</v>
      </c>
      <c r="O26" t="n">
        <v>0</v>
      </c>
      <c r="P26" t="s">
        <v>29</v>
      </c>
      <c r="Q26">
        <f>HYPERLINK("https://images.diginfra.net/framed3.html?imagesetuuid=3b3d915a-84ba-4c76-9942-747a007cc965&amp;uri=https://images.diginfra.net/iiif/NL-HaNA_1.01.02/3852/NL-HaNA_1.01.02_3852_0318.jpg", "viewer_url")</f>
        <v/>
      </c>
      <c r="R26">
        <f>HYPERLINK("https://images.diginfra.net/iiif/NL-HaNA_1.01.02/3852/NL-HaNA_1.01.02_3852_0318.jpg/2356,946,1076,2547/full/0/default.jpg", "iiif_url")</f>
        <v/>
      </c>
      <c r="S26" t="s">
        <v>29</v>
      </c>
      <c r="T26" t="s">
        <v>143</v>
      </c>
      <c r="U26">
        <f>HYPERLINK("https://images.diginfra.net/framed3.html?imagesetuuid=3b3d915a-84ba-4c76-9942-747a007cc965&amp;uri=https://images.diginfra.net/iiif/NL-HaNA_1.01.02/3852/NL-HaNA_1.01.02_3852_0317.jpg", "prev_meeting_viewer_url")</f>
        <v/>
      </c>
      <c r="V26">
        <f>HYPERLINK("https://images.diginfra.net/iiif/NL-HaNA_1.01.02/3852/NL-HaNA_1.01.02_3852_0317.jpg/1241,1323,1088,2059/full/0/default.jpg", "prev_meeting_iiif_url")</f>
        <v/>
      </c>
      <c r="W26" t="s">
        <v>29</v>
      </c>
      <c r="X26" t="s">
        <v>144</v>
      </c>
      <c r="Y26">
        <f>HYPERLINK("https://images.diginfra.net/framed3.html?imagesetuuid=3b3d915a-84ba-4c76-9942-747a007cc965&amp;uri=https://images.diginfra.net/iiif/NL-HaNA_1.01.02/3852/NL-HaNA_1.01.02_3852_0319.jpg", "next_meeting_viewer_url")</f>
        <v/>
      </c>
      <c r="Z26">
        <f>HYPERLINK("https://images.diginfra.net/iiif/NL-HaNA_1.01.02/3852/NL-HaNA_1.01.02_3852_0319.jpg/348,1142,1065,2269/full/0/default.jpg", "next_meeting_iiif_url")</f>
        <v/>
      </c>
    </row>
    <row r="27" spans="1:26">
      <c r="A27" t="s">
        <v>145</v>
      </c>
      <c r="B27" t="s">
        <v>48</v>
      </c>
      <c r="D27" t="b">
        <v>0</v>
      </c>
      <c r="E27" t="b">
        <v>0</v>
      </c>
      <c r="I27" t="s">
        <v>146</v>
      </c>
      <c r="J27" t="n">
        <v>3807</v>
      </c>
      <c r="K27" t="n">
        <v>401</v>
      </c>
      <c r="L27" t="n">
        <v>800</v>
      </c>
      <c r="M27" t="n">
        <v>1</v>
      </c>
      <c r="N27" t="n">
        <v>1</v>
      </c>
      <c r="O27" t="n">
        <v>0</v>
      </c>
      <c r="P27" t="s">
        <v>29</v>
      </c>
      <c r="Q27">
        <f>HYPERLINK("https://images.diginfra.net/framed3.html?imagesetuuid=9cfa33f1-d711-4626-afe8-d82541dc4b2a&amp;uri=https://images.diginfra.net/iiif/NL-HaNA_1.01.02/3807/NL-HaNA_1.01.02_3807_0401.jpg", "viewer_url")</f>
        <v/>
      </c>
      <c r="R27">
        <f>HYPERLINK("https://images.diginfra.net/iiif/NL-HaNA_1.01.02/3807/NL-HaNA_1.01.02_3807_0401.jpg/1157,1556,1094,1789/full/0/default.jpg", "iiif_url")</f>
        <v/>
      </c>
      <c r="W27" t="s">
        <v>29</v>
      </c>
      <c r="X27" t="s">
        <v>147</v>
      </c>
      <c r="Y27">
        <f>HYPERLINK("https://images.diginfra.net/framed3.html?imagesetuuid=9cfa33f1-d711-4626-afe8-d82541dc4b2a&amp;uri=https://images.diginfra.net/iiif/NL-HaNA_1.01.02/3807/NL-HaNA_1.01.02_3807_0401.jpg", "next_meeting_viewer_url")</f>
        <v/>
      </c>
      <c r="Z27">
        <f>HYPERLINK("https://images.diginfra.net/iiif/NL-HaNA_1.01.02/3807/NL-HaNA_1.01.02_3807_0401.jpg/1157,1556,1094,1789/full/0/default.jpg", "next_meeting_iiif_url")</f>
        <v/>
      </c>
    </row>
    <row r="28" spans="1:26">
      <c r="A28" t="s">
        <v>148</v>
      </c>
      <c r="B28" t="s">
        <v>63</v>
      </c>
      <c r="C28" t="s">
        <v>149</v>
      </c>
      <c r="D28" t="b">
        <v>1</v>
      </c>
      <c r="E28" t="b">
        <v>1</v>
      </c>
      <c r="I28" t="s">
        <v>150</v>
      </c>
      <c r="J28" t="n">
        <v>3782</v>
      </c>
      <c r="K28" t="n">
        <v>441</v>
      </c>
      <c r="L28" t="n">
        <v>880</v>
      </c>
      <c r="M28" t="n">
        <v>1</v>
      </c>
      <c r="N28" t="n">
        <v>1</v>
      </c>
      <c r="O28" t="n">
        <v>0</v>
      </c>
      <c r="P28" t="s">
        <v>29</v>
      </c>
      <c r="Q28">
        <f>HYPERLINK("https://images.diginfra.net/framed3.html?imagesetuuid=6d3687da-fdc8-4a47-ac98-f85d45f74cb7&amp;uri=https://images.diginfra.net/iiif/NL-HaNA_1.01.02/3782/NL-HaNA_1.01.02_3782_0441.jpg", "viewer_url")</f>
        <v/>
      </c>
      <c r="R28">
        <f>HYPERLINK("https://images.diginfra.net/iiif/NL-HaNA_1.01.02/3782/NL-HaNA_1.01.02_3782_0441.jpg/1275,2363,1112,1043/full/0/default.jpg", "iiif_url")</f>
        <v/>
      </c>
      <c r="W28" t="s">
        <v>29</v>
      </c>
      <c r="X28" t="s">
        <v>151</v>
      </c>
      <c r="Y28">
        <f>HYPERLINK("https://images.diginfra.net/framed3.html?imagesetuuid=6d3687da-fdc8-4a47-ac98-f85d45f74cb7&amp;uri=https://images.diginfra.net/iiif/NL-HaNA_1.01.02/3782/NL-HaNA_1.01.02_3782_0442.jpg", "next_meeting_viewer_url")</f>
        <v/>
      </c>
      <c r="Z28">
        <f>HYPERLINK("https://images.diginfra.net/iiif/NL-HaNA_1.01.02/3782/NL-HaNA_1.01.02_3782_0442.jpg/1330,2560,1047,843/full/0/default.jpg", "next_meeting_iiif_url")</f>
        <v/>
      </c>
    </row>
    <row r="29" spans="1:26">
      <c r="A29" t="s">
        <v>152</v>
      </c>
      <c r="B29" t="s">
        <v>27</v>
      </c>
      <c r="D29" t="b">
        <v>0</v>
      </c>
      <c r="E29" t="b">
        <v>0</v>
      </c>
      <c r="I29" t="s">
        <v>153</v>
      </c>
      <c r="J29" t="n">
        <v>3820</v>
      </c>
      <c r="K29" t="n">
        <v>230</v>
      </c>
      <c r="L29" t="n">
        <v>458</v>
      </c>
      <c r="M29" t="n">
        <v>1</v>
      </c>
      <c r="N29" t="n">
        <v>1</v>
      </c>
      <c r="O29" t="n">
        <v>0</v>
      </c>
      <c r="P29" t="s">
        <v>33</v>
      </c>
      <c r="Q29">
        <f>HYPERLINK("https://images.diginfra.net/framed3.html?imagesetuuid=06387344-f6be-4f89-be7c-57105578c47e&amp;uri=https://images.diginfra.net/iiif/NL-HaNA_1.01.02/3820/NL-HaNA_1.01.02_3820_0230.jpg", "viewer_url")</f>
        <v/>
      </c>
      <c r="R29">
        <f>HYPERLINK("https://images.diginfra.net/iiif/NL-HaNA_1.01.02/3820/NL-HaNA_1.01.02_3820_0230.jpg/1222,2173,1042,1160/full/0/default.jpg", "iiif_url")</f>
        <v/>
      </c>
      <c r="S29" t="s">
        <v>29</v>
      </c>
      <c r="T29" t="s">
        <v>154</v>
      </c>
      <c r="U29">
        <f>HYPERLINK("https://images.diginfra.net/framed3.html?imagesetuuid=06387344-f6be-4f89-be7c-57105578c47e&amp;uri=https://images.diginfra.net/iiif/NL-HaNA_1.01.02/3820/NL-HaNA_1.01.02_3820_0229.jpg", "prev_meeting_viewer_url")</f>
        <v/>
      </c>
      <c r="V29">
        <f>HYPERLINK("https://images.diginfra.net/iiif/NL-HaNA_1.01.02/3820/NL-HaNA_1.01.02_3820_0229.jpg/253,526,1059,2805/full/0/default.jpg", "prev_meeting_iiif_url")</f>
        <v/>
      </c>
      <c r="W29" t="s">
        <v>33</v>
      </c>
      <c r="X29" t="s">
        <v>155</v>
      </c>
      <c r="Y29">
        <f>HYPERLINK("https://images.diginfra.net/framed3.html?imagesetuuid=06387344-f6be-4f89-be7c-57105578c47e&amp;uri=https://images.diginfra.net/iiif/NL-HaNA_1.01.02/3820/NL-HaNA_1.01.02_3820_0230.jpg", "next_meeting_viewer_url")</f>
        <v/>
      </c>
      <c r="Z29">
        <f>HYPERLINK("https://images.diginfra.net/iiif/NL-HaNA_1.01.02/3820/NL-HaNA_1.01.02_3820_0230.jpg/1222,2173,1042,1160/full/0/default.jpg", "next_meeting_iiif_url")</f>
        <v/>
      </c>
    </row>
    <row r="30" spans="1:26">
      <c r="A30" t="s">
        <v>156</v>
      </c>
      <c r="B30" t="s">
        <v>48</v>
      </c>
      <c r="D30" t="b">
        <v>0</v>
      </c>
      <c r="E30" t="b">
        <v>0</v>
      </c>
      <c r="I30" t="s">
        <v>157</v>
      </c>
      <c r="J30" t="n">
        <v>3777</v>
      </c>
      <c r="K30" t="n">
        <v>331</v>
      </c>
      <c r="L30" t="n">
        <v>660</v>
      </c>
      <c r="M30" t="n">
        <v>0</v>
      </c>
      <c r="N30" t="n">
        <v>1</v>
      </c>
      <c r="O30" t="n">
        <v>0</v>
      </c>
      <c r="P30" t="s">
        <v>29</v>
      </c>
      <c r="Q30">
        <f>HYPERLINK("https://images.diginfra.net/framed3.html?imagesetuuid=d79a5b0f-25ac-4440-9b23-adc237614d07&amp;uri=https://images.diginfra.net/iiif/NL-HaNA_1.01.02/3777/NL-HaNA_1.01.02_3777_0331.jpg", "viewer_url")</f>
        <v/>
      </c>
      <c r="R30">
        <f>HYPERLINK("https://images.diginfra.net/iiif/NL-HaNA_1.01.02/3777/NL-HaNA_1.01.02_3777_0331.jpg/298,1307,1085,2098/full/0/default.jpg", "iiif_url")</f>
        <v/>
      </c>
      <c r="S30" t="s">
        <v>29</v>
      </c>
      <c r="T30" t="s">
        <v>158</v>
      </c>
      <c r="U30">
        <f>HYPERLINK("https://images.diginfra.net/framed3.html?imagesetuuid=d79a5b0f-25ac-4440-9b23-adc237614d07&amp;uri=https://images.diginfra.net/iiif/NL-HaNA_1.01.02/3777/NL-HaNA_1.01.02_3777_0328.jpg", "prev_meeting_viewer_url")</f>
        <v/>
      </c>
      <c r="V30">
        <f>HYPERLINK("https://images.diginfra.net/iiif/NL-HaNA_1.01.02/3777/NL-HaNA_1.01.02_3777_0328.jpg/3403,586,1099,2767/full/0/default.jpg", "prev_meeting_iiif_url")</f>
        <v/>
      </c>
      <c r="W30" t="s">
        <v>29</v>
      </c>
      <c r="X30" t="s">
        <v>159</v>
      </c>
      <c r="Y30">
        <f>HYPERLINK("https://images.diginfra.net/framed3.html?imagesetuuid=d79a5b0f-25ac-4440-9b23-adc237614d07&amp;uri=https://images.diginfra.net/iiif/NL-HaNA_1.01.02/3777/NL-HaNA_1.01.02_3777_0331.jpg", "next_meeting_viewer_url")</f>
        <v/>
      </c>
      <c r="Z30">
        <f>HYPERLINK("https://images.diginfra.net/iiif/NL-HaNA_1.01.02/3777/NL-HaNA_1.01.02_3777_0331.jpg/298,1307,1085,2098/full/0/default.jpg", "next_meeting_iiif_url")</f>
        <v/>
      </c>
    </row>
    <row r="31" spans="1:26">
      <c r="A31" t="s">
        <v>160</v>
      </c>
      <c r="B31" t="s">
        <v>63</v>
      </c>
      <c r="C31" t="s">
        <v>161</v>
      </c>
      <c r="D31" t="b">
        <v>1</v>
      </c>
      <c r="E31" t="b">
        <v>1</v>
      </c>
      <c r="I31" t="s">
        <v>162</v>
      </c>
      <c r="J31" t="n">
        <v>3815</v>
      </c>
      <c r="K31" t="n">
        <v>459</v>
      </c>
      <c r="L31" t="n">
        <v>917</v>
      </c>
      <c r="M31" t="n">
        <v>0</v>
      </c>
      <c r="N31" t="n">
        <v>1</v>
      </c>
      <c r="O31" t="n">
        <v>0</v>
      </c>
      <c r="P31" t="s">
        <v>29</v>
      </c>
      <c r="Q31">
        <f>HYPERLINK("https://images.diginfra.net/framed3.html?imagesetuuid=c649f39d-5b94-4d9d-8000-33acd4342c36&amp;uri=https://images.diginfra.net/iiif/NL-HaNA_1.01.02/3815/NL-HaNA_1.01.02_3815_0459.jpg", "viewer_url")</f>
        <v/>
      </c>
      <c r="R31">
        <f>HYPERLINK("https://images.diginfra.net/iiif/NL-HaNA_1.01.02/3815/NL-HaNA_1.01.02_3815_0459.jpg/2426,1140,1094,2244/full/0/default.jpg", "iiif_url")</f>
        <v/>
      </c>
      <c r="S31" t="s">
        <v>29</v>
      </c>
      <c r="T31" t="s">
        <v>163</v>
      </c>
      <c r="U31">
        <f>HYPERLINK("https://images.diginfra.net/framed3.html?imagesetuuid=c649f39d-5b94-4d9d-8000-33acd4342c36&amp;uri=https://images.diginfra.net/iiif/NL-HaNA_1.01.02/3815/NL-HaNA_1.01.02_3815_0458.jpg", "prev_meeting_viewer_url")</f>
        <v/>
      </c>
      <c r="V31">
        <f>HYPERLINK("https://images.diginfra.net/iiif/NL-HaNA_1.01.02/3815/NL-HaNA_1.01.02_3815_0458.jpg/1309,737,1097,2633/full/0/default.jpg", "prev_meeting_iiif_url")</f>
        <v/>
      </c>
      <c r="W31" t="s">
        <v>29</v>
      </c>
      <c r="Y31">
        <f>HYPERLINK("https://images.diginfra.net/framed3.html?imagesetuuid=c649f39d-5b94-4d9d-8000-33acd4342c36&amp;uri=https://images.diginfra.net/iiif/NL-HaNA_1.01.02/3815/NL-HaNA_1.01.02_3815_0461.jpg", "next_meeting_viewer_url")</f>
        <v/>
      </c>
      <c r="Z31">
        <f>HYPERLINK("https://images.diginfra.net/iiif/NL-HaNA_1.01.02/3815/NL-HaNA_1.01.02_3815_0461.jpg/1304,326,1113,2997/full/0/default.jpg", "next_meeting_iiif_url")</f>
        <v/>
      </c>
    </row>
    <row r="32" spans="1:26">
      <c r="A32" t="s">
        <v>164</v>
      </c>
      <c r="B32" t="s">
        <v>42</v>
      </c>
      <c r="C32" t="s">
        <v>165</v>
      </c>
      <c r="D32" t="b">
        <v>1</v>
      </c>
      <c r="E32" t="b">
        <v>1</v>
      </c>
      <c r="I32" t="s">
        <v>166</v>
      </c>
      <c r="J32" t="n">
        <v>3764</v>
      </c>
      <c r="K32" t="n">
        <v>230</v>
      </c>
      <c r="L32" t="n">
        <v>458</v>
      </c>
      <c r="M32" t="n">
        <v>1</v>
      </c>
      <c r="N32" t="n">
        <v>1</v>
      </c>
      <c r="O32" t="n">
        <v>0</v>
      </c>
      <c r="P32" t="s">
        <v>29</v>
      </c>
      <c r="Q32">
        <f>HYPERLINK("https://images.diginfra.net/framed3.html?imagesetuuid=111590de-8f08-498e-8bad-f6a289f87065&amp;uri=https://images.diginfra.net/iiif/NL-HaNA_1.01.02/3764/NL-HaNA_1.01.02_3764_0230.jpg", "viewer_url")</f>
        <v/>
      </c>
      <c r="R32">
        <f>HYPERLINK("https://images.diginfra.net/iiif/NL-HaNA_1.01.02/3764/NL-HaNA_1.01.02_3764_0230.jpg/1183,1496,1115,1913/full/0/default.jpg", "iiif_url")</f>
        <v/>
      </c>
      <c r="S32" t="s">
        <v>29</v>
      </c>
      <c r="T32" t="s">
        <v>167</v>
      </c>
      <c r="U32">
        <f>HYPERLINK("https://images.diginfra.net/framed3.html?imagesetuuid=111590de-8f08-498e-8bad-f6a289f87065&amp;uri=https://images.diginfra.net/iiif/NL-HaNA_1.01.02/3764/NL-HaNA_1.01.02_3764_0228.jpg", "prev_meeting_viewer_url")</f>
        <v/>
      </c>
      <c r="V32">
        <f>HYPERLINK("https://images.diginfra.net/iiif/NL-HaNA_1.01.02/3764/NL-HaNA_1.01.02_3764_0228.jpg/2476,2111,1037,1230/full/0/default.jpg", "prev_meeting_iiif_url")</f>
        <v/>
      </c>
      <c r="W32" t="s">
        <v>29</v>
      </c>
      <c r="X32" t="s">
        <v>168</v>
      </c>
      <c r="Y32">
        <f>HYPERLINK("https://images.diginfra.net/framed3.html?imagesetuuid=111590de-8f08-498e-8bad-f6a289f87065&amp;uri=https://images.diginfra.net/iiif/NL-HaNA_1.01.02/3764/NL-HaNA_1.01.02_3764_0231.jpg", "next_meeting_viewer_url")</f>
        <v/>
      </c>
      <c r="Z32">
        <f>HYPERLINK("https://images.diginfra.net/iiif/NL-HaNA_1.01.02/3764/NL-HaNA_1.01.02_3764_0231.jpg/3432,1143,1096,2305/full/0/default.jpg", "next_meeting_iiif_url")</f>
        <v/>
      </c>
    </row>
    <row r="33" spans="1:26">
      <c r="A33" t="s">
        <v>169</v>
      </c>
      <c r="B33" t="s">
        <v>48</v>
      </c>
      <c r="D33" t="b">
        <v>0</v>
      </c>
      <c r="E33" t="b">
        <v>0</v>
      </c>
      <c r="I33" t="s">
        <v>170</v>
      </c>
      <c r="J33" t="n">
        <v>3787</v>
      </c>
      <c r="K33" t="n">
        <v>362</v>
      </c>
      <c r="L33" t="n">
        <v>723</v>
      </c>
      <c r="M33" t="n">
        <v>0</v>
      </c>
      <c r="N33" t="n">
        <v>1</v>
      </c>
      <c r="O33" t="n">
        <v>0</v>
      </c>
      <c r="P33" t="s">
        <v>29</v>
      </c>
      <c r="Q33">
        <f>HYPERLINK("https://images.diginfra.net/framed3.html?imagesetuuid=db7b00f7-0cd1-4078-9123-41ccf17bd821&amp;uri=https://images.diginfra.net/iiif/NL-HaNA_1.01.02/3787/NL-HaNA_1.01.02_3787_0362.jpg", "viewer_url")</f>
        <v/>
      </c>
      <c r="R33">
        <f>HYPERLINK("https://images.diginfra.net/iiif/NL-HaNA_1.01.02/3787/NL-HaNA_1.01.02_3787_0362.jpg/2369,2227,1030,1145/full/0/default.jpg", "iiif_url")</f>
        <v/>
      </c>
      <c r="S33" t="s">
        <v>29</v>
      </c>
      <c r="T33" t="s">
        <v>171</v>
      </c>
      <c r="U33">
        <f>HYPERLINK("https://images.diginfra.net/framed3.html?imagesetuuid=db7b00f7-0cd1-4078-9123-41ccf17bd821&amp;uri=https://images.diginfra.net/iiif/NL-HaNA_1.01.02/3787/NL-HaNA_1.01.02_3787_0361.jpg", "prev_meeting_viewer_url")</f>
        <v/>
      </c>
      <c r="V33">
        <f>HYPERLINK("https://images.diginfra.net/iiif/NL-HaNA_1.01.02/3787/NL-HaNA_1.01.02_3787_0361.jpg/3277,1539,1096,1905/full/0/default.jpg", "prev_meeting_iiif_url")</f>
        <v/>
      </c>
      <c r="W33" t="s">
        <v>29</v>
      </c>
      <c r="X33" t="s">
        <v>172</v>
      </c>
      <c r="Y33">
        <f>HYPERLINK("https://images.diginfra.net/framed3.html?imagesetuuid=db7b00f7-0cd1-4078-9123-41ccf17bd821&amp;uri=https://images.diginfra.net/iiif/NL-HaNA_1.01.02/3787/NL-HaNA_1.01.02_3787_0362.jpg", "next_meeting_viewer_url")</f>
        <v/>
      </c>
      <c r="Z33">
        <f>HYPERLINK("https://images.diginfra.net/iiif/NL-HaNA_1.01.02/3787/NL-HaNA_1.01.02_3787_0362.jpg/2369,2227,1030,1145/full/0/default.jpg", "next_meeting_iiif_url")</f>
        <v/>
      </c>
    </row>
    <row r="34" spans="1:26">
      <c r="A34" t="s">
        <v>173</v>
      </c>
      <c r="B34" t="s">
        <v>37</v>
      </c>
      <c r="C34" t="s">
        <v>174</v>
      </c>
      <c r="D34" t="b">
        <v>1</v>
      </c>
      <c r="E34" t="b">
        <v>1</v>
      </c>
      <c r="I34" t="s">
        <v>175</v>
      </c>
      <c r="J34" t="n">
        <v>3822</v>
      </c>
      <c r="K34" t="n">
        <v>179</v>
      </c>
      <c r="L34" t="n">
        <v>356</v>
      </c>
      <c r="M34" t="n">
        <v>1</v>
      </c>
      <c r="N34" t="n">
        <v>1</v>
      </c>
      <c r="O34" t="n">
        <v>0</v>
      </c>
      <c r="P34" t="s">
        <v>29</v>
      </c>
      <c r="Q34">
        <f>HYPERLINK("https://images.diginfra.net/framed3.html?imagesetuuid=e0965315-891d-46c1-9dac-fc6b729921cf&amp;uri=https://images.diginfra.net/iiif/NL-HaNA_1.01.02/3822/NL-HaNA_1.01.02_3822_0179.jpg", "viewer_url")</f>
        <v/>
      </c>
      <c r="R34">
        <f>HYPERLINK("https://images.diginfra.net/iiif/NL-HaNA_1.01.02/3822/NL-HaNA_1.01.02_3822_0179.jpg/1192,652,1064,2652/full/0/default.jpg", "iiif_url")</f>
        <v/>
      </c>
      <c r="S34" t="s">
        <v>29</v>
      </c>
      <c r="T34" t="s">
        <v>176</v>
      </c>
      <c r="U34">
        <f>HYPERLINK("https://images.diginfra.net/framed3.html?imagesetuuid=e0965315-891d-46c1-9dac-fc6b729921cf&amp;uri=https://images.diginfra.net/iiif/NL-HaNA_1.01.02/3822/NL-HaNA_1.01.02_3822_0177.jpg", "prev_meeting_viewer_url")</f>
        <v/>
      </c>
      <c r="V34">
        <f>HYPERLINK("https://images.diginfra.net/iiif/NL-HaNA_1.01.02/3822/NL-HaNA_1.01.02_3822_0177.jpg/1224,2871,1049,525/full/0/default.jpg", "prev_meeting_iiif_url")</f>
        <v/>
      </c>
      <c r="W34" t="s">
        <v>33</v>
      </c>
      <c r="X34" t="s">
        <v>177</v>
      </c>
      <c r="Y34">
        <f>HYPERLINK("https://images.diginfra.net/framed3.html?imagesetuuid=e0965315-891d-46c1-9dac-fc6b729921cf&amp;uri=https://images.diginfra.net/iiif/NL-HaNA_1.01.02/3822/NL-HaNA_1.01.02_3822_0180.jpg", "next_meeting_viewer_url")</f>
        <v/>
      </c>
      <c r="Z34">
        <f>HYPERLINK("https://images.diginfra.net/iiif/NL-HaNA_1.01.02/3822/NL-HaNA_1.01.02_3822_0180.jpg/255,1908,1068,1415/full/0/default.jpg", "next_meeting_iiif_url")</f>
        <v/>
      </c>
    </row>
    <row r="35" spans="1:26">
      <c r="A35" t="s">
        <v>178</v>
      </c>
      <c r="B35" t="s">
        <v>42</v>
      </c>
      <c r="C35" t="s">
        <v>179</v>
      </c>
      <c r="D35" t="b">
        <v>1</v>
      </c>
      <c r="E35" t="b">
        <v>1</v>
      </c>
      <c r="I35" t="s">
        <v>180</v>
      </c>
      <c r="J35" t="n">
        <v>3853</v>
      </c>
      <c r="K35" t="n">
        <v>327</v>
      </c>
      <c r="L35" t="n">
        <v>652</v>
      </c>
      <c r="M35" t="n">
        <v>3</v>
      </c>
      <c r="N35" t="n">
        <v>2</v>
      </c>
      <c r="O35" t="n">
        <v>0</v>
      </c>
      <c r="P35" t="s">
        <v>29</v>
      </c>
      <c r="Q35">
        <f>HYPERLINK("https://images.diginfra.net/framed3.html?imagesetuuid=70af21ed-3dea-44e0-a125-396f50f1c89e&amp;uri=https://images.diginfra.net/iiif/NL-HaNA_1.01.02/3853/NL-HaNA_1.01.02_3853_0327.jpg", "viewer_url")</f>
        <v/>
      </c>
      <c r="R35">
        <f>HYPERLINK("https://images.diginfra.net/iiif/NL-HaNA_1.01.02/3853/NL-HaNA_1.01.02_3853_0327.jpg/1108,920,1171,2457/full/0/default.jpg", "iiif_url")</f>
        <v/>
      </c>
      <c r="S35" t="s">
        <v>29</v>
      </c>
      <c r="T35" t="s">
        <v>181</v>
      </c>
      <c r="U35">
        <f>HYPERLINK("https://images.diginfra.net/framed3.html?imagesetuuid=70af21ed-3dea-44e0-a125-396f50f1c89e&amp;uri=https://images.diginfra.net/iiif/NL-HaNA_1.01.02/3853/NL-HaNA_1.01.02_3853_0325.jpg", "prev_meeting_viewer_url")</f>
        <v/>
      </c>
      <c r="V35">
        <f>HYPERLINK("https://images.diginfra.net/iiif/NL-HaNA_1.01.02/3853/NL-HaNA_1.01.02_3853_0325.jpg/1213,2421,1015,994/full/0/default.jpg", "prev_meeting_iiif_url")</f>
        <v/>
      </c>
      <c r="W35" t="s">
        <v>29</v>
      </c>
      <c r="X35" t="s">
        <v>182</v>
      </c>
      <c r="Y35">
        <f>HYPERLINK("https://images.diginfra.net/framed3.html?imagesetuuid=70af21ed-3dea-44e0-a125-396f50f1c89e&amp;uri=https://images.diginfra.net/iiif/NL-HaNA_1.01.02/3853/NL-HaNA_1.01.02_3853_0332.jpg", "next_meeting_viewer_url")</f>
        <v/>
      </c>
      <c r="Z35">
        <f>HYPERLINK("https://images.diginfra.net/iiif/NL-HaNA_1.01.02/3853/NL-HaNA_1.01.02_3853_0332.jpg/2419,1559,1075,1877/full/0/default.jpg", "next_meeting_iiif_url")</f>
        <v/>
      </c>
    </row>
    <row r="36" spans="1:26">
      <c r="A36" t="s">
        <v>183</v>
      </c>
      <c r="B36" t="s">
        <v>53</v>
      </c>
      <c r="D36" t="b">
        <v>0</v>
      </c>
      <c r="E36" t="b">
        <v>0</v>
      </c>
      <c r="I36" t="s">
        <v>184</v>
      </c>
      <c r="J36" t="n">
        <v>3793</v>
      </c>
      <c r="K36" t="n">
        <v>410</v>
      </c>
      <c r="L36" t="n">
        <v>819</v>
      </c>
      <c r="M36" t="n">
        <v>0</v>
      </c>
      <c r="N36" t="n">
        <v>1</v>
      </c>
      <c r="O36" t="n">
        <v>0</v>
      </c>
      <c r="P36" t="s">
        <v>29</v>
      </c>
      <c r="Q36">
        <f>HYPERLINK("https://images.diginfra.net/framed3.html?imagesetuuid=8305a309-5c79-4c0c-a981-7e350c76be32&amp;uri=https://images.diginfra.net/iiif/NL-HaNA_1.01.02/3793/NL-HaNA_1.01.02_3793_0410.jpg", "viewer_url")</f>
        <v/>
      </c>
      <c r="R36">
        <f>HYPERLINK("https://images.diginfra.net/iiif/NL-HaNA_1.01.02/3793/NL-HaNA_1.01.02_3793_0410.jpg/2473,1647,1031,1791/full/0/default.jpg", "iiif_url")</f>
        <v/>
      </c>
      <c r="S36" t="s">
        <v>29</v>
      </c>
      <c r="T36" t="s">
        <v>185</v>
      </c>
      <c r="U36">
        <f>HYPERLINK("https://images.diginfra.net/framed3.html?imagesetuuid=8305a309-5c79-4c0c-a981-7e350c76be32&amp;uri=https://images.diginfra.net/iiif/NL-HaNA_1.01.02/3793/NL-HaNA_1.01.02_3793_0410.jpg", "prev_meeting_viewer_url")</f>
        <v/>
      </c>
      <c r="V36">
        <f>HYPERLINK("https://images.diginfra.net/iiif/NL-HaNA_1.01.02/3793/NL-HaNA_1.01.02_3793_0410.jpg/242,712,1088,2665/full/0/default.jpg", "prev_meeting_iiif_url")</f>
        <v/>
      </c>
      <c r="W36" t="s">
        <v>29</v>
      </c>
      <c r="X36" t="s">
        <v>186</v>
      </c>
      <c r="Y36">
        <f>HYPERLINK("https://images.diginfra.net/framed3.html?imagesetuuid=8305a309-5c79-4c0c-a981-7e350c76be32&amp;uri=https://images.diginfra.net/iiif/NL-HaNA_1.01.02/3793/NL-HaNA_1.01.02_3793_0410.jpg", "next_meeting_viewer_url")</f>
        <v/>
      </c>
      <c r="Z36">
        <f>HYPERLINK("https://images.diginfra.net/iiif/NL-HaNA_1.01.02/3793/NL-HaNA_1.01.02_3793_0410.jpg/2473,1647,1031,1791/full/0/default.jpg", "next_meeting_iiif_url")</f>
        <v/>
      </c>
    </row>
    <row r="37" spans="1:26">
      <c r="A37" t="s">
        <v>187</v>
      </c>
      <c r="B37" t="s">
        <v>76</v>
      </c>
      <c r="C37" t="s">
        <v>188</v>
      </c>
      <c r="D37" t="b">
        <v>1</v>
      </c>
      <c r="E37" t="b">
        <v>1</v>
      </c>
      <c r="I37" t="s">
        <v>189</v>
      </c>
      <c r="J37" t="n">
        <v>3805</v>
      </c>
      <c r="K37" t="n">
        <v>100</v>
      </c>
      <c r="L37" t="n">
        <v>198</v>
      </c>
      <c r="M37" t="n">
        <v>0</v>
      </c>
      <c r="N37" t="n">
        <v>1</v>
      </c>
      <c r="O37" t="n">
        <v>0</v>
      </c>
      <c r="P37" t="s">
        <v>29</v>
      </c>
      <c r="Q37">
        <f>HYPERLINK("https://images.diginfra.net/framed3.html?imagesetuuid=e8c5617e-c060-4d57-a0d9-c22a4796ba85&amp;uri=https://images.diginfra.net/iiif/NL-HaNA_1.01.02/3805/NL-HaNA_1.01.02_3805_0100.jpg", "viewer_url")</f>
        <v/>
      </c>
      <c r="R37">
        <f>HYPERLINK("https://images.diginfra.net/iiif/NL-HaNA_1.01.02/3805/NL-HaNA_1.01.02_3805_0100.jpg/254,2753,1077,646/full/0/default.jpg", "iiif_url")</f>
        <v/>
      </c>
      <c r="S37" t="s">
        <v>29</v>
      </c>
      <c r="T37" t="s">
        <v>190</v>
      </c>
      <c r="U37">
        <f>HYPERLINK("https://images.diginfra.net/framed3.html?imagesetuuid=e8c5617e-c060-4d57-a0d9-c22a4796ba85&amp;uri=https://images.diginfra.net/iiif/NL-HaNA_1.01.02/3805/NL-HaNA_1.01.02_3805_0097.jpg", "prev_meeting_viewer_url")</f>
        <v/>
      </c>
      <c r="V37">
        <f>HYPERLINK("https://images.diginfra.net/iiif/NL-HaNA_1.01.02/3805/NL-HaNA_1.01.02_3805_0097.jpg/3339,2764,1092,649/full/0/default.jpg", "prev_meeting_iiif_url")</f>
        <v/>
      </c>
      <c r="W37" t="s">
        <v>29</v>
      </c>
      <c r="X37" t="s">
        <v>191</v>
      </c>
      <c r="Y37">
        <f>HYPERLINK("https://images.diginfra.net/framed3.html?imagesetuuid=e8c5617e-c060-4d57-a0d9-c22a4796ba85&amp;uri=https://images.diginfra.net/iiif/NL-HaNA_1.01.02/3805/NL-HaNA_1.01.02_3805_0100.jpg", "next_meeting_viewer_url")</f>
        <v/>
      </c>
      <c r="Z37">
        <f>HYPERLINK("https://images.diginfra.net/iiif/NL-HaNA_1.01.02/3805/NL-HaNA_1.01.02_3805_0100.jpg/3355,2267,1097,1158/full/0/default.jpg", "next_meeting_iiif_url")</f>
        <v/>
      </c>
    </row>
    <row r="38" spans="1:26">
      <c r="A38" t="s">
        <v>192</v>
      </c>
      <c r="B38" t="s">
        <v>76</v>
      </c>
      <c r="C38" t="s">
        <v>193</v>
      </c>
      <c r="D38" t="b">
        <v>1</v>
      </c>
      <c r="E38" t="b">
        <v>1</v>
      </c>
      <c r="I38" t="s">
        <v>194</v>
      </c>
      <c r="J38" t="n">
        <v>3772</v>
      </c>
      <c r="K38" t="n">
        <v>432</v>
      </c>
      <c r="L38" t="n">
        <v>863</v>
      </c>
      <c r="M38" t="n">
        <v>0</v>
      </c>
      <c r="N38" t="n">
        <v>1</v>
      </c>
      <c r="O38" t="n">
        <v>0</v>
      </c>
      <c r="P38" t="s">
        <v>29</v>
      </c>
      <c r="Q38">
        <f>HYPERLINK("https://images.diginfra.net/framed3.html?imagesetuuid=7816564e-398d-48a2-b251-a02a50cc0b59&amp;uri=https://images.diginfra.net/iiif/NL-HaNA_1.01.02/3772/NL-HaNA_1.01.02_3772_0432.jpg", "viewer_url")</f>
        <v/>
      </c>
      <c r="R38">
        <f>HYPERLINK("https://images.diginfra.net/iiif/NL-HaNA_1.01.02/3772/NL-HaNA_1.01.02_3772_0432.jpg/2394,698,1087,2702/full/0/default.jpg", "iiif_url")</f>
        <v/>
      </c>
      <c r="S38" t="s">
        <v>29</v>
      </c>
      <c r="T38" t="s">
        <v>195</v>
      </c>
      <c r="U38">
        <f>HYPERLINK("https://images.diginfra.net/framed3.html?imagesetuuid=7816564e-398d-48a2-b251-a02a50cc0b59&amp;uri=https://images.diginfra.net/iiif/NL-HaNA_1.01.02/3772/NL-HaNA_1.01.02_3772_0430.jpg", "prev_meeting_viewer_url")</f>
        <v/>
      </c>
      <c r="V38">
        <f>HYPERLINK("https://images.diginfra.net/iiif/NL-HaNA_1.01.02/3772/NL-HaNA_1.01.02_3772_0430.jpg/3400,2400,1025,906/full/0/default.jpg", "prev_meeting_iiif_url")</f>
        <v/>
      </c>
      <c r="W38" t="s">
        <v>29</v>
      </c>
      <c r="X38" t="s">
        <v>196</v>
      </c>
      <c r="Y38">
        <f>HYPERLINK("https://images.diginfra.net/framed3.html?imagesetuuid=7816564e-398d-48a2-b251-a02a50cc0b59&amp;uri=https://images.diginfra.net/iiif/NL-HaNA_1.01.02/3772/NL-HaNA_1.01.02_3772_0435.jpg", "next_meeting_viewer_url")</f>
        <v/>
      </c>
      <c r="Z38">
        <f>HYPERLINK("https://images.diginfra.net/iiif/NL-HaNA_1.01.02/3772/NL-HaNA_1.01.02_3772_0435.jpg/206,1315,1096,2102/full/0/default.jpg", "next_meeting_iiif_url")</f>
        <v/>
      </c>
    </row>
    <row r="39" spans="1:26">
      <c r="A39" t="s">
        <v>197</v>
      </c>
      <c r="B39" t="s">
        <v>76</v>
      </c>
      <c r="C39" t="s">
        <v>177</v>
      </c>
      <c r="D39" t="b">
        <v>1</v>
      </c>
      <c r="E39" t="b">
        <v>1</v>
      </c>
      <c r="I39" t="s">
        <v>198</v>
      </c>
      <c r="J39" t="n">
        <v>3822</v>
      </c>
      <c r="K39" t="n">
        <v>180</v>
      </c>
      <c r="L39" t="n">
        <v>358</v>
      </c>
      <c r="M39" t="n">
        <v>0</v>
      </c>
      <c r="N39" t="n">
        <v>1</v>
      </c>
      <c r="O39" t="n">
        <v>1</v>
      </c>
      <c r="P39" t="s">
        <v>33</v>
      </c>
      <c r="Q39">
        <f>HYPERLINK("https://images.diginfra.net/framed3.html?imagesetuuid=e0965315-891d-46c1-9dac-fc6b729921cf&amp;uri=https://images.diginfra.net/iiif/NL-HaNA_1.01.02/3822/NL-HaNA_1.01.02_3822_0180.jpg", "viewer_url")</f>
        <v/>
      </c>
      <c r="R39">
        <f>HYPERLINK("https://images.diginfra.net/iiif/NL-HaNA_1.01.02/3822/NL-HaNA_1.01.02_3822_0180.jpg/255,1908,1068,1415/full/0/default.jpg", "iiif_url")</f>
        <v/>
      </c>
      <c r="S39" t="s">
        <v>29</v>
      </c>
      <c r="T39" t="s">
        <v>174</v>
      </c>
      <c r="U39">
        <f>HYPERLINK("https://images.diginfra.net/framed3.html?imagesetuuid=e0965315-891d-46c1-9dac-fc6b729921cf&amp;uri=https://images.diginfra.net/iiif/NL-HaNA_1.01.02/3822/NL-HaNA_1.01.02_3822_0179.jpg", "prev_meeting_viewer_url")</f>
        <v/>
      </c>
      <c r="V39">
        <f>HYPERLINK("https://images.diginfra.net/iiif/NL-HaNA_1.01.02/3822/NL-HaNA_1.01.02_3822_0179.jpg/1192,652,1064,2652/full/0/default.jpg", "prev_meeting_iiif_url")</f>
        <v/>
      </c>
    </row>
    <row r="40" spans="1:26">
      <c r="A40" t="s">
        <v>199</v>
      </c>
      <c r="B40" t="s">
        <v>76</v>
      </c>
      <c r="C40" t="s">
        <v>200</v>
      </c>
      <c r="D40" t="b">
        <v>1</v>
      </c>
      <c r="E40" t="b">
        <v>1</v>
      </c>
      <c r="I40" t="s">
        <v>201</v>
      </c>
      <c r="J40" t="n">
        <v>3783</v>
      </c>
      <c r="K40" t="n">
        <v>214</v>
      </c>
      <c r="L40" t="n">
        <v>426</v>
      </c>
      <c r="M40" t="n">
        <v>1</v>
      </c>
      <c r="N40" t="n">
        <v>1</v>
      </c>
      <c r="O40" t="n">
        <v>0</v>
      </c>
      <c r="P40" t="s">
        <v>29</v>
      </c>
      <c r="Q40">
        <f>HYPERLINK("https://images.diginfra.net/framed3.html?imagesetuuid=67533019-4ca0-4b08-b87e-fd5590e7a077&amp;uri=https://images.diginfra.net/iiif/NL-HaNA_1.01.02/3783/NL-HaNA_1.01.02_3783_0214.jpg", "viewer_url")</f>
        <v/>
      </c>
      <c r="R40">
        <f>HYPERLINK("https://images.diginfra.net/iiif/NL-HaNA_1.01.02/3783/NL-HaNA_1.01.02_3783_0214.jpg/1160,680,1116,2786/full/0/default.jpg", "iiif_url")</f>
        <v/>
      </c>
      <c r="S40" t="s">
        <v>29</v>
      </c>
      <c r="T40" t="s">
        <v>126</v>
      </c>
      <c r="U40">
        <f>HYPERLINK("https://images.diginfra.net/framed3.html?imagesetuuid=67533019-4ca0-4b08-b87e-fd5590e7a077&amp;uri=https://images.diginfra.net/iiif/NL-HaNA_1.01.02/3783/NL-HaNA_1.01.02_3783_0211.jpg", "prev_meeting_viewer_url")</f>
        <v/>
      </c>
      <c r="V40">
        <f>HYPERLINK("https://images.diginfra.net/iiif/NL-HaNA_1.01.02/3783/NL-HaNA_1.01.02_3783_0211.jpg/2407,1841,1076,1617/full/0/default.jpg", "prev_meeting_iiif_url")</f>
        <v/>
      </c>
      <c r="W40" t="s">
        <v>29</v>
      </c>
      <c r="X40" t="s">
        <v>202</v>
      </c>
      <c r="Y40">
        <f>HYPERLINK("https://images.diginfra.net/framed3.html?imagesetuuid=67533019-4ca0-4b08-b87e-fd5590e7a077&amp;uri=https://images.diginfra.net/iiif/NL-HaNA_1.01.02/3783/NL-HaNA_1.01.02_3783_0216.jpg", "next_meeting_viewer_url")</f>
        <v/>
      </c>
      <c r="Z40">
        <f>HYPERLINK("https://images.diginfra.net/iiif/NL-HaNA_1.01.02/3783/NL-HaNA_1.01.02_3783_0216.jpg/3356,2069,1075,1319/full/0/default.jpg", "next_meeting_iiif_url")</f>
        <v/>
      </c>
    </row>
    <row r="41" spans="1:26">
      <c r="A41" t="s">
        <v>203</v>
      </c>
      <c r="B41" t="s">
        <v>27</v>
      </c>
      <c r="C41" t="s">
        <v>204</v>
      </c>
      <c r="D41" t="b">
        <v>1</v>
      </c>
      <c r="E41" t="b">
        <v>1</v>
      </c>
      <c r="I41" t="s">
        <v>205</v>
      </c>
      <c r="J41" t="n">
        <v>3760</v>
      </c>
      <c r="K41" t="n">
        <v>649</v>
      </c>
      <c r="L41" t="n">
        <v>1296</v>
      </c>
      <c r="M41" t="n">
        <v>0</v>
      </c>
      <c r="N41" t="n">
        <v>1</v>
      </c>
      <c r="O41" t="n">
        <v>15</v>
      </c>
      <c r="P41" t="s">
        <v>29</v>
      </c>
      <c r="Q41">
        <f>HYPERLINK("https://images.diginfra.net/framed3.html?imagesetuuid=dc1aea1e-5e7b-4d50-b913-c0d5902dbd85&amp;uri=https://images.diginfra.net/iiif/NL-HaNA_1.01.02/3760/NL-HaNA_1.01.02_3760_0649.jpg", "viewer_url")</f>
        <v/>
      </c>
      <c r="R41">
        <f>HYPERLINK("https://images.diginfra.net/iiif/NL-HaNA_1.01.02/3760/NL-HaNA_1.01.02_3760_0649.jpg/328,1361,1100,1967/full/0/default.jpg", "iiif_url")</f>
        <v/>
      </c>
      <c r="S41" t="s">
        <v>29</v>
      </c>
      <c r="T41" t="s">
        <v>206</v>
      </c>
      <c r="U41">
        <f>HYPERLINK("https://images.diginfra.net/framed3.html?imagesetuuid=dc1aea1e-5e7b-4d50-b913-c0d5902dbd85&amp;uri=https://images.diginfra.net/iiif/NL-HaNA_1.01.02/3760/NL-HaNA_1.01.02_3760_0645.jpg", "prev_meeting_viewer_url")</f>
        <v/>
      </c>
      <c r="V41">
        <f>HYPERLINK("https://images.diginfra.net/iiif/NL-HaNA_1.01.02/3760/NL-HaNA_1.01.02_3760_0645.jpg/3364,757,1114,2626/full/0/default.jpg", "prev_meeting_iiif_url")</f>
        <v/>
      </c>
      <c r="W41" t="s">
        <v>29</v>
      </c>
      <c r="X41" t="s">
        <v>207</v>
      </c>
      <c r="Y41">
        <f>HYPERLINK("https://images.diginfra.net/framed3.html?imagesetuuid=dc1aea1e-5e7b-4d50-b913-c0d5902dbd85&amp;uri=https://images.diginfra.net/iiif/NL-HaNA_1.01.02/3760/NL-HaNA_1.01.02_3760_0652.jpg", "next_meeting_viewer_url")</f>
        <v/>
      </c>
      <c r="Z41">
        <f>HYPERLINK("https://images.diginfra.net/iiif/NL-HaNA_1.01.02/3760/NL-HaNA_1.01.02_3760_0652.jpg/350,759,1114,2657/full/0/default.jpg", "next_meeting_iiif_url")</f>
        <v/>
      </c>
    </row>
    <row r="42" spans="1:26">
      <c r="A42" t="s">
        <v>208</v>
      </c>
      <c r="B42" t="s">
        <v>76</v>
      </c>
      <c r="C42" t="s">
        <v>209</v>
      </c>
      <c r="D42" t="b">
        <v>1</v>
      </c>
      <c r="E42" t="b">
        <v>1</v>
      </c>
      <c r="I42" t="s">
        <v>210</v>
      </c>
      <c r="J42" t="n">
        <v>3831</v>
      </c>
      <c r="K42" t="n">
        <v>157</v>
      </c>
      <c r="L42" t="n">
        <v>312</v>
      </c>
      <c r="M42" t="n">
        <v>0</v>
      </c>
      <c r="N42" t="n">
        <v>0</v>
      </c>
      <c r="O42" t="n">
        <v>0</v>
      </c>
      <c r="P42" t="s">
        <v>29</v>
      </c>
      <c r="Q42">
        <f>HYPERLINK("https://images.diginfra.net/framed3.html?imagesetuuid=fbccadee-0831-4262-9b53-6f48467f765a&amp;uri=https://images.diginfra.net/iiif/NL-HaNA_1.01.02/3831/NL-HaNA_1.01.02_3831_0157.jpg", "viewer_url")</f>
        <v/>
      </c>
      <c r="R42">
        <f>HYPERLINK("https://images.diginfra.net/iiif/NL-HaNA_1.01.02/3831/NL-HaNA_1.01.02_3831_0157.jpg/238,281,1085,3130/full/0/default.jpg", "iiif_url")</f>
        <v/>
      </c>
      <c r="S42" t="s">
        <v>29</v>
      </c>
      <c r="T42" t="s">
        <v>211</v>
      </c>
      <c r="U42">
        <f>HYPERLINK("https://images.diginfra.net/framed3.html?imagesetuuid=fbccadee-0831-4262-9b53-6f48467f765a&amp;uri=https://images.diginfra.net/iiif/NL-HaNA_1.01.02/3831/NL-HaNA_1.01.02_3831_0150.jpg", "prev_meeting_viewer_url")</f>
        <v/>
      </c>
      <c r="V42">
        <f>HYPERLINK("https://images.diginfra.net/iiif/NL-HaNA_1.01.02/3831/NL-HaNA_1.01.02_3831_0150.jpg/3363,2848,1009,567/full/0/default.jpg", "prev_meeting_iiif_url")</f>
        <v/>
      </c>
      <c r="W42" t="s">
        <v>29</v>
      </c>
      <c r="X42" t="s">
        <v>212</v>
      </c>
      <c r="Y42">
        <f>HYPERLINK("https://images.diginfra.net/framed3.html?imagesetuuid=fbccadee-0831-4262-9b53-6f48467f765a&amp;uri=https://images.diginfra.net/iiif/NL-HaNA_1.01.02/3831/NL-HaNA_1.01.02_3831_0158.jpg", "next_meeting_viewer_url")</f>
        <v/>
      </c>
      <c r="Z42">
        <f>HYPERLINK("https://images.diginfra.net/iiif/NL-HaNA_1.01.02/3831/NL-HaNA_1.01.02_3831_0158.jpg/256,473,1075,2925/full/0/default.jpg", "next_meeting_iiif_url")</f>
        <v/>
      </c>
    </row>
    <row r="43" spans="1:26">
      <c r="A43" t="s">
        <v>213</v>
      </c>
      <c r="B43" t="s">
        <v>27</v>
      </c>
      <c r="C43" t="s">
        <v>214</v>
      </c>
      <c r="D43" t="b">
        <v>1</v>
      </c>
      <c r="E43" t="b">
        <v>1</v>
      </c>
      <c r="I43" t="s">
        <v>215</v>
      </c>
      <c r="J43" t="n">
        <v>3808</v>
      </c>
      <c r="K43" t="n">
        <v>285</v>
      </c>
      <c r="L43" t="n">
        <v>568</v>
      </c>
      <c r="M43" t="n">
        <v>1</v>
      </c>
      <c r="N43" t="n">
        <v>1</v>
      </c>
      <c r="O43" t="n">
        <v>0</v>
      </c>
      <c r="P43" t="s">
        <v>29</v>
      </c>
      <c r="Q43">
        <f>HYPERLINK("https://images.diginfra.net/framed3.html?imagesetuuid=d7b14369-fedc-4c2f-b4ba-0014f4e297b6&amp;uri=https://images.diginfra.net/iiif/NL-HaNA_1.01.02/3808/NL-HaNA_1.01.02_3808_0285.jpg", "viewer_url")</f>
        <v/>
      </c>
      <c r="R43">
        <f>HYPERLINK("https://images.diginfra.net/iiif/NL-HaNA_1.01.02/3808/NL-HaNA_1.01.02_3808_0285.jpg/1232,562,1098,2826/full/0/default.jpg", "iiif_url")</f>
        <v/>
      </c>
      <c r="S43" t="s">
        <v>29</v>
      </c>
      <c r="T43" t="s">
        <v>216</v>
      </c>
      <c r="U43">
        <f>HYPERLINK("https://images.diginfra.net/framed3.html?imagesetuuid=d7b14369-fedc-4c2f-b4ba-0014f4e297b6&amp;uri=https://images.diginfra.net/iiif/NL-HaNA_1.01.02/3808/NL-HaNA_1.01.02_3808_0283.jpg", "prev_meeting_viewer_url")</f>
        <v/>
      </c>
      <c r="V43">
        <f>HYPERLINK("https://images.diginfra.net/iiif/NL-HaNA_1.01.02/3808/NL-HaNA_1.01.02_3808_0283.jpg/1265,2424,1037,1025/full/0/default.jpg", "prev_meeting_iiif_url")</f>
        <v/>
      </c>
      <c r="W43" t="s">
        <v>29</v>
      </c>
      <c r="X43" t="s">
        <v>217</v>
      </c>
      <c r="Y43">
        <f>HYPERLINK("https://images.diginfra.net/framed3.html?imagesetuuid=d7b14369-fedc-4c2f-b4ba-0014f4e297b6&amp;uri=https://images.diginfra.net/iiif/NL-HaNA_1.01.02/3808/NL-HaNA_1.01.02_3808_0286.jpg", "next_meeting_viewer_url")</f>
        <v/>
      </c>
      <c r="Z43">
        <f>HYPERLINK("https://images.diginfra.net/iiif/NL-HaNA_1.01.02/3808/NL-HaNA_1.01.02_3808_0286.jpg/1173,1614,1094,1780/full/0/default.jpg", "next_meeting_iiif_url")</f>
        <v/>
      </c>
    </row>
    <row r="44" spans="1:26">
      <c r="A44" t="s">
        <v>218</v>
      </c>
      <c r="B44" t="s">
        <v>63</v>
      </c>
      <c r="C44" t="s">
        <v>219</v>
      </c>
      <c r="D44" t="b">
        <v>1</v>
      </c>
      <c r="E44" t="b">
        <v>1</v>
      </c>
      <c r="I44" t="s">
        <v>220</v>
      </c>
      <c r="J44" t="n">
        <v>3781</v>
      </c>
      <c r="K44" t="n">
        <v>117</v>
      </c>
      <c r="L44" t="n">
        <v>232</v>
      </c>
      <c r="M44" t="n">
        <v>0</v>
      </c>
      <c r="N44" t="n">
        <v>0</v>
      </c>
      <c r="O44" t="n">
        <v>26</v>
      </c>
      <c r="P44" t="s">
        <v>29</v>
      </c>
      <c r="Q44">
        <f>HYPERLINK("https://images.diginfra.net/framed3.html?imagesetuuid=7806433b-7f26-4d4e-8e76-37d108a188de&amp;uri=https://images.diginfra.net/iiif/NL-HaNA_1.01.02/3781/NL-HaNA_1.01.02_3781_0117.jpg", "viewer_url")</f>
        <v/>
      </c>
      <c r="R44">
        <f>HYPERLINK("https://images.diginfra.net/iiif/NL-HaNA_1.01.02/3781/NL-HaNA_1.01.02_3781_0117.jpg/430,1560,1093,1894/full/0/default.jpg", "iiif_url")</f>
        <v/>
      </c>
      <c r="S44" t="s">
        <v>29</v>
      </c>
      <c r="T44" t="s">
        <v>221</v>
      </c>
      <c r="U44">
        <f>HYPERLINK("https://images.diginfra.net/framed3.html?imagesetuuid=7806433b-7f26-4d4e-8e76-37d108a188de&amp;uri=https://images.diginfra.net/iiif/NL-HaNA_1.01.02/3781/NL-HaNA_1.01.02_3781_0115.jpg", "prev_meeting_viewer_url")</f>
        <v/>
      </c>
      <c r="V44">
        <f>HYPERLINK("https://images.diginfra.net/iiif/NL-HaNA_1.01.02/3781/NL-HaNA_1.01.02_3781_0115.jpg/2646,1437,1097,2063/full/0/default.jpg", "prev_meeting_iiif_url")</f>
        <v/>
      </c>
      <c r="W44" t="s">
        <v>29</v>
      </c>
      <c r="X44" t="s">
        <v>222</v>
      </c>
      <c r="Y44">
        <f>HYPERLINK("https://images.diginfra.net/framed3.html?imagesetuuid=7806433b-7f26-4d4e-8e76-37d108a188de&amp;uri=https://images.diginfra.net/iiif/NL-HaNA_1.01.02/3781/NL-HaNA_1.01.02_3781_0118.jpg", "next_meeting_viewer_url")</f>
        <v/>
      </c>
      <c r="Z44">
        <f>HYPERLINK("https://images.diginfra.net/iiif/NL-HaNA_1.01.02/3781/NL-HaNA_1.01.02_3781_0118.jpg/435,1595,1096,1874/full/0/default.jpg", "next_meeting_iiif_url")</f>
        <v/>
      </c>
    </row>
    <row r="45" spans="1:26">
      <c r="A45" t="s">
        <v>223</v>
      </c>
      <c r="B45" t="s">
        <v>76</v>
      </c>
      <c r="C45" t="s">
        <v>224</v>
      </c>
      <c r="D45" t="b">
        <v>1</v>
      </c>
      <c r="E45" t="b">
        <v>1</v>
      </c>
      <c r="I45" t="s">
        <v>225</v>
      </c>
      <c r="J45" t="n">
        <v>3777</v>
      </c>
      <c r="K45" t="n">
        <v>238</v>
      </c>
      <c r="L45" t="n">
        <v>474</v>
      </c>
      <c r="M45" t="n">
        <v>1</v>
      </c>
      <c r="N45" t="n">
        <v>1</v>
      </c>
      <c r="O45" t="n">
        <v>0</v>
      </c>
      <c r="P45" t="s">
        <v>29</v>
      </c>
      <c r="Q45">
        <f>HYPERLINK("https://images.diginfra.net/framed3.html?imagesetuuid=d79a5b0f-25ac-4440-9b23-adc237614d07&amp;uri=https://images.diginfra.net/iiif/NL-HaNA_1.01.02/3777/NL-HaNA_1.01.02_3777_0238.jpg", "viewer_url")</f>
        <v/>
      </c>
      <c r="R45">
        <f>HYPERLINK("https://images.diginfra.net/iiif/NL-HaNA_1.01.02/3777/NL-HaNA_1.01.02_3777_0238.jpg/1334,675,1109,2719/full/0/default.jpg", "iiif_url")</f>
        <v/>
      </c>
      <c r="S45" t="s">
        <v>29</v>
      </c>
      <c r="T45" t="s">
        <v>226</v>
      </c>
      <c r="U45">
        <f>HYPERLINK("https://images.diginfra.net/framed3.html?imagesetuuid=d79a5b0f-25ac-4440-9b23-adc237614d07&amp;uri=https://images.diginfra.net/iiif/NL-HaNA_1.01.02/3777/NL-HaNA_1.01.02_3777_0238.jpg", "prev_meeting_viewer_url")</f>
        <v/>
      </c>
      <c r="V45">
        <f>HYPERLINK("https://images.diginfra.net/iiif/NL-HaNA_1.01.02/3777/NL-HaNA_1.01.02_3777_0238.jpg/358,282,1139,3114/full/0/default.jpg", "prev_meeting_iiif_url")</f>
        <v/>
      </c>
      <c r="W45" t="s">
        <v>29</v>
      </c>
      <c r="X45" t="s">
        <v>227</v>
      </c>
      <c r="Y45">
        <f>HYPERLINK("https://images.diginfra.net/framed3.html?imagesetuuid=d79a5b0f-25ac-4440-9b23-adc237614d07&amp;uri=https://images.diginfra.net/iiif/NL-HaNA_1.01.02/3777/NL-HaNA_1.01.02_3777_0239.jpg", "next_meeting_viewer_url")</f>
        <v/>
      </c>
      <c r="Z45">
        <f>HYPERLINK("https://images.diginfra.net/iiif/NL-HaNA_1.01.02/3777/NL-HaNA_1.01.02_3777_0239.jpg/2433,1988,1089,1428/full/0/default.jpg", "next_meeting_iiif_url")</f>
        <v/>
      </c>
    </row>
    <row r="46" spans="1:26">
      <c r="A46" t="s">
        <v>228</v>
      </c>
      <c r="B46" t="s">
        <v>27</v>
      </c>
      <c r="C46" t="s">
        <v>229</v>
      </c>
      <c r="D46" t="b">
        <v>1</v>
      </c>
      <c r="E46" t="b">
        <v>1</v>
      </c>
      <c r="I46" t="s">
        <v>230</v>
      </c>
      <c r="J46" t="n">
        <v>3789</v>
      </c>
      <c r="K46" t="n">
        <v>134</v>
      </c>
      <c r="L46" t="n">
        <v>266</v>
      </c>
      <c r="M46" t="n">
        <v>1</v>
      </c>
      <c r="N46" t="n">
        <v>1</v>
      </c>
      <c r="O46" t="n">
        <v>0</v>
      </c>
      <c r="P46" t="s">
        <v>33</v>
      </c>
      <c r="Q46">
        <f>HYPERLINK("https://images.diginfra.net/framed3.html?imagesetuuid=b2a3e6f4-5cd7-4539-b0af-036095fc5ec2&amp;uri=https://images.diginfra.net/iiif/NL-HaNA_1.01.02/3789/NL-HaNA_1.01.02_3789_0134.jpg", "viewer_url")</f>
        <v/>
      </c>
      <c r="R46">
        <f>HYPERLINK("https://images.diginfra.net/iiif/NL-HaNA_1.01.02/3789/NL-HaNA_1.01.02_3789_0134.jpg/1250,539,1100,2901/full/0/default.jpg", "iiif_url")</f>
        <v/>
      </c>
      <c r="W46" t="s">
        <v>33</v>
      </c>
      <c r="X46" t="s">
        <v>231</v>
      </c>
      <c r="Y46">
        <f>HYPERLINK("https://images.diginfra.net/framed3.html?imagesetuuid=b2a3e6f4-5cd7-4539-b0af-036095fc5ec2&amp;uri=https://images.diginfra.net/iiif/NL-HaNA_1.01.02/3789/NL-HaNA_1.01.02_3789_0133.jpg", "next_meeting_viewer_url")</f>
        <v/>
      </c>
      <c r="Z46">
        <f>HYPERLINK("https://images.diginfra.net/iiif/NL-HaNA_1.01.02/3789/NL-HaNA_1.01.02_3789_0133.jpg/338,2808,1056,637/full/0/default.jpg", "next_meeting_iiif_url")</f>
        <v/>
      </c>
    </row>
    <row r="47" spans="1:26">
      <c r="A47" t="s">
        <v>232</v>
      </c>
      <c r="B47" t="s">
        <v>53</v>
      </c>
      <c r="C47" t="s">
        <v>233</v>
      </c>
      <c r="D47" t="b">
        <v>1</v>
      </c>
      <c r="E47" t="b">
        <v>1</v>
      </c>
      <c r="I47" t="s">
        <v>234</v>
      </c>
      <c r="J47" t="n">
        <v>3822</v>
      </c>
      <c r="K47" t="n">
        <v>207</v>
      </c>
      <c r="L47" t="n">
        <v>413</v>
      </c>
      <c r="M47" t="n">
        <v>1</v>
      </c>
      <c r="N47" t="n">
        <v>1</v>
      </c>
      <c r="O47" t="n">
        <v>0</v>
      </c>
      <c r="P47" t="s">
        <v>29</v>
      </c>
      <c r="Q47">
        <f>HYPERLINK("https://images.diginfra.net/framed3.html?imagesetuuid=e0965315-891d-46c1-9dac-fc6b729921cf&amp;uri=https://images.diginfra.net/iiif/NL-HaNA_1.01.02/3822/NL-HaNA_1.01.02_3822_0207.jpg", "viewer_url")</f>
        <v/>
      </c>
      <c r="R47">
        <f>HYPERLINK("https://images.diginfra.net/iiif/NL-HaNA_1.01.02/3822/NL-HaNA_1.01.02_3822_0207.jpg/3318,354,1070,3018/full/0/default.jpg", "iiif_url")</f>
        <v/>
      </c>
      <c r="S47" t="s">
        <v>29</v>
      </c>
      <c r="T47" t="s">
        <v>235</v>
      </c>
      <c r="U47">
        <f>HYPERLINK("https://images.diginfra.net/framed3.html?imagesetuuid=e0965315-891d-46c1-9dac-fc6b729921cf&amp;uri=https://images.diginfra.net/iiif/NL-HaNA_1.01.02/3822/NL-HaNA_1.01.02_3822_0204.jpg", "prev_meeting_viewer_url")</f>
        <v/>
      </c>
      <c r="V47">
        <f>HYPERLINK("https://images.diginfra.net/iiif/NL-HaNA_1.01.02/3822/NL-HaNA_1.01.02_3822_0204.jpg/1282,2635,1018,732/full/0/default.jpg", "prev_meeting_iiif_url")</f>
        <v/>
      </c>
      <c r="W47" t="s">
        <v>29</v>
      </c>
      <c r="X47" t="s">
        <v>236</v>
      </c>
      <c r="Y47">
        <f>HYPERLINK("https://images.diginfra.net/framed3.html?imagesetuuid=e0965315-891d-46c1-9dac-fc6b729921cf&amp;uri=https://images.diginfra.net/iiif/NL-HaNA_1.01.02/3822/NL-HaNA_1.01.02_3822_0208.jpg", "next_meeting_viewer_url")</f>
        <v/>
      </c>
      <c r="Z47">
        <f>HYPERLINK("https://images.diginfra.net/iiif/NL-HaNA_1.01.02/3822/NL-HaNA_1.01.02_3822_0208.jpg/2422,2098,1006,1234/full/0/default.jpg", "next_meeting_iiif_url")</f>
        <v/>
      </c>
    </row>
    <row r="48" spans="1:26">
      <c r="A48" t="s">
        <v>237</v>
      </c>
      <c r="B48" t="s">
        <v>76</v>
      </c>
      <c r="C48" t="s">
        <v>238</v>
      </c>
      <c r="D48" t="b">
        <v>1</v>
      </c>
      <c r="E48" t="b">
        <v>1</v>
      </c>
      <c r="I48" t="s">
        <v>239</v>
      </c>
      <c r="J48" t="n">
        <v>3839</v>
      </c>
      <c r="K48" t="n">
        <v>84</v>
      </c>
      <c r="L48" t="n">
        <v>167</v>
      </c>
      <c r="M48" t="n">
        <v>1</v>
      </c>
      <c r="N48" t="n">
        <v>2</v>
      </c>
      <c r="O48" t="n">
        <v>0</v>
      </c>
      <c r="P48" t="s">
        <v>29</v>
      </c>
      <c r="Q48">
        <f>HYPERLINK("https://images.diginfra.net/framed3.html?imagesetuuid=bd074b51-3206-4dd9-b65b-2a404481d480&amp;uri=https://images.diginfra.net/iiif/NL-HaNA_1.01.02/3839/NL-HaNA_1.01.02_3839_0084.jpg", "viewer_url")</f>
        <v/>
      </c>
      <c r="R48">
        <f>HYPERLINK("https://images.diginfra.net/iiif/NL-HaNA_1.01.02/3839/NL-HaNA_1.01.02_3839_0084.jpg/3346,1945,1044,1324/full/0/default.jpg", "iiif_url")</f>
        <v/>
      </c>
      <c r="S48" t="s">
        <v>29</v>
      </c>
      <c r="T48" t="s">
        <v>240</v>
      </c>
      <c r="U48">
        <f>HYPERLINK("https://images.diginfra.net/framed3.html?imagesetuuid=bd074b51-3206-4dd9-b65b-2a404481d480&amp;uri=https://images.diginfra.net/iiif/NL-HaNA_1.01.02/3839/NL-HaNA_1.01.02_3839_0084.jpg", "prev_meeting_viewer_url")</f>
        <v/>
      </c>
      <c r="V48">
        <f>HYPERLINK("https://images.diginfra.net/iiif/NL-HaNA_1.01.02/3839/NL-HaNA_1.01.02_3839_0084.jpg/235,2179,1049,1272/full/0/default.jpg", "prev_meeting_iiif_url")</f>
        <v/>
      </c>
      <c r="W48" t="s">
        <v>29</v>
      </c>
      <c r="X48" t="s">
        <v>241</v>
      </c>
      <c r="Y48">
        <f>HYPERLINK("https://images.diginfra.net/framed3.html?imagesetuuid=bd074b51-3206-4dd9-b65b-2a404481d480&amp;uri=https://images.diginfra.net/iiif/NL-HaNA_1.01.02/3839/NL-HaNA_1.01.02_3839_0086.jpg", "next_meeting_viewer_url")</f>
        <v/>
      </c>
      <c r="Z48">
        <f>HYPERLINK("https://images.diginfra.net/iiif/NL-HaNA_1.01.02/3839/NL-HaNA_1.01.02_3839_0086.jpg/3288,523,1102,2917/full/0/default.jpg", "next_meeting_iiif_url")</f>
        <v/>
      </c>
    </row>
    <row r="49" spans="1:26">
      <c r="A49" t="s">
        <v>242</v>
      </c>
      <c r="B49" t="s">
        <v>27</v>
      </c>
      <c r="C49" t="s">
        <v>243</v>
      </c>
      <c r="D49" t="b">
        <v>1</v>
      </c>
      <c r="E49" t="b">
        <v>1</v>
      </c>
      <c r="I49" t="s">
        <v>244</v>
      </c>
      <c r="J49" t="n">
        <v>3801</v>
      </c>
      <c r="K49" t="n">
        <v>340</v>
      </c>
      <c r="L49" t="n">
        <v>679</v>
      </c>
      <c r="M49" t="n">
        <v>1</v>
      </c>
      <c r="N49" t="n">
        <v>1</v>
      </c>
      <c r="O49" t="n">
        <v>0</v>
      </c>
      <c r="P49" t="s">
        <v>29</v>
      </c>
      <c r="Q49">
        <f>HYPERLINK("https://images.diginfra.net/framed3.html?imagesetuuid=f36c8416-59a8-4b1a-a82a-ef225cbd1971&amp;uri=https://images.diginfra.net/iiif/NL-HaNA_1.01.02/3801/NL-HaNA_1.01.02_3801_0340.jpg", "viewer_url")</f>
        <v/>
      </c>
      <c r="R49">
        <f>HYPERLINK("https://images.diginfra.net/iiif/NL-HaNA_1.01.02/3801/NL-HaNA_1.01.02_3801_0340.jpg/3356,665,1103,2755/full/0/default.jpg", "iiif_url")</f>
        <v/>
      </c>
      <c r="S49" t="s">
        <v>29</v>
      </c>
      <c r="T49" t="s">
        <v>245</v>
      </c>
      <c r="U49">
        <f>HYPERLINK("https://images.diginfra.net/framed3.html?imagesetuuid=f36c8416-59a8-4b1a-a82a-ef225cbd1971&amp;uri=https://images.diginfra.net/iiif/NL-HaNA_1.01.02/3801/NL-HaNA_1.01.02_3801_0339.jpg", "prev_meeting_viewer_url")</f>
        <v/>
      </c>
      <c r="V49">
        <f>HYPERLINK("https://images.diginfra.net/iiif/NL-HaNA_1.01.02/3801/NL-HaNA_1.01.02_3801_0339.jpg/3435,2560,1046,817/full/0/default.jpg", "prev_meeting_iiif_url")</f>
        <v/>
      </c>
      <c r="W49" t="s">
        <v>29</v>
      </c>
      <c r="X49" t="s">
        <v>246</v>
      </c>
      <c r="Y49">
        <f>HYPERLINK("https://images.diginfra.net/framed3.html?imagesetuuid=f36c8416-59a8-4b1a-a82a-ef225cbd1971&amp;uri=https://images.diginfra.net/iiif/NL-HaNA_1.01.02/3801/NL-HaNA_1.01.02_3801_0341.jpg", "next_meeting_viewer_url")</f>
        <v/>
      </c>
      <c r="Z49">
        <f>HYPERLINK("https://images.diginfra.net/iiif/NL-HaNA_1.01.02/3801/NL-HaNA_1.01.02_3801_0341.jpg/3373,919,1086,2448/full/0/default.jpg", "next_meeting_iiif_url")</f>
        <v/>
      </c>
    </row>
    <row r="50" spans="1:26">
      <c r="A50" t="s">
        <v>247</v>
      </c>
      <c r="B50" t="s">
        <v>76</v>
      </c>
      <c r="C50" t="s">
        <v>248</v>
      </c>
      <c r="D50" t="b">
        <v>1</v>
      </c>
      <c r="E50" t="b">
        <v>1</v>
      </c>
      <c r="I50" t="s">
        <v>249</v>
      </c>
      <c r="J50" t="n">
        <v>3798</v>
      </c>
      <c r="K50" t="n">
        <v>339</v>
      </c>
      <c r="L50" t="n">
        <v>676</v>
      </c>
      <c r="M50" t="n">
        <v>0</v>
      </c>
      <c r="N50" t="n">
        <v>1</v>
      </c>
      <c r="O50" t="n">
        <v>0</v>
      </c>
      <c r="P50" t="s">
        <v>29</v>
      </c>
      <c r="Q50">
        <f>HYPERLINK("https://images.diginfra.net/framed3.html?imagesetuuid=c3e98c27-09b5-46e4-b19a-b811d240b059&amp;uri=https://images.diginfra.net/iiif/NL-HaNA_1.01.02/3798/NL-HaNA_1.01.02_3798_0339.jpg", "viewer_url")</f>
        <v/>
      </c>
      <c r="R50">
        <f>HYPERLINK("https://images.diginfra.net/iiif/NL-HaNA_1.01.02/3798/NL-HaNA_1.01.02_3798_0339.jpg/379,1230,1090,2182/full/0/default.jpg", "iiif_url")</f>
        <v/>
      </c>
      <c r="S50" t="s">
        <v>29</v>
      </c>
      <c r="T50" t="s">
        <v>250</v>
      </c>
      <c r="U50">
        <f>HYPERLINK("https://images.diginfra.net/framed3.html?imagesetuuid=c3e98c27-09b5-46e4-b19a-b811d240b059&amp;uri=https://images.diginfra.net/iiif/NL-HaNA_1.01.02/3798/NL-HaNA_1.01.02_3798_0338.jpg", "prev_meeting_viewer_url")</f>
        <v/>
      </c>
      <c r="V50">
        <f>HYPERLINK("https://images.diginfra.net/iiif/NL-HaNA_1.01.02/3798/NL-HaNA_1.01.02_3798_0338.jpg/2419,342,1150,3137/full/0/default.jpg", "prev_meeting_iiif_url")</f>
        <v/>
      </c>
      <c r="W50" t="s">
        <v>29</v>
      </c>
      <c r="X50" t="s">
        <v>251</v>
      </c>
      <c r="Y50">
        <f>HYPERLINK("https://images.diginfra.net/framed3.html?imagesetuuid=c3e98c27-09b5-46e4-b19a-b811d240b059&amp;uri=https://images.diginfra.net/iiif/NL-HaNA_1.01.02/3798/NL-HaNA_1.01.02_3798_0340.jpg", "next_meeting_viewer_url")</f>
        <v/>
      </c>
      <c r="Z50">
        <f>HYPERLINK("https://images.diginfra.net/iiif/NL-HaNA_1.01.02/3798/NL-HaNA_1.01.02_3798_0340.jpg/3379,1071,1092,2282/full/0/default.jpg", "next_meeting_iiif_url")</f>
        <v/>
      </c>
    </row>
    <row r="51" spans="1:26">
      <c r="A51" t="s">
        <v>252</v>
      </c>
      <c r="B51" t="s">
        <v>76</v>
      </c>
      <c r="C51" t="s">
        <v>253</v>
      </c>
      <c r="D51" t="b">
        <v>1</v>
      </c>
      <c r="E51" t="b">
        <v>1</v>
      </c>
      <c r="I51" t="s">
        <v>254</v>
      </c>
      <c r="J51" t="n">
        <v>3828</v>
      </c>
      <c r="K51" t="n">
        <v>224</v>
      </c>
      <c r="L51" t="n">
        <v>446</v>
      </c>
      <c r="M51" t="n">
        <v>1</v>
      </c>
      <c r="N51" t="n">
        <v>2</v>
      </c>
      <c r="O51" t="n">
        <v>0</v>
      </c>
      <c r="P51" t="s">
        <v>29</v>
      </c>
      <c r="Q51">
        <f>HYPERLINK("https://images.diginfra.net/framed3.html?imagesetuuid=be73aab8-e683-41ef-8f90-2432e0a35eb8&amp;uri=https://images.diginfra.net/iiif/NL-HaNA_1.01.02/3828/NL-HaNA_1.01.02_3828_0224.jpg", "viewer_url")</f>
        <v/>
      </c>
      <c r="R51">
        <f>HYPERLINK("https://images.diginfra.net/iiif/NL-HaNA_1.01.02/3828/NL-HaNA_1.01.02_3828_0224.jpg/1195,1542,1076,1788/full/0/default.jpg", "iiif_url")</f>
        <v/>
      </c>
      <c r="S51" t="s">
        <v>29</v>
      </c>
      <c r="T51" t="s">
        <v>255</v>
      </c>
      <c r="U51">
        <f>HYPERLINK("https://images.diginfra.net/framed3.html?imagesetuuid=be73aab8-e683-41ef-8f90-2432e0a35eb8&amp;uri=https://images.diginfra.net/iiif/NL-HaNA_1.01.02/3828/NL-HaNA_1.01.02_3828_0223.jpg", "prev_meeting_viewer_url")</f>
        <v/>
      </c>
      <c r="V51">
        <f>HYPERLINK("https://images.diginfra.net/iiif/NL-HaNA_1.01.02/3828/NL-HaNA_1.01.02_3828_0223.jpg/2360,1139,1010,1224/full/0/default.jpg", "prev_meeting_iiif_url")</f>
        <v/>
      </c>
      <c r="W51" t="s">
        <v>29</v>
      </c>
      <c r="X51" t="s">
        <v>256</v>
      </c>
      <c r="Y51">
        <f>HYPERLINK("https://images.diginfra.net/framed3.html?imagesetuuid=be73aab8-e683-41ef-8f90-2432e0a35eb8&amp;uri=https://images.diginfra.net/iiif/NL-HaNA_1.01.02/3828/NL-HaNA_1.01.02_3828_0228.jpg", "next_meeting_viewer_url")</f>
        <v/>
      </c>
      <c r="Z51">
        <f>HYPERLINK("https://images.diginfra.net/iiif/NL-HaNA_1.01.02/3828/NL-HaNA_1.01.02_3828_0228.jpg/1250,2453,1029,811/full/0/default.jpg", "next_meeting_iiif_url")</f>
        <v/>
      </c>
    </row>
    <row r="52" spans="1:26">
      <c r="A52" t="s">
        <v>257</v>
      </c>
      <c r="B52" t="s">
        <v>53</v>
      </c>
      <c r="C52" t="s">
        <v>258</v>
      </c>
      <c r="D52" t="b">
        <v>1</v>
      </c>
      <c r="E52" t="b">
        <v>1</v>
      </c>
      <c r="I52" t="s">
        <v>259</v>
      </c>
      <c r="J52" t="n">
        <v>3811</v>
      </c>
      <c r="K52" t="n">
        <v>115</v>
      </c>
      <c r="L52" t="n">
        <v>229</v>
      </c>
      <c r="M52" t="n">
        <v>1</v>
      </c>
      <c r="N52" t="n">
        <v>2</v>
      </c>
      <c r="O52" t="n">
        <v>0</v>
      </c>
      <c r="P52" t="s">
        <v>29</v>
      </c>
      <c r="Q52">
        <f>HYPERLINK("https://images.diginfra.net/framed3.html?imagesetuuid=f707f64c-15ec-4624-ba99-82cb83d16c2c&amp;uri=https://images.diginfra.net/iiif/NL-HaNA_1.01.02/3811/NL-HaNA_1.01.02_3811_0115.jpg", "viewer_url")</f>
        <v/>
      </c>
      <c r="R52">
        <f>HYPERLINK("https://images.diginfra.net/iiif/NL-HaNA_1.01.02/3811/NL-HaNA_1.01.02_3811_0115.jpg/3355,1652,1102,1743/full/0/default.jpg", "iiif_url")</f>
        <v/>
      </c>
      <c r="S52" t="s">
        <v>29</v>
      </c>
      <c r="T52" t="s">
        <v>260</v>
      </c>
      <c r="U52">
        <f>HYPERLINK("https://images.diginfra.net/framed3.html?imagesetuuid=f707f64c-15ec-4624-ba99-82cb83d16c2c&amp;uri=https://images.diginfra.net/iiif/NL-HaNA_1.01.02/3811/NL-HaNA_1.01.02_3811_0115.jpg", "prev_meeting_viewer_url")</f>
        <v/>
      </c>
      <c r="V52">
        <f>HYPERLINK("https://images.diginfra.net/iiif/NL-HaNA_1.01.02/3811/NL-HaNA_1.01.02_3811_0115.jpg/1184,1317,1133,2147/full/0/default.jpg", "prev_meeting_iiif_url")</f>
        <v/>
      </c>
      <c r="W52" t="s">
        <v>29</v>
      </c>
      <c r="X52" t="s">
        <v>261</v>
      </c>
      <c r="Y52">
        <f>HYPERLINK("https://images.diginfra.net/framed3.html?imagesetuuid=f707f64c-15ec-4624-ba99-82cb83d16c2c&amp;uri=https://images.diginfra.net/iiif/NL-HaNA_1.01.02/3811/NL-HaNA_1.01.02_3811_0117.jpg", "next_meeting_viewer_url")</f>
        <v/>
      </c>
      <c r="Z52">
        <f>HYPERLINK("https://images.diginfra.net/iiif/NL-HaNA_1.01.02/3811/NL-HaNA_1.01.02_3811_0117.jpg/1205,2182,1095,1190/full/0/default.jpg", "next_meeting_iiif_url")</f>
        <v/>
      </c>
    </row>
    <row r="53" spans="1:26">
      <c r="A53" t="s">
        <v>262</v>
      </c>
      <c r="B53" t="s">
        <v>27</v>
      </c>
      <c r="C53" t="s">
        <v>263</v>
      </c>
      <c r="D53" t="b">
        <v>1</v>
      </c>
      <c r="E53" t="b">
        <v>1</v>
      </c>
      <c r="I53" t="s">
        <v>264</v>
      </c>
      <c r="J53" t="n">
        <v>3768</v>
      </c>
      <c r="K53" t="n">
        <v>484</v>
      </c>
      <c r="L53" t="n">
        <v>967</v>
      </c>
      <c r="M53" t="n">
        <v>0</v>
      </c>
      <c r="N53" t="n">
        <v>2</v>
      </c>
      <c r="O53" t="n">
        <v>0</v>
      </c>
      <c r="P53" t="s">
        <v>29</v>
      </c>
      <c r="Q53">
        <f>HYPERLINK("https://images.diginfra.net/framed3.html?imagesetuuid=1acf58b1-bf15-476d-be78-c088e43e81b9&amp;uri=https://images.diginfra.net/iiif/NL-HaNA_1.01.02/3768/NL-HaNA_1.01.02_3768_0484.jpg", "viewer_url")</f>
        <v/>
      </c>
      <c r="R53">
        <f>HYPERLINK("https://images.diginfra.net/iiif/NL-HaNA_1.01.02/3768/NL-HaNA_1.01.02_3768_0484.jpg/2483,1595,1081,1737/full/0/default.jpg", "iiif_url")</f>
        <v/>
      </c>
      <c r="S53" t="s">
        <v>29</v>
      </c>
      <c r="U53">
        <f>HYPERLINK("https://images.diginfra.net/framed3.html?imagesetuuid=1acf58b1-bf15-476d-be78-c088e43e81b9&amp;uri=https://images.diginfra.net/iiif/NL-HaNA_1.01.02/3768/NL-HaNA_1.01.02_3768_0482.jpg", "prev_meeting_viewer_url")</f>
        <v/>
      </c>
      <c r="V53">
        <f>HYPERLINK("https://images.diginfra.net/iiif/NL-HaNA_1.01.02/3768/NL-HaNA_1.01.02_3768_0482.jpg/2474,333,1103,3049/full/0/default.jpg", "prev_meeting_iiif_url")</f>
        <v/>
      </c>
      <c r="W53" t="s">
        <v>29</v>
      </c>
      <c r="X53" t="s">
        <v>265</v>
      </c>
      <c r="Y53">
        <f>HYPERLINK("https://images.diginfra.net/framed3.html?imagesetuuid=1acf58b1-bf15-476d-be78-c088e43e81b9&amp;uri=https://images.diginfra.net/iiif/NL-HaNA_1.01.02/3768/NL-HaNA_1.01.02_3768_0486.jpg", "next_meeting_viewer_url")</f>
        <v/>
      </c>
      <c r="Z53">
        <f>HYPERLINK("https://images.diginfra.net/iiif/NL-HaNA_1.01.02/3768/NL-HaNA_1.01.02_3768_0486.jpg/1364,2667,946,656/full/0/default.jpg", "next_meeting_iiif_url")</f>
        <v/>
      </c>
    </row>
    <row r="54" spans="1:26">
      <c r="A54" t="s">
        <v>266</v>
      </c>
      <c r="B54" t="s">
        <v>53</v>
      </c>
      <c r="C54" t="s">
        <v>267</v>
      </c>
      <c r="D54" t="b">
        <v>1</v>
      </c>
      <c r="E54" t="b">
        <v>1</v>
      </c>
      <c r="I54" t="s">
        <v>268</v>
      </c>
      <c r="J54" t="n">
        <v>3818</v>
      </c>
      <c r="K54" t="n">
        <v>398</v>
      </c>
      <c r="L54" t="n">
        <v>794</v>
      </c>
      <c r="M54" t="n">
        <v>0</v>
      </c>
      <c r="N54" t="n">
        <v>0</v>
      </c>
      <c r="O54" t="n">
        <v>0</v>
      </c>
      <c r="P54" t="s">
        <v>29</v>
      </c>
      <c r="Q54">
        <f>HYPERLINK("https://images.diginfra.net/framed3.html?imagesetuuid=0a2b2b00-4d8f-4694-bcd4-866d49afa989&amp;uri=https://images.diginfra.net/iiif/NL-HaNA_1.01.02/3818/NL-HaNA_1.01.02_3818_0398.jpg", "viewer_url")</f>
        <v/>
      </c>
      <c r="R54">
        <f>HYPERLINK("https://images.diginfra.net/iiif/NL-HaNA_1.01.02/3818/NL-HaNA_1.01.02_3818_0398.jpg/274,269,1118,3165/full/0/default.jpg", "iiif_url")</f>
        <v/>
      </c>
      <c r="S54" t="s">
        <v>29</v>
      </c>
      <c r="T54" t="s">
        <v>269</v>
      </c>
      <c r="U54">
        <f>HYPERLINK("https://images.diginfra.net/framed3.html?imagesetuuid=0a2b2b00-4d8f-4694-bcd4-866d49afa989&amp;uri=https://images.diginfra.net/iiif/NL-HaNA_1.01.02/3818/NL-HaNA_1.01.02_3818_0397.jpg", "prev_meeting_viewer_url")</f>
        <v/>
      </c>
      <c r="V54">
        <f>HYPERLINK("https://images.diginfra.net/iiif/NL-HaNA_1.01.02/3818/NL-HaNA_1.01.02_3818_0397.jpg/2320,1916,1100,1505/full/0/default.jpg", "prev_meeting_iiif_url")</f>
        <v/>
      </c>
      <c r="W54" t="s">
        <v>29</v>
      </c>
      <c r="X54" t="s">
        <v>270</v>
      </c>
      <c r="Y54">
        <f>HYPERLINK("https://images.diginfra.net/framed3.html?imagesetuuid=0a2b2b00-4d8f-4694-bcd4-866d49afa989&amp;uri=https://images.diginfra.net/iiif/NL-HaNA_1.01.02/3818/NL-HaNA_1.01.02_3818_0399.jpg", "next_meeting_viewer_url")</f>
        <v/>
      </c>
      <c r="Z54">
        <f>HYPERLINK("https://images.diginfra.net/iiif/NL-HaNA_1.01.02/3818/NL-HaNA_1.01.02_3818_0399.jpg/2404,2649,1042,671/full/0/default.jpg", "next_meeting_iiif_url")</f>
        <v/>
      </c>
    </row>
    <row r="55" spans="1:26">
      <c r="A55" t="s">
        <v>271</v>
      </c>
      <c r="B55" t="s">
        <v>76</v>
      </c>
      <c r="C55" t="s">
        <v>272</v>
      </c>
      <c r="D55" t="b">
        <v>1</v>
      </c>
      <c r="E55" t="b">
        <v>1</v>
      </c>
      <c r="I55" t="s">
        <v>273</v>
      </c>
      <c r="J55" t="n">
        <v>3834</v>
      </c>
      <c r="K55" t="n">
        <v>222</v>
      </c>
      <c r="L55" t="n">
        <v>442</v>
      </c>
      <c r="M55" t="n">
        <v>1</v>
      </c>
      <c r="N55" t="n">
        <v>0</v>
      </c>
      <c r="O55" t="n">
        <v>6</v>
      </c>
      <c r="P55" t="s">
        <v>33</v>
      </c>
      <c r="Q55">
        <f>HYPERLINK("https://images.diginfra.net/framed3.html?imagesetuuid=bf11cd8e-e3f4-444c-9caa-dcdfd20137d7&amp;uri=https://images.diginfra.net/iiif/NL-HaNA_1.01.02/3834/NL-HaNA_1.01.02_3834_0222.jpg", "viewer_url")</f>
        <v/>
      </c>
      <c r="R55">
        <f>HYPERLINK("https://images.diginfra.net/iiif/NL-HaNA_1.01.02/3834/NL-HaNA_1.01.02_3834_0222.jpg/1207,415,1094,2942/full/0/default.jpg", "iiif_url")</f>
        <v/>
      </c>
      <c r="S55" t="s">
        <v>29</v>
      </c>
      <c r="T55" t="s">
        <v>274</v>
      </c>
      <c r="U55">
        <f>HYPERLINK("https://images.diginfra.net/framed3.html?imagesetuuid=bf11cd8e-e3f4-444c-9caa-dcdfd20137d7&amp;uri=https://images.diginfra.net/iiif/NL-HaNA_1.01.02/3834/NL-HaNA_1.01.02_3834_0220.jpg", "prev_meeting_viewer_url")</f>
        <v/>
      </c>
      <c r="V55">
        <f>HYPERLINK("https://images.diginfra.net/iiif/NL-HaNA_1.01.02/3834/NL-HaNA_1.01.02_3834_0220.jpg/2399,2714,1022,756/full/0/default.jpg", "prev_meeting_iiif_url")</f>
        <v/>
      </c>
    </row>
    <row r="56" spans="1:26">
      <c r="A56" t="s">
        <v>275</v>
      </c>
      <c r="B56" t="s">
        <v>63</v>
      </c>
      <c r="D56" t="b">
        <v>1</v>
      </c>
      <c r="E56" t="b">
        <v>0</v>
      </c>
      <c r="Q56">
        <f>HYPERLINK("None", "viewer_url")</f>
        <v/>
      </c>
      <c r="R56">
        <f>HYPERLINK("None", "iiif_url")</f>
        <v/>
      </c>
      <c r="S56" t="s">
        <v>33</v>
      </c>
      <c r="T56" t="s">
        <v>276</v>
      </c>
      <c r="U56">
        <f>HYPERLINK("https://images.diginfra.net/framed3.html?imagesetuuid=ece8f80b-0549-4e73-82ff-af47ed8525ac&amp;uri=https://images.diginfra.net/iiif/NL-HaNA_1.01.02/3796/NL-HaNA_1.01.02_3796_0350.jpg", "prev_meeting_viewer_url")</f>
        <v/>
      </c>
      <c r="V56">
        <f>HYPERLINK("https://images.diginfra.net/iiif/NL-HaNA_1.01.02/3796/NL-HaNA_1.01.02_3796_0350.jpg/290,1663,1082,1683/full/0/default.jpg", "prev_meeting_iiif_url")</f>
        <v/>
      </c>
      <c r="W56" t="s">
        <v>29</v>
      </c>
      <c r="X56" t="s">
        <v>277</v>
      </c>
      <c r="Y56">
        <f>HYPERLINK("https://images.diginfra.net/framed3.html?imagesetuuid=ece8f80b-0549-4e73-82ff-af47ed8525ac&amp;uri=https://images.diginfra.net/iiif/NL-HaNA_1.01.02/3796/NL-HaNA_1.01.02_3796_0354.jpg", "next_meeting_viewer_url")</f>
        <v/>
      </c>
      <c r="Z56">
        <f>HYPERLINK("https://images.diginfra.net/iiif/NL-HaNA_1.01.02/3796/NL-HaNA_1.01.02_3796_0354.jpg/1221,1675,1104,1714/full/0/default.jpg", "next_meeting_iiif_url")</f>
        <v/>
      </c>
    </row>
    <row r="57" spans="1:26">
      <c r="A57" t="s">
        <v>278</v>
      </c>
      <c r="B57" t="s">
        <v>63</v>
      </c>
      <c r="C57" t="s">
        <v>279</v>
      </c>
      <c r="D57" t="b">
        <v>1</v>
      </c>
      <c r="E57" t="b">
        <v>1</v>
      </c>
      <c r="I57" t="s">
        <v>280</v>
      </c>
      <c r="J57" t="n">
        <v>3830</v>
      </c>
      <c r="K57" t="n">
        <v>212</v>
      </c>
      <c r="L57" t="n">
        <v>423</v>
      </c>
      <c r="M57" t="n">
        <v>0</v>
      </c>
      <c r="N57" t="n">
        <v>1</v>
      </c>
      <c r="O57" t="n">
        <v>0</v>
      </c>
      <c r="P57" t="s">
        <v>29</v>
      </c>
      <c r="Q57">
        <f>HYPERLINK("https://images.diginfra.net/framed3.html?imagesetuuid=c4957ef5-1023-495b-ad5d-bfab5967cb29&amp;uri=https://images.diginfra.net/iiif/NL-HaNA_1.01.02/3830/NL-HaNA_1.01.02_3830_0212.jpg", "viewer_url")</f>
        <v/>
      </c>
      <c r="R57">
        <f>HYPERLINK("https://images.diginfra.net/iiif/NL-HaNA_1.01.02/3830/NL-HaNA_1.01.02_3830_0212.jpg/2401,451,1084,2795/full/0/default.jpg", "iiif_url")</f>
        <v/>
      </c>
      <c r="S57" t="s">
        <v>29</v>
      </c>
      <c r="T57" t="s">
        <v>281</v>
      </c>
      <c r="U57">
        <f>HYPERLINK("https://images.diginfra.net/framed3.html?imagesetuuid=c4957ef5-1023-495b-ad5d-bfab5967cb29&amp;uri=https://images.diginfra.net/iiif/NL-HaNA_1.01.02/3830/NL-HaNA_1.01.02_3830_0211.jpg", "prev_meeting_viewer_url")</f>
        <v/>
      </c>
      <c r="V57">
        <f>HYPERLINK("https://images.diginfra.net/iiif/NL-HaNA_1.01.02/3830/NL-HaNA_1.01.02_3830_0211.jpg/321,1403,1068,1906/full/0/default.jpg", "prev_meeting_iiif_url")</f>
        <v/>
      </c>
      <c r="W57" t="s">
        <v>29</v>
      </c>
      <c r="X57" t="s">
        <v>282</v>
      </c>
      <c r="Y57">
        <f>HYPERLINK("https://images.diginfra.net/framed3.html?imagesetuuid=c4957ef5-1023-495b-ad5d-bfab5967cb29&amp;uri=https://images.diginfra.net/iiif/NL-HaNA_1.01.02/3830/NL-HaNA_1.01.02_3830_0213.jpg", "next_meeting_viewer_url")</f>
        <v/>
      </c>
      <c r="Z57">
        <f>HYPERLINK("https://images.diginfra.net/iiif/NL-HaNA_1.01.02/3830/NL-HaNA_1.01.02_3830_0213.jpg/2443,1679,1065,1671/full/0/default.jpg", "next_meeting_iiif_url")</f>
        <v/>
      </c>
    </row>
    <row r="58" spans="1:26">
      <c r="A58" t="s">
        <v>283</v>
      </c>
      <c r="B58" t="s">
        <v>48</v>
      </c>
      <c r="D58" t="b">
        <v>0</v>
      </c>
      <c r="E58" t="b">
        <v>0</v>
      </c>
      <c r="I58" t="s">
        <v>284</v>
      </c>
      <c r="J58" t="n">
        <v>3823</v>
      </c>
      <c r="K58" t="n">
        <v>422</v>
      </c>
      <c r="L58" t="n">
        <v>842</v>
      </c>
      <c r="M58" t="n">
        <v>0</v>
      </c>
      <c r="N58" t="n">
        <v>0</v>
      </c>
      <c r="O58" t="n">
        <v>6</v>
      </c>
      <c r="P58" t="s">
        <v>29</v>
      </c>
      <c r="Q58">
        <f>HYPERLINK("https://images.diginfra.net/framed3.html?imagesetuuid=08f55768-66d4-4560-816c-70f4ea910842&amp;uri=https://images.diginfra.net/iiif/NL-HaNA_1.01.02/3823/NL-HaNA_1.01.02_3823_0422.jpg", "viewer_url")</f>
        <v/>
      </c>
      <c r="R58">
        <f>HYPERLINK("https://images.diginfra.net/iiif/NL-HaNA_1.01.02/3823/NL-HaNA_1.01.02_3823_0422.jpg/222,474,1160,2917/full/0/default.jpg", "iiif_url")</f>
        <v/>
      </c>
      <c r="S58" t="s">
        <v>29</v>
      </c>
      <c r="T58" t="s">
        <v>285</v>
      </c>
      <c r="U58">
        <f>HYPERLINK("https://images.diginfra.net/framed3.html?imagesetuuid=08f55768-66d4-4560-816c-70f4ea910842&amp;uri=https://images.diginfra.net/iiif/NL-HaNA_1.01.02/3823/NL-HaNA_1.01.02_3823_0421.jpg", "prev_meeting_viewer_url")</f>
        <v/>
      </c>
      <c r="V58">
        <f>HYPERLINK("https://images.diginfra.net/iiif/NL-HaNA_1.01.02/3823/NL-HaNA_1.01.02_3823_0421.jpg/1246,1173,1076,2246/full/0/default.jpg", "prev_meeting_iiif_url")</f>
        <v/>
      </c>
      <c r="W58" t="s">
        <v>29</v>
      </c>
      <c r="X58" t="s">
        <v>286</v>
      </c>
      <c r="Y58">
        <f>HYPERLINK("https://images.diginfra.net/framed3.html?imagesetuuid=08f55768-66d4-4560-816c-70f4ea910842&amp;uri=https://images.diginfra.net/iiif/NL-HaNA_1.01.02/3823/NL-HaNA_1.01.02_3823_0422.jpg", "next_meeting_viewer_url")</f>
        <v/>
      </c>
      <c r="Z58">
        <f>HYPERLINK("https://images.diginfra.net/iiif/NL-HaNA_1.01.02/3823/NL-HaNA_1.01.02_3823_0422.jpg/222,474,1160,2917/full/0/default.jpg", "next_meeting_iiif_url")</f>
        <v/>
      </c>
    </row>
    <row r="59" spans="1:26">
      <c r="A59" t="s">
        <v>287</v>
      </c>
      <c r="B59" t="s">
        <v>37</v>
      </c>
      <c r="C59" t="s">
        <v>288</v>
      </c>
      <c r="D59" t="b">
        <v>1</v>
      </c>
      <c r="E59" t="b">
        <v>1</v>
      </c>
      <c r="I59" t="s">
        <v>289</v>
      </c>
      <c r="J59" t="n">
        <v>3765</v>
      </c>
      <c r="K59" t="n">
        <v>222</v>
      </c>
      <c r="L59" t="n">
        <v>442</v>
      </c>
      <c r="M59" t="n">
        <v>0</v>
      </c>
      <c r="N59" t="n">
        <v>2</v>
      </c>
      <c r="O59" t="n">
        <v>0</v>
      </c>
      <c r="P59" t="s">
        <v>29</v>
      </c>
      <c r="Q59">
        <f>HYPERLINK("https://images.diginfra.net/framed3.html?imagesetuuid=4dfc1a1b-8cdf-4492-b411-5e67950ce484&amp;uri=https://images.diginfra.net/iiif/NL-HaNA_1.01.02/3765/NL-HaNA_1.01.02_3765_0222.jpg", "viewer_url")</f>
        <v/>
      </c>
      <c r="R59">
        <f>HYPERLINK("https://images.diginfra.net/iiif/NL-HaNA_1.01.02/3765/NL-HaNA_1.01.02_3765_0222.jpg/257,1224,1101,2207/full/0/default.jpg", "iiif_url")</f>
        <v/>
      </c>
      <c r="S59" t="s">
        <v>29</v>
      </c>
      <c r="U59">
        <f>HYPERLINK("https://images.diginfra.net/framed3.html?imagesetuuid=4dfc1a1b-8cdf-4492-b411-5e67950ce484&amp;uri=https://images.diginfra.net/iiif/NL-HaNA_1.01.02/3765/NL-HaNA_1.01.02_3765_0217.jpg", "prev_meeting_viewer_url")</f>
        <v/>
      </c>
      <c r="V59">
        <f>HYPERLINK("https://images.diginfra.net/iiif/NL-HaNA_1.01.02/3765/NL-HaNA_1.01.02_3765_0217.jpg/2397,328,1114,3089/full/0/default.jpg", "prev_meeting_iiif_url")</f>
        <v/>
      </c>
      <c r="W59" t="s">
        <v>29</v>
      </c>
      <c r="X59" t="s">
        <v>290</v>
      </c>
      <c r="Y59">
        <f>HYPERLINK("https://images.diginfra.net/framed3.html?imagesetuuid=4dfc1a1b-8cdf-4492-b411-5e67950ce484&amp;uri=https://images.diginfra.net/iiif/NL-HaNA_1.01.02/3765/NL-HaNA_1.01.02_3765_0224.jpg", "next_meeting_viewer_url")</f>
        <v/>
      </c>
      <c r="Z59">
        <f>HYPERLINK("https://images.diginfra.net/iiif/NL-HaNA_1.01.02/3765/NL-HaNA_1.01.02_3765_0224.jpg/286,2723,1064,652/full/0/default.jpg", "next_meeting_iiif_url")</f>
        <v/>
      </c>
    </row>
    <row r="60" spans="1:26">
      <c r="A60" t="s">
        <v>291</v>
      </c>
      <c r="B60" t="s">
        <v>37</v>
      </c>
      <c r="C60" t="s">
        <v>292</v>
      </c>
      <c r="D60" t="b">
        <v>1</v>
      </c>
      <c r="E60" t="b">
        <v>1</v>
      </c>
      <c r="I60" t="s">
        <v>293</v>
      </c>
      <c r="J60" t="n">
        <v>3851</v>
      </c>
      <c r="K60" t="n">
        <v>23</v>
      </c>
      <c r="L60" t="n">
        <v>45</v>
      </c>
      <c r="M60" t="n">
        <v>1</v>
      </c>
      <c r="N60" t="n">
        <v>0</v>
      </c>
      <c r="O60" t="n">
        <v>0</v>
      </c>
      <c r="P60" t="s">
        <v>29</v>
      </c>
      <c r="Q60">
        <f>HYPERLINK("https://images.diginfra.net/framed3.html?imagesetuuid=27660c50-4382-4d81-bab3-9b18ce5e4c3c&amp;uri=https://images.diginfra.net/iiif/NL-HaNA_1.01.02/3851/NL-HaNA_1.01.02_3851_0023.jpg", "viewer_url")</f>
        <v/>
      </c>
      <c r="R60">
        <f>HYPERLINK("https://images.diginfra.net/iiif/NL-HaNA_1.01.02/3851/NL-HaNA_1.01.02_3851_0023.jpg/3394,354,1086,3115/full/0/default.jpg", "iiif_url")</f>
        <v/>
      </c>
      <c r="S60" t="s">
        <v>29</v>
      </c>
      <c r="T60" t="s">
        <v>294</v>
      </c>
      <c r="U60">
        <f>HYPERLINK("https://images.diginfra.net/framed3.html?imagesetuuid=27660c50-4382-4d81-bab3-9b18ce5e4c3c&amp;uri=https://images.diginfra.net/iiif/NL-HaNA_1.01.02/3851/NL-HaNA_1.01.02_3851_0017.jpg", "prev_meeting_viewer_url")</f>
        <v/>
      </c>
      <c r="V60">
        <f>HYPERLINK("https://images.diginfra.net/iiif/NL-HaNA_1.01.02/3851/NL-HaNA_1.01.02_3851_0017.jpg/2520,2396,1015,1038/full/0/default.jpg", "prev_meeting_iiif_url")</f>
        <v/>
      </c>
      <c r="W60" t="s">
        <v>29</v>
      </c>
      <c r="X60" t="s">
        <v>295</v>
      </c>
      <c r="Y60">
        <f>HYPERLINK("https://images.diginfra.net/framed3.html?imagesetuuid=27660c50-4382-4d81-bab3-9b18ce5e4c3c&amp;uri=https://images.diginfra.net/iiif/NL-HaNA_1.01.02/3851/NL-HaNA_1.01.02_3851_0024.jpg", "next_meeting_viewer_url")</f>
        <v/>
      </c>
      <c r="Z60">
        <f>HYPERLINK("https://images.diginfra.net/iiif/NL-HaNA_1.01.02/3851/NL-HaNA_1.01.02_3851_0024.jpg/1517,2915,751,503/full/0/default.jpg", "next_meeting_iiif_url")</f>
        <v/>
      </c>
    </row>
    <row r="61" spans="1:26">
      <c r="A61" t="s">
        <v>296</v>
      </c>
      <c r="B61" t="s">
        <v>76</v>
      </c>
      <c r="C61" t="s">
        <v>297</v>
      </c>
      <c r="D61" t="b">
        <v>1</v>
      </c>
      <c r="E61" t="b">
        <v>1</v>
      </c>
      <c r="I61" t="s">
        <v>298</v>
      </c>
      <c r="J61" t="n">
        <v>3852</v>
      </c>
      <c r="K61" t="n">
        <v>280</v>
      </c>
      <c r="L61" t="n">
        <v>559</v>
      </c>
      <c r="M61" t="n">
        <v>1</v>
      </c>
      <c r="N61" t="n">
        <v>2</v>
      </c>
      <c r="O61" t="n">
        <v>0</v>
      </c>
      <c r="P61" t="s">
        <v>29</v>
      </c>
      <c r="Q61">
        <f>HYPERLINK("https://images.diginfra.net/framed3.html?imagesetuuid=3b3d915a-84ba-4c76-9942-747a007cc965&amp;uri=https://images.diginfra.net/iiif/NL-HaNA_1.01.02/3852/NL-HaNA_1.01.02_3852_0280.jpg", "viewer_url")</f>
        <v/>
      </c>
      <c r="R61">
        <f>HYPERLINK("https://images.diginfra.net/iiif/NL-HaNA_1.01.02/3852/NL-HaNA_1.01.02_3852_0280.jpg/3378,2554,875,808/full/0/default.jpg", "iiif_url")</f>
        <v/>
      </c>
      <c r="S61" t="s">
        <v>29</v>
      </c>
      <c r="T61" t="s">
        <v>299</v>
      </c>
      <c r="U61">
        <f>HYPERLINK("https://images.diginfra.net/framed3.html?imagesetuuid=3b3d915a-84ba-4c76-9942-747a007cc965&amp;uri=https://images.diginfra.net/iiif/NL-HaNA_1.01.02/3852/NL-HaNA_1.01.02_3852_0277.jpg", "prev_meeting_viewer_url")</f>
        <v/>
      </c>
      <c r="V61">
        <f>HYPERLINK("https://images.diginfra.net/iiif/NL-HaNA_1.01.02/3852/NL-HaNA_1.01.02_3852_0277.jpg/2433,2295,1012,1142/full/0/default.jpg", "prev_meeting_iiif_url")</f>
        <v/>
      </c>
      <c r="W61" t="s">
        <v>29</v>
      </c>
      <c r="X61" t="s">
        <v>300</v>
      </c>
      <c r="Y61">
        <f>HYPERLINK("https://images.diginfra.net/framed3.html?imagesetuuid=3b3d915a-84ba-4c76-9942-747a007cc965&amp;uri=https://images.diginfra.net/iiif/NL-HaNA_1.01.02/3852/NL-HaNA_1.01.02_3852_0282.jpg", "next_meeting_viewer_url")</f>
        <v/>
      </c>
      <c r="Z61">
        <f>HYPERLINK("https://images.diginfra.net/iiif/NL-HaNA_1.01.02/3852/NL-HaNA_1.01.02_3852_0282.jpg/3323,686,1073,2755/full/0/default.jpg", "next_meeting_iiif_url")</f>
        <v/>
      </c>
    </row>
    <row r="62" spans="1:26">
      <c r="A62" t="s">
        <v>301</v>
      </c>
      <c r="B62" t="s">
        <v>53</v>
      </c>
      <c r="D62" t="b">
        <v>1</v>
      </c>
      <c r="E62" t="b">
        <v>0</v>
      </c>
      <c r="Q62">
        <f>HYPERLINK("None", "viewer_url")</f>
        <v/>
      </c>
      <c r="R62">
        <f>HYPERLINK("None", "iiif_url")</f>
        <v/>
      </c>
      <c r="S62" t="s">
        <v>33</v>
      </c>
      <c r="U62">
        <f>HYPERLINK("https://images.diginfra.net/framed3.html?imagesetuuid=dd191040-86df-4eff-a597-814a829dbed3&amp;uri=https://images.diginfra.net/iiif/NL-HaNA_1.01.02/3824/NL-HaNA_1.01.02_3824_0478.jpg", "prev_meeting_viewer_url")</f>
        <v/>
      </c>
      <c r="V62">
        <f>HYPERLINK("https://images.diginfra.net/iiif/NL-HaNA_1.01.02/3824/NL-HaNA_1.01.02_3824_0478.jpg/2327,938,1090,2451/full/0/default.jpg", "prev_meeting_iiif_url")</f>
        <v/>
      </c>
      <c r="W62" t="s">
        <v>29</v>
      </c>
      <c r="X62" t="s">
        <v>302</v>
      </c>
      <c r="Y62">
        <f>HYPERLINK("https://images.diginfra.net/framed3.html?imagesetuuid=dd191040-86df-4eff-a597-814a829dbed3&amp;uri=https://images.diginfra.net/iiif/NL-HaNA_1.01.02/3824/NL-HaNA_1.01.02_3824_0479.jpg", "next_meeting_viewer_url")</f>
        <v/>
      </c>
      <c r="Z62">
        <f>HYPERLINK("https://images.diginfra.net/iiif/NL-HaNA_1.01.02/3824/NL-HaNA_1.01.02_3824_0479.jpg/3299,1111,1086,2256/full/0/default.jpg", "next_meeting_iiif_url")</f>
        <v/>
      </c>
    </row>
    <row r="63" spans="1:26">
      <c r="A63" t="s">
        <v>303</v>
      </c>
      <c r="B63" t="s">
        <v>76</v>
      </c>
      <c r="C63" t="s">
        <v>304</v>
      </c>
      <c r="D63" t="b">
        <v>1</v>
      </c>
      <c r="E63" t="b">
        <v>1</v>
      </c>
      <c r="I63" t="s">
        <v>305</v>
      </c>
      <c r="J63" t="n">
        <v>3834</v>
      </c>
      <c r="K63" t="n">
        <v>390</v>
      </c>
      <c r="L63" t="n">
        <v>779</v>
      </c>
      <c r="M63" t="n">
        <v>0</v>
      </c>
      <c r="N63" t="n">
        <v>1</v>
      </c>
      <c r="O63" t="n">
        <v>0</v>
      </c>
      <c r="P63" t="s">
        <v>29</v>
      </c>
      <c r="Q63">
        <f>HYPERLINK("https://images.diginfra.net/framed3.html?imagesetuuid=bf11cd8e-e3f4-444c-9caa-dcdfd20137d7&amp;uri=https://images.diginfra.net/iiif/NL-HaNA_1.01.02/3834/NL-HaNA_1.01.02_3834_0390.jpg", "viewer_url")</f>
        <v/>
      </c>
      <c r="R63">
        <f>HYPERLINK("https://images.diginfra.net/iiif/NL-HaNA_1.01.02/3834/NL-HaNA_1.01.02_3834_0390.jpg/2388,519,1095,2896/full/0/default.jpg", "iiif_url")</f>
        <v/>
      </c>
      <c r="S63" t="s">
        <v>29</v>
      </c>
      <c r="T63" t="s">
        <v>306</v>
      </c>
      <c r="U63">
        <f>HYPERLINK("https://images.diginfra.net/framed3.html?imagesetuuid=bf11cd8e-e3f4-444c-9caa-dcdfd20137d7&amp;uri=https://images.diginfra.net/iiif/NL-HaNA_1.01.02/3834/NL-HaNA_1.01.02_3834_0389.jpg", "prev_meeting_viewer_url")</f>
        <v/>
      </c>
      <c r="V63">
        <f>HYPERLINK("https://images.diginfra.net/iiif/NL-HaNA_1.01.02/3834/NL-HaNA_1.01.02_3834_0389.jpg/281,2694,1057,647/full/0/default.jpg", "prev_meeting_iiif_url")</f>
        <v/>
      </c>
      <c r="W63" t="s">
        <v>29</v>
      </c>
      <c r="X63" t="s">
        <v>307</v>
      </c>
      <c r="Y63">
        <f>HYPERLINK("https://images.diginfra.net/framed3.html?imagesetuuid=bf11cd8e-e3f4-444c-9caa-dcdfd20137d7&amp;uri=https://images.diginfra.net/iiif/NL-HaNA_1.01.02/3834/NL-HaNA_1.01.02_3834_0394.jpg", "next_meeting_viewer_url")</f>
        <v/>
      </c>
      <c r="Z63">
        <f>HYPERLINK("https://images.diginfra.net/iiif/NL-HaNA_1.01.02/3834/NL-HaNA_1.01.02_3834_0394.jpg/2470,2837,863,497/full/0/default.jpg", "next_meeting_iiif_url")</f>
        <v/>
      </c>
    </row>
    <row r="64" spans="1:26">
      <c r="A64" t="s">
        <v>308</v>
      </c>
      <c r="B64" t="s">
        <v>48</v>
      </c>
      <c r="D64" t="b">
        <v>0</v>
      </c>
      <c r="E64" t="b">
        <v>1</v>
      </c>
      <c r="I64" t="s">
        <v>309</v>
      </c>
      <c r="J64" t="n">
        <v>3768</v>
      </c>
      <c r="K64" t="n">
        <v>30</v>
      </c>
      <c r="L64" t="n">
        <v>59</v>
      </c>
      <c r="M64" t="n">
        <v>0</v>
      </c>
      <c r="N64" t="n">
        <v>0</v>
      </c>
      <c r="O64" t="n">
        <v>0</v>
      </c>
      <c r="P64" t="s">
        <v>29</v>
      </c>
      <c r="Q64">
        <f>HYPERLINK("https://images.diginfra.net/framed3.html?imagesetuuid=1acf58b1-bf15-476d-be78-c088e43e81b9&amp;uri=https://images.diginfra.net/iiif/NL-HaNA_1.01.02/3768/NL-HaNA_1.01.02_3768_0030.jpg", "viewer_url")</f>
        <v/>
      </c>
      <c r="R64">
        <f>HYPERLINK("https://images.diginfra.net/iiif/NL-HaNA_1.01.02/3768/NL-HaNA_1.01.02_3768_0030.jpg/2521,2904,287,311/full/0/default.jpg", "iiif_url")</f>
        <v/>
      </c>
      <c r="S64" t="s">
        <v>29</v>
      </c>
      <c r="T64" t="s">
        <v>310</v>
      </c>
      <c r="U64">
        <f>HYPERLINK("https://images.diginfra.net/framed3.html?imagesetuuid=1dfc3e45-daeb-4e8d-b5c8-e02b6196102c&amp;uri=https://images.diginfra.net/iiif/NL-HaNA_1.01.02/3767/NL-HaNA_1.01.02_3767_0750.jpg", "prev_meeting_viewer_url")</f>
        <v/>
      </c>
      <c r="V64">
        <f>HYPERLINK("https://images.diginfra.net/iiif/NL-HaNA_1.01.02/3767/NL-HaNA_1.01.02_3767_0750.jpg/334,2802,1035,616/full/0/default.jpg", "prev_meeting_iiif_url")</f>
        <v/>
      </c>
      <c r="W64" t="s">
        <v>29</v>
      </c>
      <c r="X64" t="s">
        <v>311</v>
      </c>
      <c r="Y64">
        <f>HYPERLINK("https://images.diginfra.net/framed3.html?imagesetuuid=1acf58b1-bf15-476d-be78-c088e43e81b9&amp;uri=https://images.diginfra.net/iiif/NL-HaNA_1.01.02/3768/NL-HaNA_1.01.02_3768_0030.jpg", "next_meeting_viewer_url")</f>
        <v/>
      </c>
      <c r="Z64">
        <f>HYPERLINK("https://images.diginfra.net/iiif/NL-HaNA_1.01.02/3768/NL-HaNA_1.01.02_3768_0030.jpg/2554,1643,1066,1748/full/0/default.jpg", "next_meeting_iiif_url")</f>
        <v/>
      </c>
    </row>
    <row r="65" spans="1:26">
      <c r="A65" t="s">
        <v>312</v>
      </c>
      <c r="B65" t="s">
        <v>63</v>
      </c>
      <c r="C65" t="s">
        <v>313</v>
      </c>
      <c r="D65" t="b">
        <v>1</v>
      </c>
      <c r="E65" t="b">
        <v>1</v>
      </c>
      <c r="I65" t="s">
        <v>314</v>
      </c>
      <c r="J65" t="n">
        <v>3769</v>
      </c>
      <c r="K65" t="n">
        <v>397</v>
      </c>
      <c r="L65" t="n">
        <v>793</v>
      </c>
      <c r="M65" t="n">
        <v>0</v>
      </c>
      <c r="N65" t="n">
        <v>1</v>
      </c>
      <c r="O65" t="n">
        <v>0</v>
      </c>
      <c r="P65" t="s">
        <v>29</v>
      </c>
      <c r="Q65">
        <f>HYPERLINK("https://images.diginfra.net/framed3.html?imagesetuuid=bb249823-a699-4b97-863d-a74b3ce499f0&amp;uri=https://images.diginfra.net/iiif/NL-HaNA_1.01.02/3769/NL-HaNA_1.01.02_3769_0397.jpg", "viewer_url")</f>
        <v/>
      </c>
      <c r="R65">
        <f>HYPERLINK("https://images.diginfra.net/iiif/NL-HaNA_1.01.02/3769/NL-HaNA_1.01.02_3769_0397.jpg/2500,1027,1104,2401/full/0/default.jpg", "iiif_url")</f>
        <v/>
      </c>
      <c r="S65" t="s">
        <v>29</v>
      </c>
      <c r="T65" t="s">
        <v>315</v>
      </c>
      <c r="U65">
        <f>HYPERLINK("https://images.diginfra.net/framed3.html?imagesetuuid=bb249823-a699-4b97-863d-a74b3ce499f0&amp;uri=https://images.diginfra.net/iiif/NL-HaNA_1.01.02/3769/NL-HaNA_1.01.02_3769_0396.jpg", "prev_meeting_viewer_url")</f>
        <v/>
      </c>
      <c r="V65">
        <f>HYPERLINK("https://images.diginfra.net/iiif/NL-HaNA_1.01.02/3769/NL-HaNA_1.01.02_3769_0396.jpg/1243,777,1115,2635/full/0/default.jpg", "prev_meeting_iiif_url")</f>
        <v/>
      </c>
      <c r="W65" t="s">
        <v>29</v>
      </c>
      <c r="X65" t="s">
        <v>316</v>
      </c>
      <c r="Y65">
        <f>HYPERLINK("https://images.diginfra.net/framed3.html?imagesetuuid=bb249823-a699-4b97-863d-a74b3ce499f0&amp;uri=https://images.diginfra.net/iiif/NL-HaNA_1.01.02/3769/NL-HaNA_1.01.02_3769_0400.jpg", "next_meeting_viewer_url")</f>
        <v/>
      </c>
      <c r="Z65">
        <f>HYPERLINK("https://images.diginfra.net/iiif/NL-HaNA_1.01.02/3769/NL-HaNA_1.01.02_3769_0400.jpg/344,1015,1100,2389/full/0/default.jpg", "next_meeting_iiif_url")</f>
        <v/>
      </c>
    </row>
    <row r="66" spans="1:26">
      <c r="A66" t="s">
        <v>317</v>
      </c>
      <c r="B66" t="s">
        <v>63</v>
      </c>
      <c r="C66" t="s">
        <v>318</v>
      </c>
      <c r="D66" t="b">
        <v>1</v>
      </c>
      <c r="E66" t="b">
        <v>1</v>
      </c>
      <c r="I66" t="s">
        <v>319</v>
      </c>
      <c r="J66" t="n">
        <v>3773</v>
      </c>
      <c r="K66" t="n">
        <v>166</v>
      </c>
      <c r="L66" t="n">
        <v>331</v>
      </c>
      <c r="M66" t="n">
        <v>1</v>
      </c>
      <c r="N66" t="n">
        <v>0</v>
      </c>
      <c r="O66" t="n">
        <v>0</v>
      </c>
      <c r="P66" t="s">
        <v>29</v>
      </c>
      <c r="Q66">
        <f>HYPERLINK("https://images.diginfra.net/framed3.html?imagesetuuid=0d0ede5e-a7f6-4a03-b996-493e50528c24&amp;uri=https://images.diginfra.net/iiif/NL-HaNA_1.01.02/3773/NL-HaNA_1.01.02_3773_0166.jpg", "viewer_url")</f>
        <v/>
      </c>
      <c r="R66">
        <f>HYPERLINK("https://images.diginfra.net/iiif/NL-HaNA_1.01.02/3773/NL-HaNA_1.01.02_3773_0166.jpg/3277,303,1101,3116/full/0/default.jpg", "iiif_url")</f>
        <v/>
      </c>
      <c r="S66" t="s">
        <v>29</v>
      </c>
      <c r="T66" t="s">
        <v>320</v>
      </c>
      <c r="U66">
        <f>HYPERLINK("https://images.diginfra.net/framed3.html?imagesetuuid=0d0ede5e-a7f6-4a03-b996-493e50528c24&amp;uri=https://images.diginfra.net/iiif/NL-HaNA_1.01.02/3773/NL-HaNA_1.01.02_3773_0164.jpg", "prev_meeting_viewer_url")</f>
        <v/>
      </c>
      <c r="V66">
        <f>HYPERLINK("https://images.diginfra.net/iiif/NL-HaNA_1.01.02/3773/NL-HaNA_1.01.02_3773_0164.jpg/3381,2749,1027,647/full/0/default.jpg", "prev_meeting_iiif_url")</f>
        <v/>
      </c>
      <c r="W66" t="s">
        <v>29</v>
      </c>
      <c r="X66" t="s">
        <v>321</v>
      </c>
      <c r="Y66">
        <f>HYPERLINK("https://images.diginfra.net/framed3.html?imagesetuuid=0d0ede5e-a7f6-4a03-b996-493e50528c24&amp;uri=https://images.diginfra.net/iiif/NL-HaNA_1.01.02/3773/NL-HaNA_1.01.02_3773_0168.jpg", "next_meeting_viewer_url")</f>
        <v/>
      </c>
      <c r="Z66">
        <f>HYPERLINK("https://images.diginfra.net/iiif/NL-HaNA_1.01.02/3773/NL-HaNA_1.01.02_3773_0168.jpg/3360,2232,1037,1072/full/0/default.jpg", "next_meeting_iiif_url")</f>
        <v/>
      </c>
    </row>
    <row r="67" spans="1:26">
      <c r="A67" t="s">
        <v>322</v>
      </c>
      <c r="B67" t="s">
        <v>53</v>
      </c>
      <c r="C67" t="s">
        <v>323</v>
      </c>
      <c r="D67" t="b">
        <v>1</v>
      </c>
      <c r="E67" t="b">
        <v>1</v>
      </c>
      <c r="I67" t="s">
        <v>324</v>
      </c>
      <c r="J67" t="n">
        <v>3766</v>
      </c>
      <c r="K67" t="n">
        <v>691</v>
      </c>
      <c r="L67" t="n">
        <v>1380</v>
      </c>
      <c r="M67" t="n">
        <v>1</v>
      </c>
      <c r="N67" t="n">
        <v>2</v>
      </c>
      <c r="O67" t="n">
        <v>0</v>
      </c>
      <c r="P67" t="s">
        <v>29</v>
      </c>
      <c r="Q67">
        <f>HYPERLINK("https://images.diginfra.net/framed3.html?imagesetuuid=a6b973ba-587c-4902-9423-42544f6e97a0&amp;uri=https://images.diginfra.net/iiif/NL-HaNA_1.01.02/3766/NL-HaNA_1.01.02_3766_0691.jpg", "viewer_url")</f>
        <v/>
      </c>
      <c r="R67">
        <f>HYPERLINK("https://images.diginfra.net/iiif/NL-HaNA_1.01.02/3766/NL-HaNA_1.01.02_3766_0691.jpg/1301,1064,1126,2377/full/0/default.jpg", "iiif_url")</f>
        <v/>
      </c>
      <c r="S67" t="s">
        <v>29</v>
      </c>
      <c r="T67" t="s">
        <v>325</v>
      </c>
      <c r="U67">
        <f>HYPERLINK("https://images.diginfra.net/framed3.html?imagesetuuid=a6b973ba-587c-4902-9423-42544f6e97a0&amp;uri=https://images.diginfra.net/iiif/NL-HaNA_1.01.02/3766/NL-HaNA_1.01.02_3766_0687.jpg", "prev_meeting_viewer_url")</f>
        <v/>
      </c>
      <c r="V67">
        <f>HYPERLINK("https://images.diginfra.net/iiif/NL-HaNA_1.01.02/3766/NL-HaNA_1.01.02_3766_0687.jpg/1290,701,1131,2664/full/0/default.jpg", "prev_meeting_iiif_url")</f>
        <v/>
      </c>
      <c r="W67" t="s">
        <v>29</v>
      </c>
      <c r="X67" t="s">
        <v>326</v>
      </c>
      <c r="Y67">
        <f>HYPERLINK("https://images.diginfra.net/framed3.html?imagesetuuid=a6b973ba-587c-4902-9423-42544f6e97a0&amp;uri=https://images.diginfra.net/iiif/NL-HaNA_1.01.02/3766/NL-HaNA_1.01.02_3766_0693.jpg", "next_meeting_viewer_url")</f>
        <v/>
      </c>
      <c r="Z67">
        <f>HYPERLINK("https://images.diginfra.net/iiif/NL-HaNA_1.01.02/3766/NL-HaNA_1.01.02_3766_0693.jpg/3493,2366,1064,1110/full/0/default.jpg", "next_meeting_iiif_url")</f>
        <v/>
      </c>
    </row>
    <row r="68" spans="1:26">
      <c r="A68" t="s">
        <v>327</v>
      </c>
      <c r="B68" t="s">
        <v>76</v>
      </c>
      <c r="C68" t="s">
        <v>328</v>
      </c>
      <c r="D68" t="b">
        <v>1</v>
      </c>
      <c r="E68" t="b">
        <v>1</v>
      </c>
      <c r="I68" t="s">
        <v>329</v>
      </c>
      <c r="J68" t="n">
        <v>3791</v>
      </c>
      <c r="K68" t="n">
        <v>308</v>
      </c>
      <c r="L68" t="n">
        <v>615</v>
      </c>
      <c r="M68" t="n">
        <v>1</v>
      </c>
      <c r="N68" t="n">
        <v>1</v>
      </c>
      <c r="O68" t="n">
        <v>0</v>
      </c>
      <c r="P68" t="s">
        <v>29</v>
      </c>
      <c r="Q68">
        <f>HYPERLINK("https://images.diginfra.net/framed3.html?imagesetuuid=e5198992-3bac-4cce-bc59-b70724ee426a&amp;uri=https://images.diginfra.net/iiif/NL-HaNA_1.01.02/3791/NL-HaNA_1.01.02_3791_0308.jpg", "viewer_url")</f>
        <v/>
      </c>
      <c r="R68">
        <f>HYPERLINK("https://images.diginfra.net/iiif/NL-HaNA_1.01.02/3791/NL-HaNA_1.01.02_3791_0308.jpg/3335,1453,1075,1973/full/0/default.jpg", "iiif_url")</f>
        <v/>
      </c>
      <c r="S68" t="s">
        <v>29</v>
      </c>
      <c r="T68" t="s">
        <v>330</v>
      </c>
      <c r="U68">
        <f>HYPERLINK("https://images.diginfra.net/framed3.html?imagesetuuid=e5198992-3bac-4cce-bc59-b70724ee426a&amp;uri=https://images.diginfra.net/iiif/NL-HaNA_1.01.02/3791/NL-HaNA_1.01.02_3791_0308.jpg", "prev_meeting_viewer_url")</f>
        <v/>
      </c>
      <c r="V68">
        <f>HYPERLINK("https://images.diginfra.net/iiif/NL-HaNA_1.01.02/3791/NL-HaNA_1.01.02_3791_0308.jpg/238,1735,1100,1638/full/0/default.jpg", "prev_meeting_iiif_url")</f>
        <v/>
      </c>
      <c r="W68" t="s">
        <v>29</v>
      </c>
      <c r="X68" t="s">
        <v>331</v>
      </c>
      <c r="Y68">
        <f>HYPERLINK("https://images.diginfra.net/framed3.html?imagesetuuid=e5198992-3bac-4cce-bc59-b70724ee426a&amp;uri=https://images.diginfra.net/iiif/NL-HaNA_1.01.02/3791/NL-HaNA_1.01.02_3791_0309.jpg", "next_meeting_viewer_url")</f>
        <v/>
      </c>
      <c r="Z68">
        <f>HYPERLINK("https://images.diginfra.net/iiif/NL-HaNA_1.01.02/3791/NL-HaNA_1.01.02_3791_0309.jpg/2372,943,1087,2502/full/0/default.jpg", "next_meeting_iiif_url")</f>
        <v/>
      </c>
    </row>
    <row r="69" spans="1:26">
      <c r="A69" t="s">
        <v>332</v>
      </c>
      <c r="B69" t="s">
        <v>76</v>
      </c>
      <c r="C69" t="s">
        <v>333</v>
      </c>
      <c r="D69" t="b">
        <v>1</v>
      </c>
      <c r="E69" t="b">
        <v>1</v>
      </c>
      <c r="I69" t="s">
        <v>334</v>
      </c>
      <c r="J69" t="n">
        <v>3831</v>
      </c>
      <c r="K69" t="n">
        <v>123</v>
      </c>
      <c r="L69" t="n">
        <v>245</v>
      </c>
      <c r="M69" t="n">
        <v>0</v>
      </c>
      <c r="N69" t="n">
        <v>1</v>
      </c>
      <c r="O69" t="n">
        <v>0</v>
      </c>
      <c r="P69" t="s">
        <v>29</v>
      </c>
      <c r="Q69">
        <f>HYPERLINK("https://images.diginfra.net/framed3.html?imagesetuuid=fbccadee-0831-4262-9b53-6f48467f765a&amp;uri=https://images.diginfra.net/iiif/NL-HaNA_1.01.02/3831/NL-HaNA_1.01.02_3831_0123.jpg", "viewer_url")</f>
        <v/>
      </c>
      <c r="R69">
        <f>HYPERLINK("https://images.diginfra.net/iiif/NL-HaNA_1.01.02/3831/NL-HaNA_1.01.02_3831_0123.jpg/2320,462,1091,2985/full/0/default.jpg", "iiif_url")</f>
        <v/>
      </c>
      <c r="S69" t="s">
        <v>29</v>
      </c>
      <c r="T69" t="s">
        <v>335</v>
      </c>
      <c r="U69">
        <f>HYPERLINK("https://images.diginfra.net/framed3.html?imagesetuuid=fbccadee-0831-4262-9b53-6f48467f765a&amp;uri=https://images.diginfra.net/iiif/NL-HaNA_1.01.02/3831/NL-HaNA_1.01.02_3831_0123.jpg", "prev_meeting_viewer_url")</f>
        <v/>
      </c>
      <c r="V69">
        <f>HYPERLINK("https://images.diginfra.net/iiif/NL-HaNA_1.01.02/3831/NL-HaNA_1.01.02_3831_0123.jpg/234,976,1072,2431/full/0/default.jpg", "prev_meeting_iiif_url")</f>
        <v/>
      </c>
      <c r="W69" t="s">
        <v>29</v>
      </c>
      <c r="X69" t="s">
        <v>336</v>
      </c>
      <c r="Y69">
        <f>HYPERLINK("https://images.diginfra.net/framed3.html?imagesetuuid=fbccadee-0831-4262-9b53-6f48467f765a&amp;uri=https://images.diginfra.net/iiif/NL-HaNA_1.01.02/3831/NL-HaNA_1.01.02_3831_0127.jpg", "next_meeting_viewer_url")</f>
        <v/>
      </c>
      <c r="Z69">
        <f>HYPERLINK("https://images.diginfra.net/iiif/NL-HaNA_1.01.02/3831/NL-HaNA_1.01.02_3831_0127.jpg/2404,2794,1027,601/full/0/default.jpg", "next_meeting_iiif_url")</f>
        <v/>
      </c>
    </row>
    <row r="70" spans="1:26">
      <c r="A70" t="s">
        <v>337</v>
      </c>
      <c r="B70" t="s">
        <v>63</v>
      </c>
      <c r="C70" t="s">
        <v>338</v>
      </c>
      <c r="D70" t="b">
        <v>1</v>
      </c>
      <c r="E70" t="b">
        <v>1</v>
      </c>
      <c r="I70" t="s">
        <v>339</v>
      </c>
      <c r="J70" t="n">
        <v>3813</v>
      </c>
      <c r="K70" t="n">
        <v>404</v>
      </c>
      <c r="L70" t="n">
        <v>806</v>
      </c>
      <c r="M70" t="n">
        <v>0</v>
      </c>
      <c r="N70" t="n">
        <v>1</v>
      </c>
      <c r="O70" t="n">
        <v>20</v>
      </c>
      <c r="P70" t="s">
        <v>29</v>
      </c>
      <c r="Q70">
        <f>HYPERLINK("https://images.diginfra.net/framed3.html?imagesetuuid=19a3f39b-117a-4ab7-b45b-5e134b099649&amp;uri=https://images.diginfra.net/iiif/NL-HaNA_1.01.02/3813/NL-HaNA_1.01.02_3813_0404.jpg", "viewer_url")</f>
        <v/>
      </c>
      <c r="R70">
        <f>HYPERLINK("https://images.diginfra.net/iiif/NL-HaNA_1.01.02/3813/NL-HaNA_1.01.02_3813_0404.jpg/340,1618,1092,1773/full/0/default.jpg", "iiif_url")</f>
        <v/>
      </c>
      <c r="S70" t="s">
        <v>29</v>
      </c>
      <c r="T70" t="s">
        <v>340</v>
      </c>
      <c r="U70">
        <f>HYPERLINK("https://images.diginfra.net/framed3.html?imagesetuuid=19a3f39b-117a-4ab7-b45b-5e134b099649&amp;uri=https://images.diginfra.net/iiif/NL-HaNA_1.01.02/3813/NL-HaNA_1.01.02_3813_0402.jpg", "prev_meeting_viewer_url")</f>
        <v/>
      </c>
      <c r="V70">
        <f>HYPERLINK("https://images.diginfra.net/iiif/NL-HaNA_1.01.02/3813/NL-HaNA_1.01.02_3813_0402.jpg/1303,1392,1103,1953/full/0/default.jpg", "prev_meeting_iiif_url")</f>
        <v/>
      </c>
      <c r="W70" t="s">
        <v>29</v>
      </c>
      <c r="X70" t="s">
        <v>341</v>
      </c>
      <c r="Y70">
        <f>HYPERLINK("https://images.diginfra.net/framed3.html?imagesetuuid=19a3f39b-117a-4ab7-b45b-5e134b099649&amp;uri=https://images.diginfra.net/iiif/NL-HaNA_1.01.02/3813/NL-HaNA_1.01.02_3813_0405.jpg", "next_meeting_viewer_url")</f>
        <v/>
      </c>
      <c r="Z70">
        <f>HYPERLINK("https://images.diginfra.net/iiif/NL-HaNA_1.01.02/3813/NL-HaNA_1.01.02_3813_0405.jpg/314,1507,1100,1901/full/0/default.jpg", "next_meeting_iiif_url")</f>
        <v/>
      </c>
    </row>
    <row r="71" spans="1:26">
      <c r="A71" t="s">
        <v>342</v>
      </c>
      <c r="B71" t="s">
        <v>63</v>
      </c>
      <c r="C71" t="s">
        <v>343</v>
      </c>
      <c r="D71" t="b">
        <v>1</v>
      </c>
      <c r="E71" t="b">
        <v>1</v>
      </c>
      <c r="I71" t="s">
        <v>344</v>
      </c>
      <c r="J71" t="n">
        <v>3771</v>
      </c>
      <c r="K71" t="n">
        <v>96</v>
      </c>
      <c r="L71" t="n">
        <v>191</v>
      </c>
      <c r="M71" t="n">
        <v>1</v>
      </c>
      <c r="N71" t="n">
        <v>3</v>
      </c>
      <c r="O71" t="n">
        <v>0</v>
      </c>
      <c r="P71" t="s">
        <v>29</v>
      </c>
      <c r="Q71">
        <f>HYPERLINK("https://images.diginfra.net/framed3.html?imagesetuuid=16b7bf4c-5e05-4e5e-b109-cf178ead6c3f&amp;uri=https://images.diginfra.net/iiif/NL-HaNA_1.01.02/3771/NL-HaNA_1.01.02_3771_0096.jpg", "viewer_url")</f>
        <v/>
      </c>
      <c r="R71">
        <f>HYPERLINK("https://images.diginfra.net/iiif/NL-HaNA_1.01.02/3771/NL-HaNA_1.01.02_3771_0096.jpg/3461,3029,908,413/full/0/default.jpg", "iiif_url")</f>
        <v/>
      </c>
      <c r="S71" t="s">
        <v>29</v>
      </c>
      <c r="T71" t="s">
        <v>345</v>
      </c>
      <c r="U71">
        <f>HYPERLINK("https://images.diginfra.net/framed3.html?imagesetuuid=16b7bf4c-5e05-4e5e-b109-cf178ead6c3f&amp;uri=https://images.diginfra.net/iiif/NL-HaNA_1.01.02/3771/NL-HaNA_1.01.02_3771_0095.jpg", "prev_meeting_viewer_url")</f>
        <v/>
      </c>
      <c r="V71">
        <f>HYPERLINK("https://images.diginfra.net/iiif/NL-HaNA_1.01.02/3771/NL-HaNA_1.01.02_3771_0095.jpg/3498,2019,1044,1351/full/0/default.jpg", "prev_meeting_iiif_url")</f>
        <v/>
      </c>
      <c r="W71" t="s">
        <v>33</v>
      </c>
      <c r="X71" t="s">
        <v>346</v>
      </c>
      <c r="Y71">
        <f>HYPERLINK("https://images.diginfra.net/framed3.html?imagesetuuid=16b7bf4c-5e05-4e5e-b109-cf178ead6c3f&amp;uri=https://images.diginfra.net/iiif/NL-HaNA_1.01.02/3771/NL-HaNA_1.01.02_3771_0100.jpg", "next_meeting_viewer_url")</f>
        <v/>
      </c>
      <c r="Z71">
        <f>HYPERLINK("https://images.diginfra.net/iiif/NL-HaNA_1.01.02/3771/NL-HaNA_1.01.02_3771_0100.jpg/220,2902,875,487/full/0/default.jpg", "next_meeting_iiif_url")</f>
        <v/>
      </c>
    </row>
    <row r="72" spans="1:26">
      <c r="A72" t="s">
        <v>347</v>
      </c>
      <c r="B72" t="s">
        <v>37</v>
      </c>
      <c r="C72" t="s">
        <v>348</v>
      </c>
      <c r="D72" t="b">
        <v>1</v>
      </c>
      <c r="E72" t="b">
        <v>1</v>
      </c>
      <c r="I72" t="s">
        <v>349</v>
      </c>
      <c r="J72" t="n">
        <v>3793</v>
      </c>
      <c r="K72" t="n">
        <v>276</v>
      </c>
      <c r="L72" t="n">
        <v>550</v>
      </c>
      <c r="M72" t="n">
        <v>1</v>
      </c>
      <c r="N72" t="n">
        <v>3</v>
      </c>
      <c r="O72" t="n">
        <v>0</v>
      </c>
      <c r="P72" t="s">
        <v>29</v>
      </c>
      <c r="Q72">
        <f>HYPERLINK("https://images.diginfra.net/framed3.html?imagesetuuid=8305a309-5c79-4c0c-a981-7e350c76be32&amp;uri=https://images.diginfra.net/iiif/NL-HaNA_1.01.02/3793/NL-HaNA_1.01.02_3793_0276.jpg", "viewer_url")</f>
        <v/>
      </c>
      <c r="R72">
        <f>HYPERLINK("https://images.diginfra.net/iiif/NL-HaNA_1.01.02/3793/NL-HaNA_1.01.02_3793_0276.jpg/1384,3013,770,388/full/0/default.jpg", "iiif_url")</f>
        <v/>
      </c>
      <c r="S72" t="s">
        <v>29</v>
      </c>
      <c r="T72" t="s">
        <v>350</v>
      </c>
      <c r="U72">
        <f>HYPERLINK("https://images.diginfra.net/framed3.html?imagesetuuid=8305a309-5c79-4c0c-a981-7e350c76be32&amp;uri=https://images.diginfra.net/iiif/NL-HaNA_1.01.02/3793/NL-HaNA_1.01.02_3793_0275.jpg", "prev_meeting_viewer_url")</f>
        <v/>
      </c>
      <c r="V72">
        <f>HYPERLINK("https://images.diginfra.net/iiif/NL-HaNA_1.01.02/3793/NL-HaNA_1.01.02_3793_0275.jpg/2461,516,1096,2945/full/0/default.jpg", "prev_meeting_iiif_url")</f>
        <v/>
      </c>
      <c r="W72" t="s">
        <v>29</v>
      </c>
      <c r="X72" t="s">
        <v>351</v>
      </c>
      <c r="Y72">
        <f>HYPERLINK("https://images.diginfra.net/framed3.html?imagesetuuid=8305a309-5c79-4c0c-a981-7e350c76be32&amp;uri=https://images.diginfra.net/iiif/NL-HaNA_1.01.02/3793/NL-HaNA_1.01.02_3793_0277.jpg", "next_meeting_viewer_url")</f>
        <v/>
      </c>
      <c r="Z72">
        <f>HYPERLINK("https://images.diginfra.net/iiif/NL-HaNA_1.01.02/3793/NL-HaNA_1.01.02_3793_0277.jpg/2438,1599,1107,1849/full/0/default.jpg", "next_meeting_iiif_url")</f>
        <v/>
      </c>
    </row>
    <row r="73" spans="1:26">
      <c r="A73" t="s">
        <v>352</v>
      </c>
      <c r="B73" t="s">
        <v>37</v>
      </c>
      <c r="D73" t="b">
        <v>1</v>
      </c>
      <c r="E73" t="b">
        <v>0</v>
      </c>
      <c r="Q73">
        <f>HYPERLINK("None", "viewer_url")</f>
        <v/>
      </c>
      <c r="R73">
        <f>HYPERLINK("None", "iiif_url")</f>
        <v/>
      </c>
      <c r="S73" t="s">
        <v>33</v>
      </c>
      <c r="T73" t="s">
        <v>353</v>
      </c>
      <c r="U73">
        <f>HYPERLINK("https://images.diginfra.net/framed3.html?imagesetuuid=e4d299a2-71b5-40fc-b329-60132fadd11f&amp;uri=https://images.diginfra.net/iiif/NL-HaNA_1.01.02/3832/NL-HaNA_1.01.02_3832_0446.jpg", "prev_meeting_viewer_url")</f>
        <v/>
      </c>
      <c r="V73">
        <f>HYPERLINK("https://images.diginfra.net/iiif/NL-HaNA_1.01.02/3832/NL-HaNA_1.01.02_3832_0446.jpg/3236,2547,1027,836/full/0/default.jpg", "prev_meeting_iiif_url")</f>
        <v/>
      </c>
    </row>
    <row r="74" spans="1:26">
      <c r="A74" t="s">
        <v>354</v>
      </c>
      <c r="B74" t="s">
        <v>42</v>
      </c>
      <c r="C74" t="s">
        <v>355</v>
      </c>
      <c r="D74" t="b">
        <v>1</v>
      </c>
      <c r="E74" t="b">
        <v>1</v>
      </c>
      <c r="I74" t="s">
        <v>356</v>
      </c>
      <c r="J74" t="n">
        <v>3821</v>
      </c>
      <c r="K74" t="n">
        <v>324</v>
      </c>
      <c r="L74" t="n">
        <v>647</v>
      </c>
      <c r="M74" t="n">
        <v>0</v>
      </c>
      <c r="N74" t="n">
        <v>0</v>
      </c>
      <c r="O74" t="n">
        <v>28</v>
      </c>
      <c r="P74" t="s">
        <v>29</v>
      </c>
      <c r="Q74">
        <f>HYPERLINK("https://images.diginfra.net/framed3.html?imagesetuuid=d2997452-8788-4796-912c-2151f3b459f9&amp;uri=https://images.diginfra.net/iiif/NL-HaNA_1.01.02/3821/NL-HaNA_1.01.02_3821_0324.jpg", "viewer_url")</f>
        <v/>
      </c>
      <c r="R74">
        <f>HYPERLINK("https://images.diginfra.net/iiif/NL-HaNA_1.01.02/3821/NL-HaNA_1.01.02_3821_0324.jpg/3277,1620,1071,1766/full/0/default.jpg", "iiif_url")</f>
        <v/>
      </c>
      <c r="S74" t="s">
        <v>29</v>
      </c>
      <c r="T74" t="s">
        <v>357</v>
      </c>
      <c r="U74">
        <f>HYPERLINK("https://images.diginfra.net/framed3.html?imagesetuuid=d2997452-8788-4796-912c-2151f3b459f9&amp;uri=https://images.diginfra.net/iiif/NL-HaNA_1.01.02/3821/NL-HaNA_1.01.02_3821_0323.jpg", "prev_meeting_viewer_url")</f>
        <v/>
      </c>
      <c r="V74">
        <f>HYPERLINK("https://images.diginfra.net/iiif/NL-HaNA_1.01.02/3821/NL-HaNA_1.01.02_3821_0323.jpg/1163,2189,1077,1297/full/0/default.jpg", "prev_meeting_iiif_url")</f>
        <v/>
      </c>
      <c r="W74" t="s">
        <v>29</v>
      </c>
      <c r="X74" t="s">
        <v>358</v>
      </c>
      <c r="Y74">
        <f>HYPERLINK("https://images.diginfra.net/framed3.html?imagesetuuid=d2997452-8788-4796-912c-2151f3b459f9&amp;uri=https://images.diginfra.net/iiif/NL-HaNA_1.01.02/3821/NL-HaNA_1.01.02_3821_0326.jpg", "next_meeting_viewer_url")</f>
        <v/>
      </c>
      <c r="Z74">
        <f>HYPERLINK("https://images.diginfra.net/iiif/NL-HaNA_1.01.02/3821/NL-HaNA_1.01.02_3821_0326.jpg/229,1464,1068,1916/full/0/default.jpg", "next_meeting_iiif_url")</f>
        <v/>
      </c>
    </row>
    <row r="75" spans="1:26">
      <c r="A75" t="s">
        <v>359</v>
      </c>
      <c r="B75" t="s">
        <v>63</v>
      </c>
      <c r="C75" t="s">
        <v>360</v>
      </c>
      <c r="D75" t="b">
        <v>1</v>
      </c>
      <c r="E75" t="b">
        <v>1</v>
      </c>
      <c r="I75" t="s">
        <v>361</v>
      </c>
      <c r="J75" t="n">
        <v>3834</v>
      </c>
      <c r="K75" t="n">
        <v>299</v>
      </c>
      <c r="L75" t="n">
        <v>597</v>
      </c>
      <c r="M75" t="n">
        <v>1</v>
      </c>
      <c r="N75" t="n">
        <v>2</v>
      </c>
      <c r="O75" t="n">
        <v>0</v>
      </c>
      <c r="P75" t="s">
        <v>29</v>
      </c>
      <c r="Q75">
        <f>HYPERLINK("https://images.diginfra.net/framed3.html?imagesetuuid=bf11cd8e-e3f4-444c-9caa-dcdfd20137d7&amp;uri=https://images.diginfra.net/iiif/NL-HaNA_1.01.02/3834/NL-HaNA_1.01.02_3834_0299.jpg", "viewer_url")</f>
        <v/>
      </c>
      <c r="R75">
        <f>HYPERLINK("https://images.diginfra.net/iiif/NL-HaNA_1.01.02/3834/NL-HaNA_1.01.02_3834_0299.jpg/3360,1330,1106,2001/full/0/default.jpg", "iiif_url")</f>
        <v/>
      </c>
      <c r="W75" t="s">
        <v>29</v>
      </c>
      <c r="X75" t="s">
        <v>362</v>
      </c>
      <c r="Y75">
        <f>HYPERLINK("https://images.diginfra.net/framed3.html?imagesetuuid=bf11cd8e-e3f4-444c-9caa-dcdfd20137d7&amp;uri=https://images.diginfra.net/iiif/NL-HaNA_1.01.02/3834/NL-HaNA_1.01.02_3834_0302.jpg", "next_meeting_viewer_url")</f>
        <v/>
      </c>
      <c r="Z75">
        <f>HYPERLINK("https://images.diginfra.net/iiif/NL-HaNA_1.01.02/3834/NL-HaNA_1.01.02_3834_0302.jpg/2454,2983,1077,445/full/0/default.jpg", "next_meeting_iiif_url")</f>
        <v/>
      </c>
    </row>
    <row r="76" spans="1:26">
      <c r="A76" t="s">
        <v>363</v>
      </c>
      <c r="B76" t="s">
        <v>63</v>
      </c>
      <c r="C76" t="s">
        <v>364</v>
      </c>
      <c r="D76" t="b">
        <v>1</v>
      </c>
      <c r="E76" t="b">
        <v>1</v>
      </c>
      <c r="I76" t="s">
        <v>365</v>
      </c>
      <c r="J76" t="n">
        <v>3812</v>
      </c>
      <c r="K76" t="n">
        <v>155</v>
      </c>
      <c r="L76" t="n">
        <v>309</v>
      </c>
      <c r="M76" t="n">
        <v>1</v>
      </c>
      <c r="N76" t="n">
        <v>2</v>
      </c>
      <c r="O76" t="n">
        <v>0</v>
      </c>
      <c r="P76" t="s">
        <v>29</v>
      </c>
      <c r="Q76">
        <f>HYPERLINK("https://images.diginfra.net/framed3.html?imagesetuuid=2068053a-a1c4-40f9-a503-3778784a1420&amp;uri=https://images.diginfra.net/iiif/NL-HaNA_1.01.02/3812/NL-HaNA_1.01.02_3812_0155.jpg", "viewer_url")</f>
        <v/>
      </c>
      <c r="R76">
        <f>HYPERLINK("https://images.diginfra.net/iiif/NL-HaNA_1.01.02/3812/NL-HaNA_1.01.02_3812_0155.jpg/3353,2544,1040,885/full/0/default.jpg", "iiif_url")</f>
        <v/>
      </c>
      <c r="S76" t="s">
        <v>29</v>
      </c>
      <c r="T76" t="s">
        <v>366</v>
      </c>
      <c r="U76">
        <f>HYPERLINK("https://images.diginfra.net/framed3.html?imagesetuuid=2068053a-a1c4-40f9-a503-3778784a1420&amp;uri=https://images.diginfra.net/iiif/NL-HaNA_1.01.02/3812/NL-HaNA_1.01.02_3812_0153.jpg", "prev_meeting_viewer_url")</f>
        <v/>
      </c>
      <c r="V76">
        <f>HYPERLINK("https://images.diginfra.net/iiif/NL-HaNA_1.01.02/3812/NL-HaNA_1.01.02_3812_0153.jpg/3325,1703,1097,1666/full/0/default.jpg", "prev_meeting_iiif_url")</f>
        <v/>
      </c>
      <c r="W76" t="s">
        <v>29</v>
      </c>
      <c r="X76" t="s">
        <v>367</v>
      </c>
      <c r="Y76">
        <f>HYPERLINK("https://images.diginfra.net/framed3.html?imagesetuuid=2068053a-a1c4-40f9-a503-3778784a1420&amp;uri=https://images.diginfra.net/iiif/NL-HaNA_1.01.02/3812/NL-HaNA_1.01.02_3812_0156.jpg", "next_meeting_viewer_url")</f>
        <v/>
      </c>
      <c r="Z76">
        <f>HYPERLINK("https://images.diginfra.net/iiif/NL-HaNA_1.01.02/3812/NL-HaNA_1.01.02_3812_0156.jpg/1162,1990,1100,1421/full/0/default.jpg", "next_meeting_iiif_url")</f>
        <v/>
      </c>
    </row>
    <row r="77" spans="1:26">
      <c r="A77" t="s">
        <v>368</v>
      </c>
      <c r="B77" t="s">
        <v>76</v>
      </c>
      <c r="C77" t="s">
        <v>369</v>
      </c>
      <c r="D77" t="b">
        <v>1</v>
      </c>
      <c r="E77" t="b">
        <v>1</v>
      </c>
      <c r="I77" t="s">
        <v>370</v>
      </c>
      <c r="J77" t="n">
        <v>3803</v>
      </c>
      <c r="K77" t="n">
        <v>164</v>
      </c>
      <c r="L77" t="n">
        <v>327</v>
      </c>
      <c r="M77" t="n">
        <v>0</v>
      </c>
      <c r="N77" t="n">
        <v>2</v>
      </c>
      <c r="O77" t="n">
        <v>0</v>
      </c>
      <c r="P77" t="s">
        <v>29</v>
      </c>
      <c r="Q77">
        <f>HYPERLINK("https://images.diginfra.net/framed3.html?imagesetuuid=38df7783-1913-47c1-b96e-bdb08c6574dc&amp;uri=https://images.diginfra.net/iiif/NL-HaNA_1.01.02/3803/NL-HaNA_1.01.02_3803_0164.jpg", "viewer_url")</f>
        <v/>
      </c>
      <c r="R77">
        <f>HYPERLINK("https://images.diginfra.net/iiif/NL-HaNA_1.01.02/3803/NL-HaNA_1.01.02_3803_0164.jpg/2390,1292,1072,2027/full/0/default.jpg", "iiif_url")</f>
        <v/>
      </c>
      <c r="S77" t="s">
        <v>29</v>
      </c>
      <c r="T77" t="s">
        <v>371</v>
      </c>
      <c r="U77">
        <f>HYPERLINK("https://images.diginfra.net/framed3.html?imagesetuuid=38df7783-1913-47c1-b96e-bdb08c6574dc&amp;uri=https://images.diginfra.net/iiif/NL-HaNA_1.01.02/3803/NL-HaNA_1.01.02_3803_0164.jpg", "prev_meeting_viewer_url")</f>
        <v/>
      </c>
      <c r="V77">
        <f>HYPERLINK("https://images.diginfra.net/iiif/NL-HaNA_1.01.02/3803/NL-HaNA_1.01.02_3803_0164.jpg/319,2850,906,456/full/0/default.jpg", "prev_meeting_iiif_url")</f>
        <v/>
      </c>
      <c r="W77" t="s">
        <v>29</v>
      </c>
      <c r="X77" t="s">
        <v>372</v>
      </c>
      <c r="Y77">
        <f>HYPERLINK("https://images.diginfra.net/framed3.html?imagesetuuid=38df7783-1913-47c1-b96e-bdb08c6574dc&amp;uri=https://images.diginfra.net/iiif/NL-HaNA_1.01.02/3803/NL-HaNA_1.01.02_3803_0167.jpg", "next_meeting_viewer_url")</f>
        <v/>
      </c>
      <c r="Z77">
        <f>HYPERLINK("https://images.diginfra.net/iiif/NL-HaNA_1.01.02/3803/NL-HaNA_1.01.02_3803_0167.jpg/1274,2233,1039,1198/full/0/default.jpg", "next_meeting_iiif_url")</f>
        <v/>
      </c>
    </row>
    <row r="78" spans="1:26">
      <c r="A78" t="s">
        <v>373</v>
      </c>
      <c r="B78" t="s">
        <v>53</v>
      </c>
      <c r="D78" t="b">
        <v>1</v>
      </c>
      <c r="E78" t="b">
        <v>0</v>
      </c>
      <c r="Q78">
        <f>HYPERLINK("None", "viewer_url")</f>
        <v/>
      </c>
      <c r="R78">
        <f>HYPERLINK("None", "iiif_url")</f>
        <v/>
      </c>
      <c r="S78" t="s">
        <v>33</v>
      </c>
      <c r="T78" t="s">
        <v>374</v>
      </c>
      <c r="U78">
        <f>HYPERLINK("https://images.diginfra.net/framed3.html?imagesetuuid=168ac05c-00de-43e1-bb35-d8e406b92363&amp;uri=https://images.diginfra.net/iiif/NL-HaNA_1.01.02/3763/NL-HaNA_1.01.02_3763_0168.jpg", "prev_meeting_viewer_url")</f>
        <v/>
      </c>
      <c r="V78">
        <f>HYPERLINK("https://images.diginfra.net/iiif/NL-HaNA_1.01.02/3763/NL-HaNA_1.01.02_3763_0168.jpg/3340,1337,1114,2055/full/0/default.jpg", "prev_meeting_iiif_url")</f>
        <v/>
      </c>
      <c r="W78" t="s">
        <v>29</v>
      </c>
      <c r="X78" t="s">
        <v>375</v>
      </c>
      <c r="Y78">
        <f>HYPERLINK("https://images.diginfra.net/framed3.html?imagesetuuid=168ac05c-00de-43e1-bb35-d8e406b92363&amp;uri=https://images.diginfra.net/iiif/NL-HaNA_1.01.02/3763/NL-HaNA_1.01.02_3763_0171.jpg", "next_meeting_viewer_url")</f>
        <v/>
      </c>
      <c r="Z78">
        <f>HYPERLINK("https://images.diginfra.net/iiif/NL-HaNA_1.01.02/3763/NL-HaNA_1.01.02_3763_0171.jpg/1228,1458,1077,1816/full/0/default.jpg", "next_meeting_iiif_url")</f>
        <v/>
      </c>
    </row>
    <row r="79" spans="1:26">
      <c r="A79" t="s">
        <v>376</v>
      </c>
      <c r="B79" t="s">
        <v>42</v>
      </c>
      <c r="C79" t="s">
        <v>377</v>
      </c>
      <c r="D79" t="b">
        <v>1</v>
      </c>
      <c r="E79" t="b">
        <v>1</v>
      </c>
      <c r="I79" t="s">
        <v>378</v>
      </c>
      <c r="J79" t="n">
        <v>3814</v>
      </c>
      <c r="K79" t="n">
        <v>505</v>
      </c>
      <c r="L79" t="n">
        <v>1009</v>
      </c>
      <c r="M79" t="n">
        <v>0</v>
      </c>
      <c r="N79" t="n">
        <v>1</v>
      </c>
      <c r="O79" t="n">
        <v>0</v>
      </c>
      <c r="P79" t="s">
        <v>29</v>
      </c>
      <c r="Q79">
        <f>HYPERLINK("https://images.diginfra.net/framed3.html?imagesetuuid=a95427fd-d131-4f1b-a2ee-069d038f458a&amp;uri=https://images.diginfra.net/iiif/NL-HaNA_1.01.02/3814/NL-HaNA_1.01.02_3814_0505.jpg", "viewer_url")</f>
        <v/>
      </c>
      <c r="R79">
        <f>HYPERLINK("https://images.diginfra.net/iiif/NL-HaNA_1.01.02/3814/NL-HaNA_1.01.02_3814_0505.jpg/2340,811,1101,2643/full/0/default.jpg", "iiif_url")</f>
        <v/>
      </c>
      <c r="S79" t="s">
        <v>29</v>
      </c>
      <c r="T79" t="s">
        <v>379</v>
      </c>
      <c r="U79">
        <f>HYPERLINK("https://images.diginfra.net/framed3.html?imagesetuuid=a95427fd-d131-4f1b-a2ee-069d038f458a&amp;uri=https://images.diginfra.net/iiif/NL-HaNA_1.01.02/3814/NL-HaNA_1.01.02_3814_0503.jpg", "prev_meeting_viewer_url")</f>
        <v/>
      </c>
      <c r="V79">
        <f>HYPERLINK("https://images.diginfra.net/iiif/NL-HaNA_1.01.02/3814/NL-HaNA_1.01.02_3814_0503.jpg/3341,2342,1053,1038/full/0/default.jpg", "prev_meeting_iiif_url")</f>
        <v/>
      </c>
      <c r="W79" t="s">
        <v>29</v>
      </c>
      <c r="X79" t="s">
        <v>380</v>
      </c>
      <c r="Y79">
        <f>HYPERLINK("https://images.diginfra.net/framed3.html?imagesetuuid=a95427fd-d131-4f1b-a2ee-069d038f458a&amp;uri=https://images.diginfra.net/iiif/NL-HaNA_1.01.02/3814/NL-HaNA_1.01.02_3814_0506.jpg", "next_meeting_viewer_url")</f>
        <v/>
      </c>
      <c r="Z79">
        <f>HYPERLINK("https://images.diginfra.net/iiif/NL-HaNA_1.01.02/3814/NL-HaNA_1.01.02_3814_0506.jpg/3267,931,1107,2495/full/0/default.jpg", "next_meeting_iiif_url")</f>
        <v/>
      </c>
    </row>
    <row r="80" spans="1:26">
      <c r="A80" t="s">
        <v>381</v>
      </c>
      <c r="B80" t="s">
        <v>42</v>
      </c>
      <c r="C80" t="s">
        <v>382</v>
      </c>
      <c r="D80" t="b">
        <v>1</v>
      </c>
      <c r="E80" t="b">
        <v>1</v>
      </c>
      <c r="I80" t="s">
        <v>383</v>
      </c>
      <c r="J80" t="n">
        <v>3762</v>
      </c>
      <c r="K80" t="n">
        <v>130</v>
      </c>
      <c r="L80" t="n">
        <v>259</v>
      </c>
      <c r="M80" t="n">
        <v>0</v>
      </c>
      <c r="N80" t="n">
        <v>0</v>
      </c>
      <c r="O80" t="n">
        <v>17</v>
      </c>
      <c r="P80" t="s">
        <v>29</v>
      </c>
      <c r="Q80">
        <f>HYPERLINK("https://images.diginfra.net/framed3.html?imagesetuuid=df3dafee-b161-42ae-8ffe-6d7f9dbb63ed&amp;uri=https://images.diginfra.net/iiif/NL-HaNA_1.01.02/3762/NL-HaNA_1.01.02_3762_0130.jpg", "viewer_url")</f>
        <v/>
      </c>
      <c r="R80">
        <f>HYPERLINK("https://images.diginfra.net/iiif/NL-HaNA_1.01.02/3762/NL-HaNA_1.01.02_3762_0130.jpg/2350,1139,1112,2304/full/0/default.jpg", "iiif_url")</f>
        <v/>
      </c>
      <c r="S80" t="s">
        <v>29</v>
      </c>
      <c r="T80" t="s">
        <v>384</v>
      </c>
      <c r="U80">
        <f>HYPERLINK("https://images.diginfra.net/framed3.html?imagesetuuid=df3dafee-b161-42ae-8ffe-6d7f9dbb63ed&amp;uri=https://images.diginfra.net/iiif/NL-HaNA_1.01.02/3762/NL-HaNA_1.01.02_3762_0127.jpg", "prev_meeting_viewer_url")</f>
        <v/>
      </c>
      <c r="V80">
        <f>HYPERLINK("https://images.diginfra.net/iiif/NL-HaNA_1.01.02/3762/NL-HaNA_1.01.02_3762_0127.jpg/1316,1650,1066,1752/full/0/default.jpg", "prev_meeting_iiif_url")</f>
        <v/>
      </c>
      <c r="W80" t="s">
        <v>29</v>
      </c>
      <c r="X80" t="s">
        <v>385</v>
      </c>
      <c r="Y80">
        <f>HYPERLINK("https://images.diginfra.net/framed3.html?imagesetuuid=df3dafee-b161-42ae-8ffe-6d7f9dbb63ed&amp;uri=https://images.diginfra.net/iiif/NL-HaNA_1.01.02/3762/NL-HaNA_1.01.02_3762_0132.jpg", "next_meeting_viewer_url")</f>
        <v/>
      </c>
      <c r="Z80">
        <f>HYPERLINK("https://images.diginfra.net/iiif/NL-HaNA_1.01.02/3762/NL-HaNA_1.01.02_3762_0132.jpg/2334,761,1033,938/full/0/default.jpg", "next_meeting_iiif_url")</f>
        <v/>
      </c>
    </row>
    <row r="81" spans="1:26">
      <c r="A81" t="s">
        <v>386</v>
      </c>
      <c r="B81" t="s">
        <v>42</v>
      </c>
      <c r="C81" t="s">
        <v>387</v>
      </c>
      <c r="D81" t="b">
        <v>1</v>
      </c>
      <c r="E81" t="b">
        <v>1</v>
      </c>
      <c r="I81" t="s">
        <v>388</v>
      </c>
      <c r="J81" t="n">
        <v>3760</v>
      </c>
      <c r="K81" t="n">
        <v>667</v>
      </c>
      <c r="L81" t="n">
        <v>1332</v>
      </c>
      <c r="M81" t="n">
        <v>1</v>
      </c>
      <c r="N81" t="n">
        <v>1</v>
      </c>
      <c r="O81" t="n">
        <v>1</v>
      </c>
      <c r="P81" t="s">
        <v>29</v>
      </c>
      <c r="Q81">
        <f>HYPERLINK("https://images.diginfra.net/framed3.html?imagesetuuid=dc1aea1e-5e7b-4d50-b913-c0d5902dbd85&amp;uri=https://images.diginfra.net/iiif/NL-HaNA_1.01.02/3760/NL-HaNA_1.01.02_3760_0667.jpg", "viewer_url")</f>
        <v/>
      </c>
      <c r="R81">
        <f>HYPERLINK("https://images.diginfra.net/iiif/NL-HaNA_1.01.02/3760/NL-HaNA_1.01.02_3760_0667.jpg/1408,2091,1036,1286/full/0/default.jpg", "iiif_url")</f>
        <v/>
      </c>
      <c r="S81" t="s">
        <v>29</v>
      </c>
      <c r="T81" t="s">
        <v>389</v>
      </c>
      <c r="U81">
        <f>HYPERLINK("https://images.diginfra.net/framed3.html?imagesetuuid=dc1aea1e-5e7b-4d50-b913-c0d5902dbd85&amp;uri=https://images.diginfra.net/iiif/NL-HaNA_1.01.02/3760/NL-HaNA_1.01.02_3760_0665.jpg", "prev_meeting_viewer_url")</f>
        <v/>
      </c>
      <c r="V81">
        <f>HYPERLINK("https://images.diginfra.net/iiif/NL-HaNA_1.01.02/3760/NL-HaNA_1.01.02_3760_0665.jpg/2461,433,1093,2873/full/0/default.jpg", "prev_meeting_iiif_url")</f>
        <v/>
      </c>
      <c r="W81" t="s">
        <v>33</v>
      </c>
      <c r="X81" t="s">
        <v>390</v>
      </c>
      <c r="Y81">
        <f>HYPERLINK("https://images.diginfra.net/framed3.html?imagesetuuid=dc1aea1e-5e7b-4d50-b913-c0d5902dbd85&amp;uri=https://images.diginfra.net/iiif/NL-HaNA_1.01.02/3760/NL-HaNA_1.01.02_3760_0669.jpg", "next_meeting_viewer_url")</f>
        <v/>
      </c>
      <c r="Z81">
        <f>HYPERLINK("https://images.diginfra.net/iiif/NL-HaNA_1.01.02/3760/NL-HaNA_1.01.02_3760_0669.jpg/1359,1995,1039,1228/full/0/default.jpg", "next_meeting_iiif_url")</f>
        <v/>
      </c>
    </row>
    <row r="82" spans="1:26">
      <c r="A82" t="s">
        <v>391</v>
      </c>
      <c r="B82" t="s">
        <v>27</v>
      </c>
      <c r="C82" t="s">
        <v>392</v>
      </c>
      <c r="D82" t="b">
        <v>1</v>
      </c>
      <c r="E82" t="b">
        <v>1</v>
      </c>
      <c r="I82" t="s">
        <v>393</v>
      </c>
      <c r="J82" t="n">
        <v>3782</v>
      </c>
      <c r="K82" t="n">
        <v>250</v>
      </c>
      <c r="L82" t="n">
        <v>498</v>
      </c>
      <c r="M82" t="n">
        <v>0</v>
      </c>
      <c r="N82" t="n">
        <v>2</v>
      </c>
      <c r="O82" t="n">
        <v>0</v>
      </c>
      <c r="P82" t="s">
        <v>29</v>
      </c>
      <c r="Q82">
        <f>HYPERLINK("https://images.diginfra.net/framed3.html?imagesetuuid=6d3687da-fdc8-4a47-ac98-f85d45f74cb7&amp;uri=https://images.diginfra.net/iiif/NL-HaNA_1.01.02/3782/NL-HaNA_1.01.02_3782_0250.jpg", "viewer_url")</f>
        <v/>
      </c>
      <c r="R82">
        <f>HYPERLINK("https://images.diginfra.net/iiif/NL-HaNA_1.01.02/3782/NL-HaNA_1.01.02_3782_0250.jpg/354,2729,1029,669/full/0/default.jpg", "iiif_url")</f>
        <v/>
      </c>
      <c r="S82" t="s">
        <v>29</v>
      </c>
      <c r="T82" t="s">
        <v>394</v>
      </c>
      <c r="U82">
        <f>HYPERLINK("https://images.diginfra.net/framed3.html?imagesetuuid=6d3687da-fdc8-4a47-ac98-f85d45f74cb7&amp;uri=https://images.diginfra.net/iiif/NL-HaNA_1.01.02/3782/NL-HaNA_1.01.02_3782_0247.jpg", "prev_meeting_viewer_url")</f>
        <v/>
      </c>
      <c r="V82">
        <f>HYPERLINK("https://images.diginfra.net/iiif/NL-HaNA_1.01.02/3782/NL-HaNA_1.01.02_3782_0247.jpg/369,1872,1028,1620/full/0/default.jpg", "prev_meeting_iiif_url")</f>
        <v/>
      </c>
      <c r="W82" t="s">
        <v>29</v>
      </c>
      <c r="X82" t="s">
        <v>395</v>
      </c>
      <c r="Y82">
        <f>HYPERLINK("https://images.diginfra.net/framed3.html?imagesetuuid=6d3687da-fdc8-4a47-ac98-f85d45f74cb7&amp;uri=https://images.diginfra.net/iiif/NL-HaNA_1.01.02/3782/NL-HaNA_1.01.02_3782_0250.jpg", "next_meeting_viewer_url")</f>
        <v/>
      </c>
      <c r="Z82">
        <f>HYPERLINK("https://images.diginfra.net/iiif/NL-HaNA_1.01.02/3782/NL-HaNA_1.01.02_3782_0250.jpg/3463,2032,1093,1325/full/0/default.jpg", "next_meeting_iiif_url")</f>
        <v/>
      </c>
    </row>
    <row r="83" spans="1:26">
      <c r="A83" t="s">
        <v>396</v>
      </c>
      <c r="B83" t="s">
        <v>63</v>
      </c>
      <c r="C83" t="s">
        <v>397</v>
      </c>
      <c r="D83" t="b">
        <v>1</v>
      </c>
      <c r="E83" t="b">
        <v>1</v>
      </c>
      <c r="I83" t="s">
        <v>398</v>
      </c>
      <c r="J83" t="n">
        <v>3779</v>
      </c>
      <c r="K83" t="n">
        <v>420</v>
      </c>
      <c r="L83" t="n">
        <v>838</v>
      </c>
      <c r="M83" t="n">
        <v>1</v>
      </c>
      <c r="N83" t="n">
        <v>2</v>
      </c>
      <c r="O83" t="n">
        <v>0</v>
      </c>
      <c r="P83" t="s">
        <v>29</v>
      </c>
      <c r="Q83">
        <f>HYPERLINK("https://images.diginfra.net/framed3.html?imagesetuuid=2a6123c7-d902-45f6-87fa-8a3cc39c1043&amp;uri=https://images.diginfra.net/iiif/NL-HaNA_1.01.02/3779/NL-HaNA_1.01.02_3779_0420.jpg", "viewer_url")</f>
        <v/>
      </c>
      <c r="R83">
        <f>HYPERLINK("https://images.diginfra.net/iiif/NL-HaNA_1.01.02/3779/NL-HaNA_1.01.02_3779_0420.jpg/1324,1601,1089,1839/full/0/default.jpg", "iiif_url")</f>
        <v/>
      </c>
      <c r="S83" t="s">
        <v>29</v>
      </c>
      <c r="T83" t="s">
        <v>399</v>
      </c>
      <c r="U83">
        <f>HYPERLINK("https://images.diginfra.net/framed3.html?imagesetuuid=2a6123c7-d902-45f6-87fa-8a3cc39c1043&amp;uri=https://images.diginfra.net/iiif/NL-HaNA_1.01.02/3779/NL-HaNA_1.01.02_3779_0419.jpg", "prev_meeting_viewer_url")</f>
        <v/>
      </c>
      <c r="V83">
        <f>HYPERLINK("https://images.diginfra.net/iiif/NL-HaNA_1.01.02/3779/NL-HaNA_1.01.02_3779_0419.jpg/3550,1231,1109,2230/full/0/default.jpg", "prev_meeting_iiif_url")</f>
        <v/>
      </c>
      <c r="W83" t="s">
        <v>29</v>
      </c>
      <c r="X83" t="s">
        <v>400</v>
      </c>
      <c r="Y83">
        <f>HYPERLINK("https://images.diginfra.net/framed3.html?imagesetuuid=2a6123c7-d902-45f6-87fa-8a3cc39c1043&amp;uri=https://images.diginfra.net/iiif/NL-HaNA_1.01.02/3779/NL-HaNA_1.01.02_3779_0421.jpg", "next_meeting_viewer_url")</f>
        <v/>
      </c>
      <c r="Z83">
        <f>HYPERLINK("https://images.diginfra.net/iiif/NL-HaNA_1.01.02/3779/NL-HaNA_1.01.02_3779_0421.jpg/1277,1391,1102,2084/full/0/default.jpg", "next_meeting_iiif_url")</f>
        <v/>
      </c>
    </row>
    <row r="84" spans="1:26">
      <c r="A84" t="s">
        <v>401</v>
      </c>
      <c r="B84" t="s">
        <v>48</v>
      </c>
      <c r="D84" t="b">
        <v>0</v>
      </c>
      <c r="E84" t="b">
        <v>0</v>
      </c>
      <c r="I84" t="s">
        <v>402</v>
      </c>
      <c r="J84" t="n">
        <v>3781</v>
      </c>
      <c r="K84" t="n">
        <v>152</v>
      </c>
      <c r="L84" t="n">
        <v>302</v>
      </c>
      <c r="M84" t="n">
        <v>0</v>
      </c>
      <c r="N84" t="n">
        <v>3</v>
      </c>
      <c r="O84" t="n">
        <v>0</v>
      </c>
      <c r="P84" t="s">
        <v>29</v>
      </c>
      <c r="Q84">
        <f>HYPERLINK("https://images.diginfra.net/framed3.html?imagesetuuid=7806433b-7f26-4d4e-8e76-37d108a188de&amp;uri=https://images.diginfra.net/iiif/NL-HaNA_1.01.02/3781/NL-HaNA_1.01.02_3781_0152.jpg", "viewer_url")</f>
        <v/>
      </c>
      <c r="R84">
        <f>HYPERLINK("https://images.diginfra.net/iiif/NL-HaNA_1.01.02/3781/NL-HaNA_1.01.02_3781_0152.jpg/359,2604,1039,810/full/0/default.jpg", "iiif_url")</f>
        <v/>
      </c>
      <c r="S84" t="s">
        <v>29</v>
      </c>
      <c r="T84" t="s">
        <v>403</v>
      </c>
      <c r="U84">
        <f>HYPERLINK("https://images.diginfra.net/framed3.html?imagesetuuid=7806433b-7f26-4d4e-8e76-37d108a188de&amp;uri=https://images.diginfra.net/iiif/NL-HaNA_1.01.02/3781/NL-HaNA_1.01.02_3781_0151.jpg", "prev_meeting_viewer_url")</f>
        <v/>
      </c>
      <c r="V84">
        <f>HYPERLINK("https://images.diginfra.net/iiif/NL-HaNA_1.01.02/3781/NL-HaNA_1.01.02_3781_0151.jpg/1206,1270,1106,2207/full/0/default.jpg", "prev_meeting_iiif_url")</f>
        <v/>
      </c>
      <c r="W84" t="s">
        <v>29</v>
      </c>
      <c r="X84" t="s">
        <v>404</v>
      </c>
      <c r="Y84">
        <f>HYPERLINK("https://images.diginfra.net/framed3.html?imagesetuuid=7806433b-7f26-4d4e-8e76-37d108a188de&amp;uri=https://images.diginfra.net/iiif/NL-HaNA_1.01.02/3781/NL-HaNA_1.01.02_3781_0152.jpg", "next_meeting_viewer_url")</f>
        <v/>
      </c>
      <c r="Z84">
        <f>HYPERLINK("https://images.diginfra.net/iiif/NL-HaNA_1.01.02/3781/NL-HaNA_1.01.02_3781_0152.jpg/359,2604,1039,810/full/0/default.jpg", "next_meeting_iiif_url")</f>
        <v/>
      </c>
    </row>
    <row r="85" spans="1:26">
      <c r="A85" t="s">
        <v>405</v>
      </c>
      <c r="B85" t="s">
        <v>27</v>
      </c>
      <c r="D85" t="b">
        <v>0</v>
      </c>
      <c r="E85" t="b">
        <v>0</v>
      </c>
      <c r="I85" t="s">
        <v>406</v>
      </c>
      <c r="J85" t="n">
        <v>3844</v>
      </c>
      <c r="K85" t="n">
        <v>127</v>
      </c>
      <c r="L85" t="n">
        <v>252</v>
      </c>
      <c r="M85" t="n">
        <v>1</v>
      </c>
      <c r="N85" t="n">
        <v>2</v>
      </c>
      <c r="O85" t="n">
        <v>0</v>
      </c>
      <c r="P85" t="s">
        <v>29</v>
      </c>
      <c r="Q85">
        <f>HYPERLINK("https://images.diginfra.net/framed3.html?imagesetuuid=61690246-944a-4d63-9d72-95ab6a0a9306&amp;uri=https://images.diginfra.net/iiif/NL-HaNA_1.01.02/3844/NL-HaNA_1.01.02_3844_0127.jpg", "viewer_url")</f>
        <v/>
      </c>
      <c r="R85">
        <f>HYPERLINK("https://images.diginfra.net/iiif/NL-HaNA_1.01.02/3844/NL-HaNA_1.01.02_3844_0127.jpg/1298,1268,1105,2039/full/0/default.jpg", "iiif_url")</f>
        <v/>
      </c>
      <c r="S85" t="s">
        <v>29</v>
      </c>
      <c r="T85" t="s">
        <v>407</v>
      </c>
      <c r="U85">
        <f>HYPERLINK("https://images.diginfra.net/framed3.html?imagesetuuid=61690246-944a-4d63-9d72-95ab6a0a9306&amp;uri=https://images.diginfra.net/iiif/NL-HaNA_1.01.02/3844/NL-HaNA_1.01.02_3844_0125.jpg", "prev_meeting_viewer_url")</f>
        <v/>
      </c>
      <c r="V85">
        <f>HYPERLINK("https://images.diginfra.net/iiif/NL-HaNA_1.01.02/3844/NL-HaNA_1.01.02_3844_0125.jpg/365,506,1091,2757/full/0/default.jpg", "prev_meeting_iiif_url")</f>
        <v/>
      </c>
      <c r="W85" t="s">
        <v>29</v>
      </c>
      <c r="X85" t="s">
        <v>408</v>
      </c>
      <c r="Y85">
        <f>HYPERLINK("https://images.diginfra.net/framed3.html?imagesetuuid=61690246-944a-4d63-9d72-95ab6a0a9306&amp;uri=https://images.diginfra.net/iiif/NL-HaNA_1.01.02/3844/NL-HaNA_1.01.02_3844_0127.jpg", "next_meeting_viewer_url")</f>
        <v/>
      </c>
      <c r="Z85">
        <f>HYPERLINK("https://images.diginfra.net/iiif/NL-HaNA_1.01.02/3844/NL-HaNA_1.01.02_3844_0127.jpg/1298,1268,1105,2039/full/0/default.jpg", "next_meeting_iiif_url")</f>
        <v/>
      </c>
    </row>
    <row r="86" spans="1:26">
      <c r="A86" t="s">
        <v>409</v>
      </c>
      <c r="B86" t="s">
        <v>27</v>
      </c>
      <c r="D86" t="b">
        <v>0</v>
      </c>
      <c r="E86" t="b">
        <v>0</v>
      </c>
      <c r="I86" t="s">
        <v>410</v>
      </c>
      <c r="J86" t="n">
        <v>3822</v>
      </c>
      <c r="K86" t="n">
        <v>200</v>
      </c>
      <c r="L86" t="n">
        <v>399</v>
      </c>
      <c r="M86" t="n">
        <v>0</v>
      </c>
      <c r="N86" t="n">
        <v>0</v>
      </c>
      <c r="O86" t="n">
        <v>18</v>
      </c>
      <c r="P86" t="s">
        <v>29</v>
      </c>
      <c r="Q86">
        <f>HYPERLINK("https://images.diginfra.net/framed3.html?imagesetuuid=e0965315-891d-46c1-9dac-fc6b729921cf&amp;uri=https://images.diginfra.net/iiif/NL-HaNA_1.01.02/3822/NL-HaNA_1.01.02_3822_0200.jpg", "viewer_url")</f>
        <v/>
      </c>
      <c r="R86">
        <f>HYPERLINK("https://images.diginfra.net/iiif/NL-HaNA_1.01.02/3822/NL-HaNA_1.01.02_3822_0200.jpg/2324,1024,1074,2266/full/0/default.jpg", "iiif_url")</f>
        <v/>
      </c>
      <c r="S86" t="s">
        <v>29</v>
      </c>
      <c r="T86" t="s">
        <v>411</v>
      </c>
      <c r="U86">
        <f>HYPERLINK("https://images.diginfra.net/framed3.html?imagesetuuid=e0965315-891d-46c1-9dac-fc6b729921cf&amp;uri=https://images.diginfra.net/iiif/NL-HaNA_1.01.02/3822/NL-HaNA_1.01.02_3822_0199.jpg", "prev_meeting_viewer_url")</f>
        <v/>
      </c>
      <c r="V86">
        <f>HYPERLINK("https://images.diginfra.net/iiif/NL-HaNA_1.01.02/3822/NL-HaNA_1.01.02_3822_0199.jpg/234,525,1082,2836/full/0/default.jpg", "prev_meeting_iiif_url")</f>
        <v/>
      </c>
      <c r="W86" t="s">
        <v>29</v>
      </c>
      <c r="X86" t="s">
        <v>412</v>
      </c>
      <c r="Y86">
        <f>HYPERLINK("https://images.diginfra.net/framed3.html?imagesetuuid=e0965315-891d-46c1-9dac-fc6b729921cf&amp;uri=https://images.diginfra.net/iiif/NL-HaNA_1.01.02/3822/NL-HaNA_1.01.02_3822_0200.jpg", "next_meeting_viewer_url")</f>
        <v/>
      </c>
      <c r="Z86">
        <f>HYPERLINK("https://images.diginfra.net/iiif/NL-HaNA_1.01.02/3822/NL-HaNA_1.01.02_3822_0200.jpg/2324,1024,1074,2266/full/0/default.jpg", "next_meeting_iiif_url")</f>
        <v/>
      </c>
    </row>
    <row r="87" spans="1:26">
      <c r="A87" t="s">
        <v>413</v>
      </c>
      <c r="B87" t="s">
        <v>48</v>
      </c>
      <c r="D87" t="b">
        <v>0</v>
      </c>
      <c r="E87" t="b">
        <v>0</v>
      </c>
      <c r="I87" t="s">
        <v>414</v>
      </c>
      <c r="J87" t="n">
        <v>3787</v>
      </c>
      <c r="K87" t="n">
        <v>207</v>
      </c>
      <c r="L87" t="n">
        <v>412</v>
      </c>
      <c r="M87" t="n">
        <v>1</v>
      </c>
      <c r="N87" t="n">
        <v>1</v>
      </c>
      <c r="O87" t="n">
        <v>0</v>
      </c>
      <c r="P87" t="s">
        <v>29</v>
      </c>
      <c r="Q87">
        <f>HYPERLINK("https://images.diginfra.net/framed3.html?imagesetuuid=db7b00f7-0cd1-4078-9123-41ccf17bd821&amp;uri=https://images.diginfra.net/iiif/NL-HaNA_1.01.02/3787/NL-HaNA_1.01.02_3787_0207.jpg", "viewer_url")</f>
        <v/>
      </c>
      <c r="R87">
        <f>HYPERLINK("https://images.diginfra.net/iiif/NL-HaNA_1.01.02/3787/NL-HaNA_1.01.02_3787_0207.jpg/1148,715,1108,2668/full/0/default.jpg", "iiif_url")</f>
        <v/>
      </c>
      <c r="S87" t="s">
        <v>29</v>
      </c>
      <c r="T87" t="s">
        <v>415</v>
      </c>
      <c r="U87">
        <f>HYPERLINK("https://images.diginfra.net/framed3.html?imagesetuuid=db7b00f7-0cd1-4078-9123-41ccf17bd821&amp;uri=https://images.diginfra.net/iiif/NL-HaNA_1.01.02/3787/NL-HaNA_1.01.02_3787_0205.jpg", "prev_meeting_viewer_url")</f>
        <v/>
      </c>
      <c r="V87">
        <f>HYPERLINK("https://images.diginfra.net/iiif/NL-HaNA_1.01.02/3787/NL-HaNA_1.01.02_3787_0205.jpg/2314,1904,1074,1419/full/0/default.jpg", "prev_meeting_iiif_url")</f>
        <v/>
      </c>
      <c r="W87" t="s">
        <v>29</v>
      </c>
      <c r="X87" t="s">
        <v>416</v>
      </c>
      <c r="Y87">
        <f>HYPERLINK("https://images.diginfra.net/framed3.html?imagesetuuid=db7b00f7-0cd1-4078-9123-41ccf17bd821&amp;uri=https://images.diginfra.net/iiif/NL-HaNA_1.01.02/3787/NL-HaNA_1.01.02_3787_0207.jpg", "next_meeting_viewer_url")</f>
        <v/>
      </c>
      <c r="Z87">
        <f>HYPERLINK("https://images.diginfra.net/iiif/NL-HaNA_1.01.02/3787/NL-HaNA_1.01.02_3787_0207.jpg/1148,715,1108,2668/full/0/default.jpg", "next_meeting_iiif_url")</f>
        <v/>
      </c>
    </row>
    <row r="88" spans="1:26">
      <c r="A88" t="s">
        <v>417</v>
      </c>
      <c r="B88" t="s">
        <v>53</v>
      </c>
      <c r="C88" t="s">
        <v>418</v>
      </c>
      <c r="D88" t="b">
        <v>1</v>
      </c>
      <c r="E88" t="b">
        <v>1</v>
      </c>
      <c r="I88" t="s">
        <v>419</v>
      </c>
      <c r="J88" t="n">
        <v>3815</v>
      </c>
      <c r="K88" t="n">
        <v>299</v>
      </c>
      <c r="L88" t="n">
        <v>597</v>
      </c>
      <c r="M88" t="n">
        <v>0</v>
      </c>
      <c r="N88" t="n">
        <v>2</v>
      </c>
      <c r="O88" t="n">
        <v>14</v>
      </c>
      <c r="P88" t="s">
        <v>29</v>
      </c>
      <c r="Q88">
        <f>HYPERLINK("https://images.diginfra.net/framed3.html?imagesetuuid=c649f39d-5b94-4d9d-8000-33acd4342c36&amp;uri=https://images.diginfra.net/iiif/NL-HaNA_1.01.02/3815/NL-HaNA_1.01.02_3815_0299.jpg", "viewer_url")</f>
        <v/>
      </c>
      <c r="R88">
        <f>HYPERLINK("https://images.diginfra.net/iiif/NL-HaNA_1.01.02/3815/NL-HaNA_1.01.02_3815_0299.jpg/2386,3025,905,373/full/0/default.jpg", "iiif_url")</f>
        <v/>
      </c>
      <c r="S88" t="s">
        <v>29</v>
      </c>
      <c r="U88">
        <f>HYPERLINK("https://images.diginfra.net/framed3.html?imagesetuuid=c649f39d-5b94-4d9d-8000-33acd4342c36&amp;uri=https://images.diginfra.net/iiif/NL-HaNA_1.01.02/3815/NL-HaNA_1.01.02_3815_0297.jpg", "prev_meeting_viewer_url")</f>
        <v/>
      </c>
      <c r="V88">
        <f>HYPERLINK("https://images.diginfra.net/iiif/NL-HaNA_1.01.02/3815/NL-HaNA_1.01.02_3815_0297.jpg/1233,353,1107,3121/full/0/default.jpg", "prev_meeting_iiif_url")</f>
        <v/>
      </c>
      <c r="W88" t="s">
        <v>29</v>
      </c>
      <c r="X88" t="s">
        <v>420</v>
      </c>
      <c r="Y88">
        <f>HYPERLINK("https://images.diginfra.net/framed3.html?imagesetuuid=c649f39d-5b94-4d9d-8000-33acd4342c36&amp;uri=https://images.diginfra.net/iiif/NL-HaNA_1.01.02/3815/NL-HaNA_1.01.02_3815_0301.jpg", "next_meeting_viewer_url")</f>
        <v/>
      </c>
      <c r="Z88">
        <f>HYPERLINK("https://images.diginfra.net/iiif/NL-HaNA_1.01.02/3815/NL-HaNA_1.01.02_3815_0301.jpg/3357,2898,1051,514/full/0/default.jpg", "next_meeting_iiif_url")</f>
        <v/>
      </c>
    </row>
    <row r="89" spans="1:26">
      <c r="A89" t="s">
        <v>421</v>
      </c>
      <c r="B89" t="s">
        <v>76</v>
      </c>
      <c r="C89" t="s">
        <v>422</v>
      </c>
      <c r="D89" t="b">
        <v>1</v>
      </c>
      <c r="E89" t="b">
        <v>1</v>
      </c>
      <c r="I89" t="s">
        <v>423</v>
      </c>
      <c r="J89" t="n">
        <v>3824</v>
      </c>
      <c r="K89" t="n">
        <v>217</v>
      </c>
      <c r="L89" t="n">
        <v>432</v>
      </c>
      <c r="M89" t="n">
        <v>1</v>
      </c>
      <c r="N89" t="n">
        <v>3</v>
      </c>
      <c r="O89" t="n">
        <v>0</v>
      </c>
      <c r="P89" t="s">
        <v>33</v>
      </c>
      <c r="Q89">
        <f>HYPERLINK("https://images.diginfra.net/framed3.html?imagesetuuid=dd191040-86df-4eff-a597-814a829dbed3&amp;uri=https://images.diginfra.net/iiif/NL-HaNA_1.01.02/3824/NL-HaNA_1.01.02_3824_0217.jpg", "viewer_url")</f>
        <v/>
      </c>
      <c r="R89">
        <f>HYPERLINK("https://images.diginfra.net/iiif/NL-HaNA_1.01.02/3824/NL-HaNA_1.01.02_3824_0217.jpg/1275,1920,1034,1483/full/0/default.jpg", "iiif_url")</f>
        <v/>
      </c>
    </row>
    <row r="90" spans="1:26">
      <c r="A90" t="s">
        <v>424</v>
      </c>
      <c r="B90" t="s">
        <v>76</v>
      </c>
      <c r="C90" t="s">
        <v>425</v>
      </c>
      <c r="D90" t="b">
        <v>1</v>
      </c>
      <c r="E90" t="b">
        <v>1</v>
      </c>
      <c r="I90" t="s">
        <v>426</v>
      </c>
      <c r="J90" t="n">
        <v>3841</v>
      </c>
      <c r="K90" t="n">
        <v>273</v>
      </c>
      <c r="L90" t="n">
        <v>544</v>
      </c>
      <c r="M90" t="n">
        <v>0</v>
      </c>
      <c r="N90" t="n">
        <v>1</v>
      </c>
      <c r="O90" t="n">
        <v>0</v>
      </c>
      <c r="P90" t="s">
        <v>29</v>
      </c>
      <c r="Q90">
        <f>HYPERLINK("https://images.diginfra.net/framed3.html?imagesetuuid=47881e95-07b9-4c17-8cf4-b55a034c8db2&amp;uri=https://images.diginfra.net/iiif/NL-HaNA_1.01.02/3841/NL-HaNA_1.01.02_3841_0273.jpg", "viewer_url")</f>
        <v/>
      </c>
      <c r="R90">
        <f>HYPERLINK("https://images.diginfra.net/iiif/NL-HaNA_1.01.02/3841/NL-HaNA_1.01.02_3841_0273.jpg/211,1172,1068,2265/full/0/default.jpg", "iiif_url")</f>
        <v/>
      </c>
      <c r="W90" t="s">
        <v>29</v>
      </c>
      <c r="X90" t="s">
        <v>427</v>
      </c>
      <c r="Y90">
        <f>HYPERLINK("https://images.diginfra.net/framed3.html?imagesetuuid=47881e95-07b9-4c17-8cf4-b55a034c8db2&amp;uri=https://images.diginfra.net/iiif/NL-HaNA_1.01.02/3841/NL-HaNA_1.01.02_3841_0279.jpg", "next_meeting_viewer_url")</f>
        <v/>
      </c>
      <c r="Z90">
        <f>HYPERLINK("https://images.diginfra.net/iiif/NL-HaNA_1.01.02/3841/NL-HaNA_1.01.02_3841_0279.jpg/1170,981,1087,2426/full/0/default.jpg", "next_meeting_iiif_url")</f>
        <v/>
      </c>
    </row>
    <row r="91" spans="1:26">
      <c r="A91" t="s">
        <v>428</v>
      </c>
      <c r="B91" t="s">
        <v>76</v>
      </c>
      <c r="C91" t="s">
        <v>429</v>
      </c>
      <c r="D91" t="b">
        <v>1</v>
      </c>
      <c r="E91" t="b">
        <v>1</v>
      </c>
      <c r="I91" t="s">
        <v>430</v>
      </c>
      <c r="J91" t="n">
        <v>3814</v>
      </c>
      <c r="K91" t="n">
        <v>195</v>
      </c>
      <c r="L91" t="n">
        <v>389</v>
      </c>
      <c r="M91" t="n">
        <v>0</v>
      </c>
      <c r="N91" t="n">
        <v>1</v>
      </c>
      <c r="O91" t="n">
        <v>2</v>
      </c>
      <c r="P91" t="s">
        <v>29</v>
      </c>
      <c r="Q91">
        <f>HYPERLINK("https://images.diginfra.net/framed3.html?imagesetuuid=a95427fd-d131-4f1b-a2ee-069d038f458a&amp;uri=https://images.diginfra.net/iiif/NL-HaNA_1.01.02/3814/NL-HaNA_1.01.02_3814_0195.jpg", "viewer_url")</f>
        <v/>
      </c>
      <c r="R91">
        <f>HYPERLINK("https://images.diginfra.net/iiif/NL-HaNA_1.01.02/3814/NL-HaNA_1.01.02_3814_0195.jpg/2425,841,1095,2592/full/0/default.jpg", "iiif_url")</f>
        <v/>
      </c>
      <c r="S91" t="s">
        <v>29</v>
      </c>
      <c r="T91" t="s">
        <v>431</v>
      </c>
      <c r="U91">
        <f>HYPERLINK("https://images.diginfra.net/framed3.html?imagesetuuid=a95427fd-d131-4f1b-a2ee-069d038f458a&amp;uri=https://images.diginfra.net/iiif/NL-HaNA_1.01.02/3814/NL-HaNA_1.01.02_3814_0193.jpg", "prev_meeting_viewer_url")</f>
        <v/>
      </c>
      <c r="V91">
        <f>HYPERLINK("https://images.diginfra.net/iiif/NL-HaNA_1.01.02/3814/NL-HaNA_1.01.02_3814_0193.jpg/340,307,1092,3099/full/0/default.jpg", "prev_meeting_iiif_url")</f>
        <v/>
      </c>
      <c r="W91" t="s">
        <v>29</v>
      </c>
      <c r="X91" t="s">
        <v>432</v>
      </c>
      <c r="Y91">
        <f>HYPERLINK("https://images.diginfra.net/framed3.html?imagesetuuid=a95427fd-d131-4f1b-a2ee-069d038f458a&amp;uri=https://images.diginfra.net/iiif/NL-HaNA_1.01.02/3814/NL-HaNA_1.01.02_3814_0198.jpg", "next_meeting_viewer_url")</f>
        <v/>
      </c>
      <c r="Z91">
        <f>HYPERLINK("https://images.diginfra.net/iiif/NL-HaNA_1.01.02/3814/NL-HaNA_1.01.02_3814_0198.jpg/1322,2068,1066,1219/full/0/default.jpg", "next_meeting_iiif_url")</f>
        <v/>
      </c>
    </row>
    <row r="92" spans="1:26">
      <c r="A92" t="s">
        <v>433</v>
      </c>
      <c r="B92" t="s">
        <v>42</v>
      </c>
      <c r="C92" t="s">
        <v>66</v>
      </c>
      <c r="D92" t="b">
        <v>1</v>
      </c>
      <c r="E92" t="b">
        <v>1</v>
      </c>
      <c r="I92" t="s">
        <v>434</v>
      </c>
      <c r="J92" t="n">
        <v>3852</v>
      </c>
      <c r="K92" t="n">
        <v>525</v>
      </c>
      <c r="L92" t="n">
        <v>1048</v>
      </c>
      <c r="M92" t="n">
        <v>1</v>
      </c>
      <c r="N92" t="n">
        <v>2</v>
      </c>
      <c r="O92" t="n">
        <v>0</v>
      </c>
      <c r="P92" t="s">
        <v>29</v>
      </c>
      <c r="Q92">
        <f>HYPERLINK("https://images.diginfra.net/framed3.html?imagesetuuid=3b3d915a-84ba-4c76-9942-747a007cc965&amp;uri=https://images.diginfra.net/iiif/NL-HaNA_1.01.02/3852/NL-HaNA_1.01.02_3852_0525.jpg", "viewer_url")</f>
        <v/>
      </c>
      <c r="R92">
        <f>HYPERLINK("https://images.diginfra.net/iiif/NL-HaNA_1.01.02/3852/NL-HaNA_1.01.02_3852_0525.jpg/1269,2435,1033,989/full/0/default.jpg", "iiif_url")</f>
        <v/>
      </c>
      <c r="S92" t="s">
        <v>29</v>
      </c>
      <c r="T92" t="s">
        <v>435</v>
      </c>
      <c r="U92">
        <f>HYPERLINK("https://images.diginfra.net/framed3.html?imagesetuuid=3b3d915a-84ba-4c76-9942-747a007cc965&amp;uri=https://images.diginfra.net/iiif/NL-HaNA_1.01.02/3852/NL-HaNA_1.01.02_3852_0522.jpg", "prev_meeting_viewer_url")</f>
        <v/>
      </c>
      <c r="V92">
        <f>HYPERLINK("https://images.diginfra.net/iiif/NL-HaNA_1.01.02/3852/NL-HaNA_1.01.02_3852_0522.jpg/3356,764,1070,2672/full/0/default.jpg", "prev_meeting_iiif_url")</f>
        <v/>
      </c>
      <c r="W92" t="s">
        <v>29</v>
      </c>
      <c r="X92" t="s">
        <v>436</v>
      </c>
      <c r="Y92">
        <f>HYPERLINK("https://images.diginfra.net/framed3.html?imagesetuuid=3b3d915a-84ba-4c76-9942-747a007cc965&amp;uri=https://images.diginfra.net/iiif/NL-HaNA_1.01.02/3852/NL-HaNA_1.01.02_3852_0526.jpg", "next_meeting_viewer_url")</f>
        <v/>
      </c>
      <c r="Z92">
        <f>HYPERLINK("https://images.diginfra.net/iiif/NL-HaNA_1.01.02/3852/NL-HaNA_1.01.02_3852_0526.jpg/296,325,1078,3136/full/0/default.jpg", "next_meeting_iiif_url")</f>
        <v/>
      </c>
    </row>
    <row r="93" spans="1:26">
      <c r="A93" t="s">
        <v>437</v>
      </c>
      <c r="B93" t="s">
        <v>63</v>
      </c>
      <c r="D93" t="b">
        <v>1</v>
      </c>
      <c r="E93" t="b">
        <v>0</v>
      </c>
      <c r="Q93">
        <f>HYPERLINK("None", "viewer_url")</f>
        <v/>
      </c>
      <c r="R93">
        <f>HYPERLINK("None", "iiif_url")</f>
        <v/>
      </c>
      <c r="S93" t="s">
        <v>33</v>
      </c>
      <c r="T93" t="s">
        <v>438</v>
      </c>
      <c r="U93">
        <f>HYPERLINK("https://images.diginfra.net/framed3.html?imagesetuuid=d79a5b0f-25ac-4440-9b23-adc237614d07&amp;uri=https://images.diginfra.net/iiif/NL-HaNA_1.01.02/3777/NL-HaNA_1.01.02_3777_0465.jpg", "prev_meeting_viewer_url")</f>
        <v/>
      </c>
      <c r="V93">
        <f>HYPERLINK("https://images.diginfra.net/iiif/NL-HaNA_1.01.02/3777/NL-HaNA_1.01.02_3777_0465.jpg/3540,2490,1053,901/full/0/default.jpg", "prev_meeting_iiif_url")</f>
        <v/>
      </c>
    </row>
    <row r="94" spans="1:26">
      <c r="A94" t="s">
        <v>439</v>
      </c>
      <c r="B94" t="s">
        <v>27</v>
      </c>
      <c r="C94" t="s">
        <v>440</v>
      </c>
      <c r="D94" t="b">
        <v>1</v>
      </c>
      <c r="E94" t="b">
        <v>1</v>
      </c>
      <c r="I94" t="s">
        <v>441</v>
      </c>
      <c r="J94" t="n">
        <v>3801</v>
      </c>
      <c r="K94" t="n">
        <v>429</v>
      </c>
      <c r="L94" t="n">
        <v>856</v>
      </c>
      <c r="M94" t="n">
        <v>0</v>
      </c>
      <c r="N94" t="n">
        <v>0</v>
      </c>
      <c r="O94" t="n">
        <v>0</v>
      </c>
      <c r="P94" t="s">
        <v>29</v>
      </c>
      <c r="Q94">
        <f>HYPERLINK("https://images.diginfra.net/framed3.html?imagesetuuid=f36c8416-59a8-4b1a-a82a-ef225cbd1971&amp;uri=https://images.diginfra.net/iiif/NL-HaNA_1.01.02/3801/NL-HaNA_1.01.02_3801_0429.jpg", "viewer_url")</f>
        <v/>
      </c>
      <c r="R94">
        <f>HYPERLINK("https://images.diginfra.net/iiif/NL-HaNA_1.01.02/3801/NL-HaNA_1.01.02_3801_0429.jpg/328,251,1092,3113/full/0/default.jpg", "iiif_url")</f>
        <v/>
      </c>
      <c r="S94" t="s">
        <v>29</v>
      </c>
      <c r="T94" t="s">
        <v>442</v>
      </c>
      <c r="U94">
        <f>HYPERLINK("https://images.diginfra.net/framed3.html?imagesetuuid=f36c8416-59a8-4b1a-a82a-ef225cbd1971&amp;uri=https://images.diginfra.net/iiif/NL-HaNA_1.01.02/3801/NL-HaNA_1.01.02_3801_0427.jpg", "prev_meeting_viewer_url")</f>
        <v/>
      </c>
      <c r="V94">
        <f>HYPERLINK("https://images.diginfra.net/iiif/NL-HaNA_1.01.02/3801/NL-HaNA_1.01.02_3801_0427.jpg/3336,1482,1113,1855/full/0/default.jpg", "prev_meeting_iiif_url")</f>
        <v/>
      </c>
      <c r="W94" t="s">
        <v>29</v>
      </c>
      <c r="X94" t="s">
        <v>77</v>
      </c>
      <c r="Y94">
        <f>HYPERLINK("https://images.diginfra.net/framed3.html?imagesetuuid=f36c8416-59a8-4b1a-a82a-ef225cbd1971&amp;uri=https://images.diginfra.net/iiif/NL-HaNA_1.01.02/3801/NL-HaNA_1.01.02_3801_0429.jpg", "next_meeting_viewer_url")</f>
        <v/>
      </c>
      <c r="Z94">
        <f>HYPERLINK("https://images.diginfra.net/iiif/NL-HaNA_1.01.02/3801/NL-HaNA_1.01.02_3801_0429.jpg/3304,1244,1088,2149/full/0/default.jpg", "next_meeting_iiif_url")</f>
        <v/>
      </c>
    </row>
    <row r="95" spans="1:26">
      <c r="A95" t="s">
        <v>443</v>
      </c>
      <c r="B95" t="s">
        <v>37</v>
      </c>
      <c r="D95" t="b">
        <v>1</v>
      </c>
      <c r="E95" t="b">
        <v>1</v>
      </c>
      <c r="I95" t="s">
        <v>444</v>
      </c>
      <c r="J95" t="n">
        <v>3819</v>
      </c>
      <c r="K95" t="n">
        <v>409</v>
      </c>
      <c r="L95" t="n">
        <v>816</v>
      </c>
      <c r="M95" t="n">
        <v>1</v>
      </c>
      <c r="N95" t="n">
        <v>0</v>
      </c>
      <c r="O95" t="n">
        <v>0</v>
      </c>
      <c r="P95" t="s">
        <v>29</v>
      </c>
      <c r="Q95">
        <f>HYPERLINK("https://images.diginfra.net/framed3.html?imagesetuuid=711b4f86-3dbd-47ca-af9d-52eb1c30bc58&amp;uri=https://images.diginfra.net/iiif/NL-HaNA_1.01.02/3819/NL-HaNA_1.01.02_3819_0409.jpg", "viewer_url")</f>
        <v/>
      </c>
      <c r="R95">
        <f>HYPERLINK("https://images.diginfra.net/iiif/NL-HaNA_1.01.02/3819/NL-HaNA_1.01.02_3819_0409.jpg/1217,268,1114,3054/full/0/default.jpg", "iiif_url")</f>
        <v/>
      </c>
      <c r="S95" t="s">
        <v>29</v>
      </c>
      <c r="T95" t="s">
        <v>445</v>
      </c>
      <c r="U95">
        <f>HYPERLINK("https://images.diginfra.net/framed3.html?imagesetuuid=711b4f86-3dbd-47ca-af9d-52eb1c30bc58&amp;uri=https://images.diginfra.net/iiif/NL-HaNA_1.01.02/3819/NL-HaNA_1.01.02_3819_0408.jpg", "prev_meeting_viewer_url")</f>
        <v/>
      </c>
      <c r="V95">
        <f>HYPERLINK("https://images.diginfra.net/iiif/NL-HaNA_1.01.02/3819/NL-HaNA_1.01.02_3819_0408.jpg/1225,1714,1101,1582/full/0/default.jpg", "prev_meeting_iiif_url")</f>
        <v/>
      </c>
      <c r="W95" t="s">
        <v>29</v>
      </c>
      <c r="X95" t="s">
        <v>446</v>
      </c>
      <c r="Y95">
        <f>HYPERLINK("https://images.diginfra.net/framed3.html?imagesetuuid=711b4f86-3dbd-47ca-af9d-52eb1c30bc58&amp;uri=https://images.diginfra.net/iiif/NL-HaNA_1.01.02/3819/NL-HaNA_1.01.02_3819_0409.jpg", "next_meeting_viewer_url")</f>
        <v/>
      </c>
      <c r="Z95">
        <f>HYPERLINK("https://images.diginfra.net/iiif/NL-HaNA_1.01.02/3819/NL-HaNA_1.01.02_3819_0409.jpg/3373,998,1101,2346/full/0/default.jpg", "next_meeting_iiif_url")</f>
        <v/>
      </c>
    </row>
    <row r="96" spans="1:26">
      <c r="A96" t="s">
        <v>447</v>
      </c>
      <c r="B96" t="s">
        <v>76</v>
      </c>
      <c r="C96" t="s">
        <v>448</v>
      </c>
      <c r="D96" t="b">
        <v>1</v>
      </c>
      <c r="E96" t="b">
        <v>1</v>
      </c>
      <c r="I96" t="s">
        <v>449</v>
      </c>
      <c r="J96" t="n">
        <v>3855</v>
      </c>
      <c r="K96" t="n">
        <v>46</v>
      </c>
      <c r="L96" t="n">
        <v>90</v>
      </c>
      <c r="M96" t="n">
        <v>0</v>
      </c>
      <c r="N96" t="n">
        <v>1</v>
      </c>
      <c r="O96" t="n">
        <v>0</v>
      </c>
      <c r="P96" t="s">
        <v>29</v>
      </c>
      <c r="Q96">
        <f>HYPERLINK("https://images.diginfra.net/framed3.html?imagesetuuid=5244deb9-8f97-4a39-89ba-6da1d308b8f5&amp;uri=https://images.diginfra.net/iiif/NL-HaNA_1.01.02/3855/NL-HaNA_1.01.02_3855_0046.jpg", "viewer_url")</f>
        <v/>
      </c>
      <c r="R96">
        <f>HYPERLINK("https://images.diginfra.net/iiif/NL-HaNA_1.01.02/3855/NL-HaNA_1.01.02_3855_0046.jpg/342,1467,1077,1907/full/0/default.jpg", "iiif_url")</f>
        <v/>
      </c>
      <c r="S96" t="s">
        <v>29</v>
      </c>
      <c r="T96" t="s">
        <v>450</v>
      </c>
      <c r="U96">
        <f>HYPERLINK("https://images.diginfra.net/framed3.html?imagesetuuid=5244deb9-8f97-4a39-89ba-6da1d308b8f5&amp;uri=https://images.diginfra.net/iiif/NL-HaNA_1.01.02/3855/NL-HaNA_1.01.02_3855_0044.jpg", "prev_meeting_viewer_url")</f>
        <v/>
      </c>
      <c r="V96">
        <f>HYPERLINK("https://images.diginfra.net/iiif/NL-HaNA_1.01.02/3855/NL-HaNA_1.01.02_3855_0044.jpg/1269,926,1090,2545/full/0/default.jpg", "prev_meeting_iiif_url")</f>
        <v/>
      </c>
      <c r="W96" t="s">
        <v>29</v>
      </c>
      <c r="X96" t="s">
        <v>451</v>
      </c>
      <c r="Y96">
        <f>HYPERLINK("https://images.diginfra.net/framed3.html?imagesetuuid=5244deb9-8f97-4a39-89ba-6da1d308b8f5&amp;uri=https://images.diginfra.net/iiif/NL-HaNA_1.01.02/3855/NL-HaNA_1.01.02_3855_0047.jpg", "next_meeting_viewer_url")</f>
        <v/>
      </c>
      <c r="Z96">
        <f>HYPERLINK("https://images.diginfra.net/iiif/NL-HaNA_1.01.02/3855/NL-HaNA_1.01.02_3855_0047.jpg/3431,1758,1073,1655/full/0/default.jpg", "next_meeting_iiif_url")</f>
        <v/>
      </c>
    </row>
    <row r="97" spans="1:26">
      <c r="A97" t="s">
        <v>452</v>
      </c>
      <c r="B97" t="s">
        <v>27</v>
      </c>
      <c r="C97" t="s">
        <v>453</v>
      </c>
      <c r="D97" t="b">
        <v>1</v>
      </c>
      <c r="E97" t="b">
        <v>1</v>
      </c>
      <c r="I97" t="s">
        <v>454</v>
      </c>
      <c r="J97" t="n">
        <v>3792</v>
      </c>
      <c r="K97" t="n">
        <v>230</v>
      </c>
      <c r="L97" t="n">
        <v>459</v>
      </c>
      <c r="M97" t="n">
        <v>0</v>
      </c>
      <c r="N97" t="n">
        <v>2</v>
      </c>
      <c r="O97" t="n">
        <v>0</v>
      </c>
      <c r="P97" t="s">
        <v>29</v>
      </c>
      <c r="Q97">
        <f>HYPERLINK("https://images.diginfra.net/framed3.html?imagesetuuid=507d79a4-2a42-4e84-afa5-a9ccb1e544fe&amp;uri=https://images.diginfra.net/iiif/NL-HaNA_1.01.02/3792/NL-HaNA_1.01.02_3792_0230.jpg", "viewer_url")</f>
        <v/>
      </c>
      <c r="R97">
        <f>HYPERLINK("https://images.diginfra.net/iiif/NL-HaNA_1.01.02/3792/NL-HaNA_1.01.02_3792_0230.jpg/2554,2314,1035,1189/full/0/default.jpg", "iiif_url")</f>
        <v/>
      </c>
      <c r="S97" t="s">
        <v>29</v>
      </c>
      <c r="T97" t="s">
        <v>455</v>
      </c>
      <c r="U97">
        <f>HYPERLINK("https://images.diginfra.net/framed3.html?imagesetuuid=507d79a4-2a42-4e84-afa5-a9ccb1e544fe&amp;uri=https://images.diginfra.net/iiif/NL-HaNA_1.01.02/3792/NL-HaNA_1.01.02_3792_0229.jpg", "prev_meeting_viewer_url")</f>
        <v/>
      </c>
      <c r="V97">
        <f>HYPERLINK("https://images.diginfra.net/iiif/NL-HaNA_1.01.02/3792/NL-HaNA_1.01.02_3792_0229.jpg/2459,749,1093,2750/full/0/default.jpg", "prev_meeting_iiif_url")</f>
        <v/>
      </c>
      <c r="W97" t="s">
        <v>29</v>
      </c>
      <c r="X97" t="s">
        <v>456</v>
      </c>
      <c r="Y97">
        <f>HYPERLINK("https://images.diginfra.net/framed3.html?imagesetuuid=507d79a4-2a42-4e84-afa5-a9ccb1e544fe&amp;uri=https://images.diginfra.net/iiif/NL-HaNA_1.01.02/3792/NL-HaNA_1.01.02_3792_0231.jpg", "next_meeting_viewer_url")</f>
        <v/>
      </c>
      <c r="Z97">
        <f>HYPERLINK("https://images.diginfra.net/iiif/NL-HaNA_1.01.02/3792/NL-HaNA_1.01.02_3792_0231.jpg/2672,2814,808,575/full/0/default.jpg", "next_meeting_iiif_url")</f>
        <v/>
      </c>
    </row>
    <row r="98" spans="1:26">
      <c r="A98" t="s">
        <v>457</v>
      </c>
      <c r="B98" t="s">
        <v>42</v>
      </c>
      <c r="C98" t="s">
        <v>458</v>
      </c>
      <c r="D98" t="b">
        <v>1</v>
      </c>
      <c r="E98" t="b">
        <v>1</v>
      </c>
      <c r="I98" t="s">
        <v>459</v>
      </c>
      <c r="J98" t="n">
        <v>3781</v>
      </c>
      <c r="K98" t="n">
        <v>256</v>
      </c>
      <c r="L98" t="n">
        <v>510</v>
      </c>
      <c r="M98" t="n">
        <v>0</v>
      </c>
      <c r="N98" t="n">
        <v>0</v>
      </c>
      <c r="O98" t="n">
        <v>0</v>
      </c>
      <c r="P98" t="s">
        <v>29</v>
      </c>
      <c r="Q98">
        <f>HYPERLINK("https://images.diginfra.net/framed3.html?imagesetuuid=7806433b-7f26-4d4e-8e76-37d108a188de&amp;uri=https://images.diginfra.net/iiif/NL-HaNA_1.01.02/3781/NL-HaNA_1.01.02_3781_0256.jpg", "viewer_url")</f>
        <v/>
      </c>
      <c r="R98">
        <f>HYPERLINK("https://images.diginfra.net/iiif/NL-HaNA_1.01.02/3781/NL-HaNA_1.01.02_3781_0256.jpg/235,316,1109,3063/full/0/default.jpg", "iiif_url")</f>
        <v/>
      </c>
      <c r="S98" t="s">
        <v>29</v>
      </c>
      <c r="T98" t="s">
        <v>460</v>
      </c>
      <c r="U98">
        <f>HYPERLINK("https://images.diginfra.net/framed3.html?imagesetuuid=7806433b-7f26-4d4e-8e76-37d108a188de&amp;uri=https://images.diginfra.net/iiif/NL-HaNA_1.01.02/3781/NL-HaNA_1.01.02_3781_0254.jpg", "prev_meeting_viewer_url")</f>
        <v/>
      </c>
      <c r="V98">
        <f>HYPERLINK("https://images.diginfra.net/iiif/NL-HaNA_1.01.02/3781/NL-HaNA_1.01.02_3781_0254.jpg/2615,2971,762,325/full/0/default.jpg", "prev_meeting_iiif_url")</f>
        <v/>
      </c>
      <c r="W98" t="s">
        <v>29</v>
      </c>
      <c r="X98" t="s">
        <v>461</v>
      </c>
      <c r="Y98">
        <f>HYPERLINK("https://images.diginfra.net/framed3.html?imagesetuuid=7806433b-7f26-4d4e-8e76-37d108a188de&amp;uri=https://images.diginfra.net/iiif/NL-HaNA_1.01.02/3781/NL-HaNA_1.01.02_3781_0257.jpg", "next_meeting_viewer_url")</f>
        <v/>
      </c>
      <c r="Z98">
        <f>HYPERLINK("https://images.diginfra.net/iiif/NL-HaNA_1.01.02/3781/NL-HaNA_1.01.02_3781_0257.jpg/1189,743,1110,2696/full/0/default.jpg", "next_meeting_iiif_url")</f>
        <v/>
      </c>
    </row>
    <row r="99" spans="1:26">
      <c r="A99" t="s">
        <v>462</v>
      </c>
      <c r="B99" t="s">
        <v>37</v>
      </c>
      <c r="C99" t="s">
        <v>463</v>
      </c>
      <c r="D99" t="b">
        <v>1</v>
      </c>
      <c r="E99" t="b">
        <v>1</v>
      </c>
      <c r="I99" t="s">
        <v>464</v>
      </c>
      <c r="J99" t="n">
        <v>3781</v>
      </c>
      <c r="K99" t="n">
        <v>422</v>
      </c>
      <c r="L99" t="n">
        <v>843</v>
      </c>
      <c r="M99" t="n">
        <v>0</v>
      </c>
      <c r="N99" t="n">
        <v>2</v>
      </c>
      <c r="O99" t="n">
        <v>0</v>
      </c>
      <c r="P99" t="s">
        <v>29</v>
      </c>
      <c r="Q99">
        <f>HYPERLINK("https://images.diginfra.net/framed3.html?imagesetuuid=7806433b-7f26-4d4e-8e76-37d108a188de&amp;uri=https://images.diginfra.net/iiif/NL-HaNA_1.01.02/3781/NL-HaNA_1.01.02_3781_0422.jpg", "viewer_url")</f>
        <v/>
      </c>
      <c r="R99">
        <f>HYPERLINK("https://images.diginfra.net/iiif/NL-HaNA_1.01.02/3781/NL-HaNA_1.01.02_3781_0422.jpg/2455,1153,1096,2273/full/0/default.jpg", "iiif_url")</f>
        <v/>
      </c>
      <c r="S99" t="s">
        <v>29</v>
      </c>
      <c r="T99" t="s">
        <v>465</v>
      </c>
      <c r="U99">
        <f>HYPERLINK("https://images.diginfra.net/framed3.html?imagesetuuid=7806433b-7f26-4d4e-8e76-37d108a188de&amp;uri=https://images.diginfra.net/iiif/NL-HaNA_1.01.02/3781/NL-HaNA_1.01.02_3781_0421.jpg", "prev_meeting_viewer_url")</f>
        <v/>
      </c>
      <c r="V99">
        <f>HYPERLINK("https://images.diginfra.net/iiif/NL-HaNA_1.01.02/3781/NL-HaNA_1.01.02_3781_0421.jpg/278,1183,1099,2245/full/0/default.jpg", "prev_meeting_iiif_url")</f>
        <v/>
      </c>
      <c r="W99" t="s">
        <v>29</v>
      </c>
      <c r="X99" t="s">
        <v>466</v>
      </c>
      <c r="Y99">
        <f>HYPERLINK("https://images.diginfra.net/framed3.html?imagesetuuid=7806433b-7f26-4d4e-8e76-37d108a188de&amp;uri=https://images.diginfra.net/iiif/NL-HaNA_1.01.02/3781/NL-HaNA_1.01.02_3781_0424.jpg", "next_meeting_viewer_url")</f>
        <v/>
      </c>
      <c r="Z99">
        <f>HYPERLINK("https://images.diginfra.net/iiif/NL-HaNA_1.01.02/3781/NL-HaNA_1.01.02_3781_0424.jpg/1271,2310,1041,990/full/0/default.jpg", "next_meeting_iiif_url")</f>
        <v/>
      </c>
    </row>
    <row r="100" spans="1:26">
      <c r="A100" t="s">
        <v>467</v>
      </c>
      <c r="B100" t="s">
        <v>53</v>
      </c>
      <c r="C100" t="s">
        <v>468</v>
      </c>
      <c r="D100" t="b">
        <v>1</v>
      </c>
      <c r="E100" t="b">
        <v>1</v>
      </c>
      <c r="I100" t="s">
        <v>469</v>
      </c>
      <c r="J100" t="n">
        <v>3808</v>
      </c>
      <c r="K100" t="n">
        <v>73</v>
      </c>
      <c r="L100" t="n">
        <v>144</v>
      </c>
      <c r="M100" t="n">
        <v>1</v>
      </c>
      <c r="N100" t="n">
        <v>0</v>
      </c>
      <c r="O100" t="n">
        <v>54</v>
      </c>
      <c r="P100" t="s">
        <v>29</v>
      </c>
      <c r="Q100">
        <f>HYPERLINK("https://images.diginfra.net/framed3.html?imagesetuuid=d7b14369-fedc-4c2f-b4ba-0014f4e297b6&amp;uri=https://images.diginfra.net/iiif/NL-HaNA_1.01.02/3808/NL-HaNA_1.01.02_3808_0073.jpg", "viewer_url")</f>
        <v/>
      </c>
      <c r="R100">
        <f>HYPERLINK("https://images.diginfra.net/iiif/NL-HaNA_1.01.02/3808/NL-HaNA_1.01.02_3808_0073.jpg/1270,2717,1049,644/full/0/default.jpg", "iiif_url")</f>
        <v/>
      </c>
      <c r="S100" t="s">
        <v>29</v>
      </c>
      <c r="T100" t="s">
        <v>470</v>
      </c>
      <c r="U100">
        <f>HYPERLINK("https://images.diginfra.net/framed3.html?imagesetuuid=d7b14369-fedc-4c2f-b4ba-0014f4e297b6&amp;uri=https://images.diginfra.net/iiif/NL-HaNA_1.01.02/3808/NL-HaNA_1.01.02_3808_0071.jpg", "prev_meeting_viewer_url")</f>
        <v/>
      </c>
      <c r="V100">
        <f>HYPERLINK("https://images.diginfra.net/iiif/NL-HaNA_1.01.02/3808/NL-HaNA_1.01.02_3808_0071.jpg/2324,1623,1039,1393/full/0/default.jpg", "prev_meeting_iiif_url")</f>
        <v/>
      </c>
      <c r="W100" t="s">
        <v>29</v>
      </c>
      <c r="X100" t="s">
        <v>471</v>
      </c>
      <c r="Y100">
        <f>HYPERLINK("https://images.diginfra.net/framed3.html?imagesetuuid=d7b14369-fedc-4c2f-b4ba-0014f4e297b6&amp;uri=https://images.diginfra.net/iiif/NL-HaNA_1.01.02/3808/NL-HaNA_1.01.02_3808_0073.jpg", "next_meeting_viewer_url")</f>
        <v/>
      </c>
      <c r="Z100">
        <f>HYPERLINK("https://images.diginfra.net/iiif/NL-HaNA_1.01.02/3808/NL-HaNA_1.01.02_3808_0073.jpg/2319,1208,1088,2251/full/0/default.jpg", "next_meeting_iiif_url")</f>
        <v/>
      </c>
    </row>
    <row r="101" spans="1:26">
      <c r="A101" t="s">
        <v>472</v>
      </c>
      <c r="B101" t="s">
        <v>53</v>
      </c>
      <c r="C101" t="s">
        <v>473</v>
      </c>
      <c r="D101" t="b">
        <v>1</v>
      </c>
      <c r="E101" t="b">
        <v>1</v>
      </c>
      <c r="I101" t="s">
        <v>474</v>
      </c>
      <c r="J101" t="n">
        <v>3845</v>
      </c>
      <c r="K101" t="n">
        <v>146</v>
      </c>
      <c r="L101" t="n">
        <v>291</v>
      </c>
      <c r="M101" t="n">
        <v>1</v>
      </c>
      <c r="N101" t="n">
        <v>2</v>
      </c>
      <c r="O101" t="n">
        <v>0</v>
      </c>
      <c r="P101" t="s">
        <v>29</v>
      </c>
      <c r="Q101">
        <f>HYPERLINK("https://images.diginfra.net/framed3.html?imagesetuuid=365b5200-93cb-433b-b7cc-5e0bd70f223a&amp;uri=https://images.diginfra.net/iiif/NL-HaNA_1.01.02/3845/NL-HaNA_1.01.02_3845_0146.jpg", "viewer_url")</f>
        <v/>
      </c>
      <c r="R101">
        <f>HYPERLINK("https://images.diginfra.net/iiif/NL-HaNA_1.01.02/3845/NL-HaNA_1.01.02_3845_0146.jpg/3310,2922,881,450/full/0/default.jpg", "iiif_url")</f>
        <v/>
      </c>
      <c r="S101" t="s">
        <v>29</v>
      </c>
      <c r="T101" t="s">
        <v>475</v>
      </c>
      <c r="U101">
        <f>HYPERLINK("https://images.diginfra.net/framed3.html?imagesetuuid=365b5200-93cb-433b-b7cc-5e0bd70f223a&amp;uri=https://images.diginfra.net/iiif/NL-HaNA_1.01.02/3845/NL-HaNA_1.01.02_3845_0145.jpg", "prev_meeting_viewer_url")</f>
        <v/>
      </c>
      <c r="V101">
        <f>HYPERLINK("https://images.diginfra.net/iiif/NL-HaNA_1.01.02/3845/NL-HaNA_1.01.02_3845_0145.jpg/372,474,1084,2908/full/0/default.jpg", "prev_meeting_iiif_url")</f>
        <v/>
      </c>
      <c r="W101" t="s">
        <v>29</v>
      </c>
      <c r="X101" t="s">
        <v>476</v>
      </c>
      <c r="Y101">
        <f>HYPERLINK("https://images.diginfra.net/framed3.html?imagesetuuid=365b5200-93cb-433b-b7cc-5e0bd70f223a&amp;uri=https://images.diginfra.net/iiif/NL-HaNA_1.01.02/3845/NL-HaNA_1.01.02_3845_0149.jpg", "next_meeting_viewer_url")</f>
        <v/>
      </c>
      <c r="Z101">
        <f>HYPERLINK("https://images.diginfra.net/iiif/NL-HaNA_1.01.02/3845/NL-HaNA_1.01.02_3845_0149.jpg/359,2197,1023,1136/full/0/default.jpg", "next_meeting_iiif_url")</f>
        <v/>
      </c>
    </row>
    <row r="102" spans="1:26">
      <c r="A102" t="s">
        <v>477</v>
      </c>
      <c r="B102" t="s">
        <v>76</v>
      </c>
      <c r="C102" t="s">
        <v>478</v>
      </c>
      <c r="D102" t="b">
        <v>1</v>
      </c>
      <c r="E102" t="b">
        <v>1</v>
      </c>
      <c r="I102" t="s">
        <v>479</v>
      </c>
      <c r="J102" t="n">
        <v>3810</v>
      </c>
      <c r="K102" t="n">
        <v>415</v>
      </c>
      <c r="L102" t="n">
        <v>829</v>
      </c>
      <c r="M102" t="n">
        <v>1</v>
      </c>
      <c r="N102" t="n">
        <v>3</v>
      </c>
      <c r="O102" t="n">
        <v>0</v>
      </c>
      <c r="P102" t="s">
        <v>29</v>
      </c>
      <c r="Q102">
        <f>HYPERLINK("https://images.diginfra.net/framed3.html?imagesetuuid=c09819be-7a72-4ff1-ad38-883712386d5f&amp;uri=https://images.diginfra.net/iiif/NL-HaNA_1.01.02/3810/NL-HaNA_1.01.02_3810_0415.jpg", "viewer_url")</f>
        <v/>
      </c>
      <c r="R102">
        <f>HYPERLINK("https://images.diginfra.net/iiif/NL-HaNA_1.01.02/3810/NL-HaNA_1.01.02_3810_0415.jpg/3299,2446,1032,974/full/0/default.jpg", "iiif_url")</f>
        <v/>
      </c>
      <c r="S102" t="s">
        <v>29</v>
      </c>
      <c r="T102" t="s">
        <v>480</v>
      </c>
      <c r="U102">
        <f>HYPERLINK("https://images.diginfra.net/framed3.html?imagesetuuid=c09819be-7a72-4ff1-ad38-883712386d5f&amp;uri=https://images.diginfra.net/iiif/NL-HaNA_1.01.02/3810/NL-HaNA_1.01.02_3810_0414.jpg", "prev_meeting_viewer_url")</f>
        <v/>
      </c>
      <c r="V102">
        <f>HYPERLINK("https://images.diginfra.net/iiif/NL-HaNA_1.01.02/3810/NL-HaNA_1.01.02_3810_0414.jpg/1132,784,1131,2647/full/0/default.jpg", "prev_meeting_iiif_url")</f>
        <v/>
      </c>
      <c r="W102" t="s">
        <v>29</v>
      </c>
      <c r="X102" t="s">
        <v>481</v>
      </c>
      <c r="Y102">
        <f>HYPERLINK("https://images.diginfra.net/framed3.html?imagesetuuid=c09819be-7a72-4ff1-ad38-883712386d5f&amp;uri=https://images.diginfra.net/iiif/NL-HaNA_1.01.02/3810/NL-HaNA_1.01.02_3810_0419.jpg", "next_meeting_viewer_url")</f>
        <v/>
      </c>
      <c r="Z102">
        <f>HYPERLINK("https://images.diginfra.net/iiif/NL-HaNA_1.01.02/3810/NL-HaNA_1.01.02_3810_0419.jpg/2368,1649,1038,1758/full/0/default.jpg", "next_meeting_iiif_url")</f>
        <v/>
      </c>
    </row>
    <row r="103" spans="1:26">
      <c r="A103" t="s">
        <v>482</v>
      </c>
      <c r="B103" t="s">
        <v>53</v>
      </c>
      <c r="D103" t="b">
        <v>1</v>
      </c>
      <c r="E103" t="b">
        <v>0</v>
      </c>
      <c r="Q103">
        <f>HYPERLINK("None", "viewer_url")</f>
        <v/>
      </c>
      <c r="R103">
        <f>HYPERLINK("None", "iiif_url")</f>
        <v/>
      </c>
    </row>
    <row r="104" spans="1:26">
      <c r="A104" t="s">
        <v>483</v>
      </c>
      <c r="B104" t="s">
        <v>37</v>
      </c>
      <c r="C104" t="s">
        <v>484</v>
      </c>
      <c r="D104" t="b">
        <v>1</v>
      </c>
      <c r="E104" t="b">
        <v>1</v>
      </c>
      <c r="I104" t="s">
        <v>485</v>
      </c>
      <c r="J104" t="n">
        <v>3813</v>
      </c>
      <c r="K104" t="n">
        <v>133</v>
      </c>
      <c r="L104" t="n">
        <v>265</v>
      </c>
      <c r="M104" t="n">
        <v>1</v>
      </c>
      <c r="N104" t="n">
        <v>2</v>
      </c>
      <c r="O104" t="n">
        <v>0</v>
      </c>
      <c r="P104" t="s">
        <v>29</v>
      </c>
      <c r="Q104">
        <f>HYPERLINK("https://images.diginfra.net/framed3.html?imagesetuuid=19a3f39b-117a-4ab7-b45b-5e134b099649&amp;uri=https://images.diginfra.net/iiif/NL-HaNA_1.01.02/3813/NL-HaNA_1.01.02_3813_0133.jpg", "viewer_url")</f>
        <v/>
      </c>
      <c r="R104">
        <f>HYPERLINK("https://images.diginfra.net/iiif/NL-HaNA_1.01.02/3813/NL-HaNA_1.01.02_3813_0133.jpg/3351,1617,1091,1609/full/0/default.jpg", "iiif_url")</f>
        <v/>
      </c>
      <c r="S104" t="s">
        <v>29</v>
      </c>
      <c r="T104" t="s">
        <v>486</v>
      </c>
      <c r="U104">
        <f>HYPERLINK("https://images.diginfra.net/framed3.html?imagesetuuid=19a3f39b-117a-4ab7-b45b-5e134b099649&amp;uri=https://images.diginfra.net/iiif/NL-HaNA_1.01.02/3813/NL-HaNA_1.01.02_3813_0133.jpg", "prev_meeting_viewer_url")</f>
        <v/>
      </c>
      <c r="V104">
        <f>HYPERLINK("https://images.diginfra.net/iiif/NL-HaNA_1.01.02/3813/NL-HaNA_1.01.02_3813_0133.jpg/272,1125,1099,2247/full/0/default.jpg", "prev_meeting_iiif_url")</f>
        <v/>
      </c>
      <c r="W104" t="s">
        <v>29</v>
      </c>
      <c r="X104" t="s">
        <v>487</v>
      </c>
      <c r="Y104">
        <f>HYPERLINK("https://images.diginfra.net/framed3.html?imagesetuuid=19a3f39b-117a-4ab7-b45b-5e134b099649&amp;uri=https://images.diginfra.net/iiif/NL-HaNA_1.01.02/3813/NL-HaNA_1.01.02_3813_0136.jpg", "next_meeting_viewer_url")</f>
        <v/>
      </c>
      <c r="Z104">
        <f>HYPERLINK("https://images.diginfra.net/iiif/NL-HaNA_1.01.02/3813/NL-HaNA_1.01.02_3813_0136.jpg/266,300,1104,3158/full/0/default.jpg", "next_meeting_iiif_url")</f>
        <v/>
      </c>
    </row>
    <row r="105" spans="1:26">
      <c r="A105" t="s">
        <v>488</v>
      </c>
      <c r="B105" t="s">
        <v>76</v>
      </c>
      <c r="C105" t="s">
        <v>489</v>
      </c>
      <c r="D105" t="b">
        <v>1</v>
      </c>
      <c r="E105" t="b">
        <v>1</v>
      </c>
      <c r="I105" t="s">
        <v>490</v>
      </c>
      <c r="J105" t="n">
        <v>3774</v>
      </c>
      <c r="K105" t="n">
        <v>357</v>
      </c>
      <c r="L105" t="n">
        <v>712</v>
      </c>
      <c r="M105" t="n">
        <v>0</v>
      </c>
      <c r="N105" t="n">
        <v>1</v>
      </c>
      <c r="O105" t="n">
        <v>0</v>
      </c>
      <c r="P105" t="s">
        <v>29</v>
      </c>
      <c r="Q105">
        <f>HYPERLINK("https://images.diginfra.net/framed3.html?imagesetuuid=a94d24a1-7932-4b81-a3e6-04161d471ec1&amp;uri=https://images.diginfra.net/iiif/NL-HaNA_1.01.02/3774/NL-HaNA_1.01.02_3774_0357.jpg", "viewer_url")</f>
        <v/>
      </c>
      <c r="R105">
        <f>HYPERLINK("https://images.diginfra.net/iiif/NL-HaNA_1.01.02/3774/NL-HaNA_1.01.02_3774_0357.jpg/272,639,1090,2773/full/0/default.jpg", "iiif_url")</f>
        <v/>
      </c>
      <c r="S105" t="s">
        <v>29</v>
      </c>
      <c r="T105" t="s">
        <v>491</v>
      </c>
      <c r="U105">
        <f>HYPERLINK("https://images.diginfra.net/framed3.html?imagesetuuid=a94d24a1-7932-4b81-a3e6-04161d471ec1&amp;uri=https://images.diginfra.net/iiif/NL-HaNA_1.01.02/3774/NL-HaNA_1.01.02_3774_0355.jpg", "prev_meeting_viewer_url")</f>
        <v/>
      </c>
      <c r="V105">
        <f>HYPERLINK("https://images.diginfra.net/iiif/NL-HaNA_1.01.02/3774/NL-HaNA_1.01.02_3774_0355.jpg/2347,1086,1069,2338/full/0/default.jpg", "prev_meeting_iiif_url")</f>
        <v/>
      </c>
      <c r="W105" t="s">
        <v>29</v>
      </c>
      <c r="X105" t="s">
        <v>492</v>
      </c>
      <c r="Y105">
        <f>HYPERLINK("https://images.diginfra.net/framed3.html?imagesetuuid=a94d24a1-7932-4b81-a3e6-04161d471ec1&amp;uri=https://images.diginfra.net/iiif/NL-HaNA_1.01.02/3774/NL-HaNA_1.01.02_3774_0358.jpg", "next_meeting_viewer_url")</f>
        <v/>
      </c>
      <c r="Z105">
        <f>HYPERLINK("https://images.diginfra.net/iiif/NL-HaNA_1.01.02/3774/NL-HaNA_1.01.02_3774_0358.jpg/327,2482,1035,912/full/0/default.jpg", "next_meeting_iiif_url")</f>
        <v/>
      </c>
    </row>
    <row r="106" spans="1:26">
      <c r="A106" t="s">
        <v>493</v>
      </c>
      <c r="B106" t="s">
        <v>27</v>
      </c>
      <c r="D106" t="b">
        <v>1</v>
      </c>
      <c r="E106" t="b">
        <v>0</v>
      </c>
      <c r="Q106">
        <f>HYPERLINK("None", "viewer_url")</f>
        <v/>
      </c>
      <c r="R106">
        <f>HYPERLINK("None", "iiif_url")</f>
        <v/>
      </c>
      <c r="S106" t="s">
        <v>33</v>
      </c>
      <c r="U106">
        <f>HYPERLINK("https://images.diginfra.net/framed3.html?imagesetuuid=f36c8416-59a8-4b1a-a82a-ef225cbd1971&amp;uri=https://images.diginfra.net/iiif/NL-HaNA_1.01.02/3801/NL-HaNA_1.01.02_3801_0268.jpg", "prev_meeting_viewer_url")</f>
        <v/>
      </c>
      <c r="V106">
        <f>HYPERLINK("https://images.diginfra.net/iiif/NL-HaNA_1.01.02/3801/NL-HaNA_1.01.02_3801_0268.jpg/2433,348,1117,3007/full/0/default.jpg", "prev_meeting_iiif_url")</f>
        <v/>
      </c>
      <c r="W106" t="s">
        <v>29</v>
      </c>
      <c r="X106" t="s">
        <v>494</v>
      </c>
      <c r="Y106">
        <f>HYPERLINK("https://images.diginfra.net/framed3.html?imagesetuuid=f36c8416-59a8-4b1a-a82a-ef225cbd1971&amp;uri=https://images.diginfra.net/iiif/NL-HaNA_1.01.02/3801/NL-HaNA_1.01.02_3801_0271.jpg", "next_meeting_viewer_url")</f>
        <v/>
      </c>
      <c r="Z106">
        <f>HYPERLINK("https://images.diginfra.net/iiif/NL-HaNA_1.01.02/3801/NL-HaNA_1.01.02_3801_0271.jpg/1351,2215,1040,1196/full/0/default.jpg", "next_meeting_iiif_url")</f>
        <v/>
      </c>
    </row>
    <row r="107" spans="1:26">
      <c r="A107" t="s">
        <v>495</v>
      </c>
      <c r="B107" t="s">
        <v>37</v>
      </c>
      <c r="C107" t="s">
        <v>496</v>
      </c>
      <c r="D107" t="b">
        <v>1</v>
      </c>
      <c r="E107" t="b">
        <v>1</v>
      </c>
      <c r="I107" t="s">
        <v>497</v>
      </c>
      <c r="J107" t="n">
        <v>3784</v>
      </c>
      <c r="K107" t="n">
        <v>158</v>
      </c>
      <c r="L107" t="n">
        <v>315</v>
      </c>
      <c r="M107" t="n">
        <v>0</v>
      </c>
      <c r="N107" t="n">
        <v>0</v>
      </c>
      <c r="O107" t="n">
        <v>0</v>
      </c>
      <c r="P107" t="s">
        <v>29</v>
      </c>
      <c r="Q107">
        <f>HYPERLINK("https://images.diginfra.net/framed3.html?imagesetuuid=cb2f6e2d-502d-41d8-a51c-455c64ed98c9&amp;uri=https://images.diginfra.net/iiif/NL-HaNA_1.01.02/3784/NL-HaNA_1.01.02_3784_0158.jpg", "viewer_url")</f>
        <v/>
      </c>
      <c r="R107">
        <f>HYPERLINK("https://images.diginfra.net/iiif/NL-HaNA_1.01.02/3784/NL-HaNA_1.01.02_3784_0158.jpg/2322,1463,1038,1115/full/0/default.jpg", "iiif_url")</f>
        <v/>
      </c>
      <c r="S107" t="s">
        <v>29</v>
      </c>
      <c r="T107" t="s">
        <v>498</v>
      </c>
      <c r="U107">
        <f>HYPERLINK("https://images.diginfra.net/framed3.html?imagesetuuid=cb2f6e2d-502d-41d8-a51c-455c64ed98c9&amp;uri=https://images.diginfra.net/iiif/NL-HaNA_1.01.02/3784/NL-HaNA_1.01.02_3784_0157.jpg", "prev_meeting_viewer_url")</f>
        <v/>
      </c>
      <c r="V107">
        <f>HYPERLINK("https://images.diginfra.net/iiif/NL-HaNA_1.01.02/3784/NL-HaNA_1.01.02_3784_0157.jpg/1259,2007,1107,1331/full/0/default.jpg", "prev_meeting_iiif_url")</f>
        <v/>
      </c>
      <c r="W107" t="s">
        <v>29</v>
      </c>
      <c r="X107" t="s">
        <v>499</v>
      </c>
      <c r="Y107">
        <f>HYPERLINK("https://images.diginfra.net/framed3.html?imagesetuuid=cb2f6e2d-502d-41d8-a51c-455c64ed98c9&amp;uri=https://images.diginfra.net/iiif/NL-HaNA_1.01.02/3784/NL-HaNA_1.01.02_3784_0159.jpg", "next_meeting_viewer_url")</f>
        <v/>
      </c>
      <c r="Z107">
        <f>HYPERLINK("https://images.diginfra.net/iiif/NL-HaNA_1.01.02/3784/NL-HaNA_1.01.02_3784_0159.jpg/1150,600,1107,2824/full/0/default.jpg", "next_meeting_iiif_url")</f>
        <v/>
      </c>
    </row>
    <row r="108" spans="1:26">
      <c r="A108" t="s">
        <v>500</v>
      </c>
      <c r="B108" t="s">
        <v>63</v>
      </c>
      <c r="C108" t="s">
        <v>501</v>
      </c>
      <c r="D108" t="b">
        <v>1</v>
      </c>
      <c r="E108" t="b">
        <v>1</v>
      </c>
      <c r="I108" t="s">
        <v>502</v>
      </c>
      <c r="J108" t="n">
        <v>3844</v>
      </c>
      <c r="K108" t="n">
        <v>188</v>
      </c>
      <c r="L108" t="n">
        <v>374</v>
      </c>
      <c r="M108" t="n">
        <v>0</v>
      </c>
      <c r="N108" t="n">
        <v>2</v>
      </c>
      <c r="O108" t="n">
        <v>0</v>
      </c>
      <c r="P108" t="s">
        <v>29</v>
      </c>
      <c r="Q108">
        <f>HYPERLINK("https://images.diginfra.net/framed3.html?imagesetuuid=61690246-944a-4d63-9d72-95ab6a0a9306&amp;uri=https://images.diginfra.net/iiif/NL-HaNA_1.01.02/3844/NL-HaNA_1.01.02_3844_0188.jpg", "viewer_url")</f>
        <v/>
      </c>
      <c r="R108">
        <f>HYPERLINK("https://images.diginfra.net/iiif/NL-HaNA_1.01.02/3844/NL-HaNA_1.01.02_3844_0188.jpg/335,1523,1089,1837/full/0/default.jpg", "iiif_url")</f>
        <v/>
      </c>
      <c r="S108" t="s">
        <v>29</v>
      </c>
      <c r="T108" t="s">
        <v>503</v>
      </c>
      <c r="U108">
        <f>HYPERLINK("https://images.diginfra.net/framed3.html?imagesetuuid=61690246-944a-4d63-9d72-95ab6a0a9306&amp;uri=https://images.diginfra.net/iiif/NL-HaNA_1.01.02/3844/NL-HaNA_1.01.02_3844_0186.jpg", "prev_meeting_viewer_url")</f>
        <v/>
      </c>
      <c r="V108">
        <f>HYPERLINK("https://images.diginfra.net/iiif/NL-HaNA_1.01.02/3844/NL-HaNA_1.01.02_3844_0186.jpg/353,2674,1025,709/full/0/default.jpg", "prev_meeting_iiif_url")</f>
        <v/>
      </c>
      <c r="W108" t="s">
        <v>29</v>
      </c>
      <c r="X108" t="s">
        <v>504</v>
      </c>
      <c r="Y108">
        <f>HYPERLINK("https://images.diginfra.net/framed3.html?imagesetuuid=61690246-944a-4d63-9d72-95ab6a0a9306&amp;uri=https://images.diginfra.net/iiif/NL-HaNA_1.01.02/3844/NL-HaNA_1.01.02_3844_0189.jpg", "next_meeting_viewer_url")</f>
        <v/>
      </c>
      <c r="Z108">
        <f>HYPERLINK("https://images.diginfra.net/iiif/NL-HaNA_1.01.02/3844/NL-HaNA_1.01.02_3844_0189.jpg/2334,1562,1079,1805/full/0/default.jpg", "next_meeting_iiif_url")</f>
        <v/>
      </c>
    </row>
    <row r="109" spans="1:26">
      <c r="A109" t="s">
        <v>505</v>
      </c>
      <c r="B109" t="s">
        <v>48</v>
      </c>
      <c r="D109" t="b">
        <v>0</v>
      </c>
      <c r="E109" t="b">
        <v>0</v>
      </c>
      <c r="I109" t="s">
        <v>506</v>
      </c>
      <c r="J109" t="n">
        <v>3816</v>
      </c>
      <c r="K109" t="n">
        <v>404</v>
      </c>
      <c r="L109" t="n">
        <v>806</v>
      </c>
      <c r="M109" t="n">
        <v>1</v>
      </c>
      <c r="N109" t="n">
        <v>1</v>
      </c>
      <c r="O109" t="n">
        <v>0</v>
      </c>
      <c r="P109" t="s">
        <v>29</v>
      </c>
      <c r="Q109">
        <f>HYPERLINK("https://images.diginfra.net/framed3.html?imagesetuuid=1c2c3458-ea9f-4ec5-811c-cef54972a496&amp;uri=https://images.diginfra.net/iiif/NL-HaNA_1.01.02/3816/NL-HaNA_1.01.02_3816_0404.jpg", "viewer_url")</f>
        <v/>
      </c>
      <c r="R109">
        <f>HYPERLINK("https://images.diginfra.net/iiif/NL-HaNA_1.01.02/3816/NL-HaNA_1.01.02_3816_0404.jpg/1193,550,1107,2852/full/0/default.jpg", "iiif_url")</f>
        <v/>
      </c>
      <c r="S109" t="s">
        <v>29</v>
      </c>
      <c r="T109" t="s">
        <v>507</v>
      </c>
      <c r="U109">
        <f>HYPERLINK("https://images.diginfra.net/framed3.html?imagesetuuid=1c2c3458-ea9f-4ec5-811c-cef54972a496&amp;uri=https://images.diginfra.net/iiif/NL-HaNA_1.01.02/3816/NL-HaNA_1.01.02_3816_0401.jpg", "prev_meeting_viewer_url")</f>
        <v/>
      </c>
      <c r="V109">
        <f>HYPERLINK("https://images.diginfra.net/iiif/NL-HaNA_1.01.02/3816/NL-HaNA_1.01.02_3816_0401.jpg/211,1019,1088,2371/full/0/default.jpg", "prev_meeting_iiif_url")</f>
        <v/>
      </c>
      <c r="W109" t="s">
        <v>29</v>
      </c>
      <c r="X109" t="s">
        <v>508</v>
      </c>
      <c r="Y109">
        <f>HYPERLINK("https://images.diginfra.net/framed3.html?imagesetuuid=1c2c3458-ea9f-4ec5-811c-cef54972a496&amp;uri=https://images.diginfra.net/iiif/NL-HaNA_1.01.02/3816/NL-HaNA_1.01.02_3816_0404.jpg", "next_meeting_viewer_url")</f>
        <v/>
      </c>
      <c r="Z109">
        <f>HYPERLINK("https://images.diginfra.net/iiif/NL-HaNA_1.01.02/3816/NL-HaNA_1.01.02_3816_0404.jpg/1193,550,1107,2852/full/0/default.jpg", "next_meeting_iiif_url")</f>
        <v/>
      </c>
    </row>
    <row r="110" spans="1:26">
      <c r="A110" t="s">
        <v>509</v>
      </c>
      <c r="B110" t="s">
        <v>76</v>
      </c>
      <c r="D110" t="b">
        <v>0</v>
      </c>
      <c r="E110" t="b">
        <v>0</v>
      </c>
      <c r="I110" t="s">
        <v>510</v>
      </c>
      <c r="J110" t="n">
        <v>3822</v>
      </c>
      <c r="K110" t="n">
        <v>260</v>
      </c>
      <c r="L110" t="n">
        <v>518</v>
      </c>
      <c r="M110" t="n">
        <v>1</v>
      </c>
      <c r="N110" t="n">
        <v>1</v>
      </c>
      <c r="O110" t="n">
        <v>0</v>
      </c>
      <c r="P110" t="s">
        <v>29</v>
      </c>
      <c r="Q110">
        <f>HYPERLINK("https://images.diginfra.net/framed3.html?imagesetuuid=e0965315-891d-46c1-9dac-fc6b729921cf&amp;uri=https://images.diginfra.net/iiif/NL-HaNA_1.01.02/3822/NL-HaNA_1.01.02_3822_0260.jpg", "viewer_url")</f>
        <v/>
      </c>
      <c r="R110">
        <f>HYPERLINK("https://images.diginfra.net/iiif/NL-HaNA_1.01.02/3822/NL-HaNA_1.01.02_3822_0260.jpg/453,2963,736,329/full/0/default.jpg", "iiif_url")</f>
        <v/>
      </c>
      <c r="S110" t="s">
        <v>29</v>
      </c>
      <c r="T110" t="s">
        <v>511</v>
      </c>
      <c r="U110">
        <f>HYPERLINK("https://images.diginfra.net/framed3.html?imagesetuuid=e0965315-891d-46c1-9dac-fc6b729921cf&amp;uri=https://images.diginfra.net/iiif/NL-HaNA_1.01.02/3822/NL-HaNA_1.01.02_3822_0258.jpg", "prev_meeting_viewer_url")</f>
        <v/>
      </c>
      <c r="V110">
        <f>HYPERLINK("https://images.diginfra.net/iiif/NL-HaNA_1.01.02/3822/NL-HaNA_1.01.02_3822_0258.jpg/2411,2706,1013,679/full/0/default.jpg", "prev_meeting_iiif_url")</f>
        <v/>
      </c>
      <c r="W110" t="s">
        <v>29</v>
      </c>
      <c r="X110" t="s">
        <v>512</v>
      </c>
      <c r="Y110">
        <f>HYPERLINK("https://images.diginfra.net/framed3.html?imagesetuuid=e0965315-891d-46c1-9dac-fc6b729921cf&amp;uri=https://images.diginfra.net/iiif/NL-HaNA_1.01.02/3822/NL-HaNA_1.01.02_3822_0260.jpg", "next_meeting_viewer_url")</f>
        <v/>
      </c>
      <c r="Z110">
        <f>HYPERLINK("https://images.diginfra.net/iiif/NL-HaNA_1.01.02/3822/NL-HaNA_1.01.02_3822_0260.jpg/453,2963,736,329/full/0/default.jpg", "next_meeting_iiif_url")</f>
        <v/>
      </c>
    </row>
    <row r="111" spans="1:26">
      <c r="A111" t="s">
        <v>513</v>
      </c>
      <c r="B111" t="s">
        <v>48</v>
      </c>
      <c r="D111" t="b">
        <v>0</v>
      </c>
      <c r="E111" t="b">
        <v>0</v>
      </c>
      <c r="I111" t="s">
        <v>514</v>
      </c>
      <c r="J111" t="n">
        <v>3798</v>
      </c>
      <c r="K111" t="n">
        <v>97</v>
      </c>
      <c r="L111" t="n">
        <v>192</v>
      </c>
      <c r="M111" t="n">
        <v>0</v>
      </c>
      <c r="N111" t="n">
        <v>1</v>
      </c>
      <c r="O111" t="n">
        <v>1</v>
      </c>
      <c r="P111" t="s">
        <v>29</v>
      </c>
      <c r="Q111">
        <f>HYPERLINK("https://images.diginfra.net/framed3.html?imagesetuuid=c3e98c27-09b5-46e4-b19a-b811d240b059&amp;uri=https://images.diginfra.net/iiif/NL-HaNA_1.01.02/3798/NL-HaNA_1.01.02_3798_0097.jpg", "viewer_url")</f>
        <v/>
      </c>
      <c r="R111">
        <f>HYPERLINK("https://images.diginfra.net/iiif/NL-HaNA_1.01.02/3798/NL-HaNA_1.01.02_3798_0097.jpg/329,616,1090,2789/full/0/default.jpg", "iiif_url")</f>
        <v/>
      </c>
      <c r="S111" t="s">
        <v>29</v>
      </c>
      <c r="T111" t="s">
        <v>515</v>
      </c>
      <c r="U111">
        <f>HYPERLINK("https://images.diginfra.net/framed3.html?imagesetuuid=c3e98c27-09b5-46e4-b19a-b811d240b059&amp;uri=https://images.diginfra.net/iiif/NL-HaNA_1.01.02/3798/NL-HaNA_1.01.02_3798_0095.jpg", "prev_meeting_viewer_url")</f>
        <v/>
      </c>
      <c r="V111">
        <f>HYPERLINK("https://images.diginfra.net/iiif/NL-HaNA_1.01.02/3798/NL-HaNA_1.01.02_3798_0095.jpg/2447,997,1091,2359/full/0/default.jpg", "prev_meeting_iiif_url")</f>
        <v/>
      </c>
      <c r="W111" t="s">
        <v>29</v>
      </c>
      <c r="X111" t="s">
        <v>516</v>
      </c>
      <c r="Y111">
        <f>HYPERLINK("https://images.diginfra.net/framed3.html?imagesetuuid=c3e98c27-09b5-46e4-b19a-b811d240b059&amp;uri=https://images.diginfra.net/iiif/NL-HaNA_1.01.02/3798/NL-HaNA_1.01.02_3798_0097.jpg", "next_meeting_viewer_url")</f>
        <v/>
      </c>
      <c r="Z111">
        <f>HYPERLINK("https://images.diginfra.net/iiif/NL-HaNA_1.01.02/3798/NL-HaNA_1.01.02_3798_0097.jpg/329,616,1090,2789/full/0/default.jpg", "next_meeting_iiif_url")</f>
        <v/>
      </c>
    </row>
    <row r="112" spans="1:26">
      <c r="A112" t="s">
        <v>517</v>
      </c>
      <c r="B112" t="s">
        <v>37</v>
      </c>
      <c r="C112" t="s">
        <v>299</v>
      </c>
      <c r="D112" t="b">
        <v>1</v>
      </c>
      <c r="E112" t="b">
        <v>1</v>
      </c>
      <c r="I112" t="s">
        <v>518</v>
      </c>
      <c r="J112" t="n">
        <v>3827</v>
      </c>
      <c r="K112" t="n">
        <v>280</v>
      </c>
      <c r="L112" t="n">
        <v>558</v>
      </c>
      <c r="M112" t="n">
        <v>1</v>
      </c>
      <c r="N112" t="n">
        <v>1</v>
      </c>
      <c r="O112" t="n">
        <v>0</v>
      </c>
      <c r="P112" t="s">
        <v>29</v>
      </c>
      <c r="Q112">
        <f>HYPERLINK("https://images.diginfra.net/framed3.html?imagesetuuid=cb4f4e9c-bdd8-4992-9de8-6ddd9348148f&amp;uri=https://images.diginfra.net/iiif/NL-HaNA_1.01.02/3827/NL-HaNA_1.01.02_3827_0280.jpg", "viewer_url")</f>
        <v/>
      </c>
      <c r="R112">
        <f>HYPERLINK("https://images.diginfra.net/iiif/NL-HaNA_1.01.02/3827/NL-HaNA_1.01.02_3827_0280.jpg/1174,1246,1090,2145/full/0/default.jpg", "iiif_url")</f>
        <v/>
      </c>
      <c r="S112" t="s">
        <v>29</v>
      </c>
      <c r="T112" t="s">
        <v>519</v>
      </c>
      <c r="U112">
        <f>HYPERLINK("https://images.diginfra.net/framed3.html?imagesetuuid=cb4f4e9c-bdd8-4992-9de8-6ddd9348148f&amp;uri=https://images.diginfra.net/iiif/NL-HaNA_1.01.02/3827/NL-HaNA_1.01.02_3827_0279.jpg", "prev_meeting_viewer_url")</f>
        <v/>
      </c>
      <c r="V112">
        <f>HYPERLINK("https://images.diginfra.net/iiif/NL-HaNA_1.01.02/3827/NL-HaNA_1.01.02_3827_0279.jpg/3294,237,1089,3123/full/0/default.jpg", "prev_meeting_iiif_url")</f>
        <v/>
      </c>
      <c r="W112" t="s">
        <v>29</v>
      </c>
      <c r="X112" t="s">
        <v>297</v>
      </c>
      <c r="Y112">
        <f>HYPERLINK("https://images.diginfra.net/framed3.html?imagesetuuid=cb4f4e9c-bdd8-4992-9de8-6ddd9348148f&amp;uri=https://images.diginfra.net/iiif/NL-HaNA_1.01.02/3827/NL-HaNA_1.01.02_3827_0281.jpg", "next_meeting_viewer_url")</f>
        <v/>
      </c>
      <c r="Z112">
        <f>HYPERLINK("https://images.diginfra.net/iiif/NL-HaNA_1.01.02/3827/NL-HaNA_1.01.02_3827_0281.jpg/2359,679,1079,2635/full/0/default.jpg", "next_meeting_iiif_url")</f>
        <v/>
      </c>
    </row>
    <row r="113" spans="1:26">
      <c r="A113" t="s">
        <v>520</v>
      </c>
      <c r="B113" t="s">
        <v>48</v>
      </c>
      <c r="D113" t="b">
        <v>0</v>
      </c>
      <c r="E113" t="b">
        <v>0</v>
      </c>
      <c r="I113" t="s">
        <v>521</v>
      </c>
      <c r="J113" t="n">
        <v>3817</v>
      </c>
      <c r="K113" t="n">
        <v>196</v>
      </c>
      <c r="L113" t="n">
        <v>390</v>
      </c>
      <c r="M113" t="n">
        <v>0</v>
      </c>
      <c r="N113" t="n">
        <v>1</v>
      </c>
      <c r="O113" t="n">
        <v>1</v>
      </c>
      <c r="P113" t="s">
        <v>29</v>
      </c>
      <c r="Q113">
        <f>HYPERLINK("https://images.diginfra.net/framed3.html?imagesetuuid=c13c7ed6-75ba-4433-9b44-0db683995fb3&amp;uri=https://images.diginfra.net/iiif/NL-HaNA_1.01.02/3817/NL-HaNA_1.01.02_3817_0196.jpg", "viewer_url")</f>
        <v/>
      </c>
      <c r="R113">
        <f>HYPERLINK("https://images.diginfra.net/iiif/NL-HaNA_1.01.02/3817/NL-HaNA_1.01.02_3817_0196.jpg/229,712,1092,2596/full/0/default.jpg", "iiif_url")</f>
        <v/>
      </c>
      <c r="S113" t="s">
        <v>29</v>
      </c>
      <c r="T113" t="s">
        <v>274</v>
      </c>
      <c r="U113">
        <f>HYPERLINK("https://images.diginfra.net/framed3.html?imagesetuuid=c13c7ed6-75ba-4433-9b44-0db683995fb3&amp;uri=https://images.diginfra.net/iiif/NL-HaNA_1.01.02/3817/NL-HaNA_1.01.02_3817_0194.jpg", "prev_meeting_viewer_url")</f>
        <v/>
      </c>
      <c r="V113">
        <f>HYPERLINK("https://images.diginfra.net/iiif/NL-HaNA_1.01.02/3817/NL-HaNA_1.01.02_3817_0194.jpg/2343,1645,1092,1735/full/0/default.jpg", "prev_meeting_iiif_url")</f>
        <v/>
      </c>
      <c r="W113" t="s">
        <v>29</v>
      </c>
      <c r="X113" t="s">
        <v>522</v>
      </c>
      <c r="Y113">
        <f>HYPERLINK("https://images.diginfra.net/framed3.html?imagesetuuid=c13c7ed6-75ba-4433-9b44-0db683995fb3&amp;uri=https://images.diginfra.net/iiif/NL-HaNA_1.01.02/3817/NL-HaNA_1.01.02_3817_0196.jpg", "next_meeting_viewer_url")</f>
        <v/>
      </c>
      <c r="Z113">
        <f>HYPERLINK("https://images.diginfra.net/iiif/NL-HaNA_1.01.02/3817/NL-HaNA_1.01.02_3817_0196.jpg/229,712,1092,2596/full/0/default.jpg", "next_meeting_iiif_url")</f>
        <v/>
      </c>
    </row>
    <row r="114" spans="1:26">
      <c r="A114" t="s">
        <v>523</v>
      </c>
      <c r="B114" t="s">
        <v>63</v>
      </c>
      <c r="C114" t="s">
        <v>318</v>
      </c>
      <c r="D114" t="b">
        <v>1</v>
      </c>
      <c r="E114" t="b">
        <v>1</v>
      </c>
      <c r="I114" t="s">
        <v>524</v>
      </c>
      <c r="J114" t="n">
        <v>3784</v>
      </c>
      <c r="K114" t="n">
        <v>135</v>
      </c>
      <c r="L114" t="n">
        <v>268</v>
      </c>
      <c r="M114" t="n">
        <v>0</v>
      </c>
      <c r="N114" t="n">
        <v>0</v>
      </c>
      <c r="O114" t="n">
        <v>0</v>
      </c>
      <c r="P114" t="s">
        <v>29</v>
      </c>
      <c r="Q114">
        <f>HYPERLINK("https://images.diginfra.net/framed3.html?imagesetuuid=cb2f6e2d-502d-41d8-a51c-455c64ed98c9&amp;uri=https://images.diginfra.net/iiif/NL-HaNA_1.01.02/3784/NL-HaNA_1.01.02_3784_0135.jpg", "viewer_url")</f>
        <v/>
      </c>
      <c r="R114">
        <f>HYPERLINK("https://images.diginfra.net/iiif/NL-HaNA_1.01.02/3784/NL-HaNA_1.01.02_3784_0135.jpg/224,376,1100,3063/full/0/default.jpg", "iiif_url")</f>
        <v/>
      </c>
      <c r="S114" t="s">
        <v>29</v>
      </c>
      <c r="T114" t="s">
        <v>320</v>
      </c>
      <c r="U114">
        <f>HYPERLINK("https://images.diginfra.net/framed3.html?imagesetuuid=cb2f6e2d-502d-41d8-a51c-455c64ed98c9&amp;uri=https://images.diginfra.net/iiif/NL-HaNA_1.01.02/3784/NL-HaNA_1.01.02_3784_0133.jpg", "prev_meeting_viewer_url")</f>
        <v/>
      </c>
      <c r="V114">
        <f>HYPERLINK("https://images.diginfra.net/iiif/NL-HaNA_1.01.02/3784/NL-HaNA_1.01.02_3784_0133.jpg/248,1842,1085,1556/full/0/default.jpg", "prev_meeting_iiif_url")</f>
        <v/>
      </c>
      <c r="W114" t="s">
        <v>29</v>
      </c>
      <c r="X114" t="s">
        <v>525</v>
      </c>
      <c r="Y114">
        <f>HYPERLINK("https://images.diginfra.net/framed3.html?imagesetuuid=cb2f6e2d-502d-41d8-a51c-455c64ed98c9&amp;uri=https://images.diginfra.net/iiif/NL-HaNA_1.01.02/3784/NL-HaNA_1.01.02_3784_0138.jpg", "next_meeting_viewer_url")</f>
        <v/>
      </c>
      <c r="Z114">
        <f>HYPERLINK("https://images.diginfra.net/iiif/NL-HaNA_1.01.02/3784/NL-HaNA_1.01.02_3784_0138.jpg/262,712,1093,2669/full/0/default.jpg", "next_meeting_iiif_url")</f>
        <v/>
      </c>
    </row>
    <row r="115" spans="1:26">
      <c r="A115" t="s">
        <v>526</v>
      </c>
      <c r="B115" t="s">
        <v>27</v>
      </c>
      <c r="C115" t="s">
        <v>527</v>
      </c>
      <c r="D115" t="b">
        <v>1</v>
      </c>
      <c r="E115" t="b">
        <v>1</v>
      </c>
      <c r="I115" t="s">
        <v>528</v>
      </c>
      <c r="J115" t="n">
        <v>3801</v>
      </c>
      <c r="K115" t="n">
        <v>253</v>
      </c>
      <c r="L115" t="n">
        <v>505</v>
      </c>
      <c r="M115" t="n">
        <v>0</v>
      </c>
      <c r="N115" t="n">
        <v>3</v>
      </c>
      <c r="O115" t="n">
        <v>0</v>
      </c>
      <c r="P115" t="s">
        <v>29</v>
      </c>
      <c r="Q115">
        <f>HYPERLINK("https://images.diginfra.net/framed3.html?imagesetuuid=f36c8416-59a8-4b1a-a82a-ef225cbd1971&amp;uri=https://images.diginfra.net/iiif/NL-HaNA_1.01.02/3801/NL-HaNA_1.01.02_3801_0253.jpg", "viewer_url")</f>
        <v/>
      </c>
      <c r="R115">
        <f>HYPERLINK("https://images.diginfra.net/iiif/NL-HaNA_1.01.02/3801/NL-HaNA_1.01.02_3801_0253.jpg/2473,2418,1031,990/full/0/default.jpg", "iiif_url")</f>
        <v/>
      </c>
      <c r="S115" t="s">
        <v>29</v>
      </c>
      <c r="T115" t="s">
        <v>529</v>
      </c>
      <c r="U115">
        <f>HYPERLINK("https://images.diginfra.net/framed3.html?imagesetuuid=f36c8416-59a8-4b1a-a82a-ef225cbd1971&amp;uri=https://images.diginfra.net/iiif/NL-HaNA_1.01.02/3801/NL-HaNA_1.01.02_3801_0252.jpg", "prev_meeting_viewer_url")</f>
        <v/>
      </c>
      <c r="V115">
        <f>HYPERLINK("https://images.diginfra.net/iiif/NL-HaNA_1.01.02/3801/NL-HaNA_1.01.02_3801_0252.jpg/2440,461,1097,2923/full/0/default.jpg", "prev_meeting_iiif_url")</f>
        <v/>
      </c>
      <c r="W115" t="s">
        <v>29</v>
      </c>
      <c r="X115" t="s">
        <v>530</v>
      </c>
      <c r="Y115">
        <f>HYPERLINK("https://images.diginfra.net/framed3.html?imagesetuuid=f36c8416-59a8-4b1a-a82a-ef225cbd1971&amp;uri=https://images.diginfra.net/iiif/NL-HaNA_1.01.02/3801/NL-HaNA_1.01.02_3801_0254.jpg", "next_meeting_viewer_url")</f>
        <v/>
      </c>
      <c r="Z115">
        <f>HYPERLINK("https://images.diginfra.net/iiif/NL-HaNA_1.01.02/3801/NL-HaNA_1.01.02_3801_0254.jpg/2473,1535,1034,1849/full/0/default.jpg", "next_meeting_iiif_url")</f>
        <v/>
      </c>
    </row>
    <row r="116" spans="1:26">
      <c r="A116" t="s">
        <v>531</v>
      </c>
      <c r="B116" t="s">
        <v>76</v>
      </c>
      <c r="C116" t="s">
        <v>532</v>
      </c>
      <c r="D116" t="b">
        <v>1</v>
      </c>
      <c r="E116" t="b">
        <v>1</v>
      </c>
      <c r="I116" t="s">
        <v>533</v>
      </c>
      <c r="J116" t="n">
        <v>3832</v>
      </c>
      <c r="K116" t="n">
        <v>406</v>
      </c>
      <c r="L116" t="n">
        <v>811</v>
      </c>
      <c r="M116" t="n">
        <v>0</v>
      </c>
      <c r="N116" t="n">
        <v>1</v>
      </c>
      <c r="O116" t="n">
        <v>25</v>
      </c>
      <c r="P116" t="s">
        <v>29</v>
      </c>
      <c r="Q116">
        <f>HYPERLINK("https://images.diginfra.net/framed3.html?imagesetuuid=e4d299a2-71b5-40fc-b329-60132fadd11f&amp;uri=https://images.diginfra.net/iiif/NL-HaNA_1.01.02/3832/NL-HaNA_1.01.02_3832_0406.jpg", "viewer_url")</f>
        <v/>
      </c>
      <c r="R116">
        <f>HYPERLINK("https://images.diginfra.net/iiif/NL-HaNA_1.01.02/3832/NL-HaNA_1.01.02_3832_0406.jpg/3191,789,1089,2568/full/0/default.jpg", "iiif_url")</f>
        <v/>
      </c>
      <c r="S116" t="s">
        <v>29</v>
      </c>
      <c r="T116" t="s">
        <v>534</v>
      </c>
      <c r="U116">
        <f>HYPERLINK("https://images.diginfra.net/framed3.html?imagesetuuid=e4d299a2-71b5-40fc-b329-60132fadd11f&amp;uri=https://images.diginfra.net/iiif/NL-HaNA_1.01.02/3832/NL-HaNA_1.01.02_3832_0406.jpg", "prev_meeting_viewer_url")</f>
        <v/>
      </c>
      <c r="V116">
        <f>HYPERLINK("https://images.diginfra.net/iiif/NL-HaNA_1.01.02/3832/NL-HaNA_1.01.02_3832_0406.jpg/219,2719,1089,615/full/0/default.jpg", "prev_meeting_iiif_url")</f>
        <v/>
      </c>
      <c r="W116" t="s">
        <v>29</v>
      </c>
      <c r="X116" t="s">
        <v>535</v>
      </c>
      <c r="Y116">
        <f>HYPERLINK("https://images.diginfra.net/framed3.html?imagesetuuid=e4d299a2-71b5-40fc-b329-60132fadd11f&amp;uri=https://images.diginfra.net/iiif/NL-HaNA_1.01.02/3832/NL-HaNA_1.01.02_3832_0408.jpg", "next_meeting_viewer_url")</f>
        <v/>
      </c>
      <c r="Z116">
        <f>HYPERLINK("https://images.diginfra.net/iiif/NL-HaNA_1.01.02/3832/NL-HaNA_1.01.02_3832_0408.jpg/3189,2168,1081,1227/full/0/default.jpg", "next_meeting_iiif_url")</f>
        <v/>
      </c>
    </row>
    <row r="117" spans="1:26">
      <c r="A117" t="s">
        <v>536</v>
      </c>
      <c r="B117" t="s">
        <v>48</v>
      </c>
      <c r="D117" t="b">
        <v>0</v>
      </c>
      <c r="E117" t="b">
        <v>0</v>
      </c>
      <c r="I117" t="s">
        <v>537</v>
      </c>
      <c r="J117" t="n">
        <v>3852</v>
      </c>
      <c r="K117" t="n">
        <v>546</v>
      </c>
      <c r="L117" t="n">
        <v>1091</v>
      </c>
      <c r="M117" t="n">
        <v>1</v>
      </c>
      <c r="N117" t="n">
        <v>2</v>
      </c>
      <c r="O117" t="n">
        <v>0</v>
      </c>
      <c r="P117" t="s">
        <v>29</v>
      </c>
      <c r="Q117">
        <f>HYPERLINK("https://images.diginfra.net/framed3.html?imagesetuuid=3b3d915a-84ba-4c76-9942-747a007cc965&amp;uri=https://images.diginfra.net/iiif/NL-HaNA_1.01.02/3852/NL-HaNA_1.01.02_3852_0546.jpg", "viewer_url")</f>
        <v/>
      </c>
      <c r="R117">
        <f>HYPERLINK("https://images.diginfra.net/iiif/NL-HaNA_1.01.02/3852/NL-HaNA_1.01.02_3852_0546.jpg/3422,2924,874,566/full/0/default.jpg", "iiif_url")</f>
        <v/>
      </c>
      <c r="S117" t="s">
        <v>29</v>
      </c>
      <c r="T117" t="s">
        <v>538</v>
      </c>
      <c r="U117">
        <f>HYPERLINK("https://images.diginfra.net/framed3.html?imagesetuuid=3b3d915a-84ba-4c76-9942-747a007cc965&amp;uri=https://images.diginfra.net/iiif/NL-HaNA_1.01.02/3852/NL-HaNA_1.01.02_3852_0539.jpg", "prev_meeting_viewer_url")</f>
        <v/>
      </c>
      <c r="V117">
        <f>HYPERLINK("https://images.diginfra.net/iiif/NL-HaNA_1.01.02/3852/NL-HaNA_1.01.02_3852_0539.jpg/293,325,1073,3173/full/0/default.jpg", "prev_meeting_iiif_url")</f>
        <v/>
      </c>
      <c r="W117" t="s">
        <v>29</v>
      </c>
      <c r="X117" t="s">
        <v>539</v>
      </c>
      <c r="Y117">
        <f>HYPERLINK("https://images.diginfra.net/framed3.html?imagesetuuid=3b3d915a-84ba-4c76-9942-747a007cc965&amp;uri=https://images.diginfra.net/iiif/NL-HaNA_1.01.02/3852/NL-HaNA_1.01.02_3852_0546.jpg", "next_meeting_viewer_url")</f>
        <v/>
      </c>
      <c r="Z117">
        <f>HYPERLINK("https://images.diginfra.net/iiif/NL-HaNA_1.01.02/3852/NL-HaNA_1.01.02_3852_0546.jpg/3422,2924,874,566/full/0/default.jpg", "next_meeting_iiif_url")</f>
        <v/>
      </c>
    </row>
    <row r="118" spans="1:26">
      <c r="A118" t="s">
        <v>540</v>
      </c>
      <c r="B118" t="s">
        <v>27</v>
      </c>
      <c r="D118" t="b">
        <v>0</v>
      </c>
      <c r="E118" t="b">
        <v>0</v>
      </c>
      <c r="I118" t="s">
        <v>541</v>
      </c>
      <c r="J118" t="n">
        <v>3856</v>
      </c>
      <c r="K118" t="n">
        <v>217</v>
      </c>
      <c r="L118" t="n">
        <v>433</v>
      </c>
      <c r="M118" t="n">
        <v>0</v>
      </c>
      <c r="N118" t="n">
        <v>0</v>
      </c>
      <c r="O118" t="n">
        <v>0</v>
      </c>
      <c r="P118" t="s">
        <v>29</v>
      </c>
      <c r="Q118">
        <f>HYPERLINK("https://images.diginfra.net/framed3.html?imagesetuuid=eefad0ef-c5b6-4672-8a4e-c123198eddbf&amp;uri=https://images.diginfra.net/iiif/NL-HaNA_1.01.02/3856/NL-HaNA_1.01.02_3856_0217.jpg", "viewer_url")</f>
        <v/>
      </c>
      <c r="R118">
        <f>HYPERLINK("https://images.diginfra.net/iiif/NL-HaNA_1.01.02/3856/NL-HaNA_1.01.02_3856_0217.jpg/3246,273,1105,3110/full/0/default.jpg", "iiif_url")</f>
        <v/>
      </c>
      <c r="S118" t="s">
        <v>29</v>
      </c>
      <c r="T118" t="s">
        <v>431</v>
      </c>
      <c r="U118">
        <f>HYPERLINK("https://images.diginfra.net/framed3.html?imagesetuuid=eefad0ef-c5b6-4672-8a4e-c123198eddbf&amp;uri=https://images.diginfra.net/iiif/NL-HaNA_1.01.02/3856/NL-HaNA_1.01.02_3856_0214.jpg", "prev_meeting_viewer_url")</f>
        <v/>
      </c>
      <c r="V118">
        <f>HYPERLINK("https://images.diginfra.net/iiif/NL-HaNA_1.01.02/3856/NL-HaNA_1.01.02_3856_0214.jpg/1203,525,1066,2926/full/0/default.jpg", "prev_meeting_iiif_url")</f>
        <v/>
      </c>
      <c r="W118" t="s">
        <v>29</v>
      </c>
      <c r="X118" t="s">
        <v>429</v>
      </c>
      <c r="Y118">
        <f>HYPERLINK("https://images.diginfra.net/framed3.html?imagesetuuid=eefad0ef-c5b6-4672-8a4e-c123198eddbf&amp;uri=https://images.diginfra.net/iiif/NL-HaNA_1.01.02/3856/NL-HaNA_1.01.02_3856_0217.jpg", "next_meeting_viewer_url")</f>
        <v/>
      </c>
      <c r="Z118">
        <f>HYPERLINK("https://images.diginfra.net/iiif/NL-HaNA_1.01.02/3856/NL-HaNA_1.01.02_3856_0217.jpg/3246,273,1105,3110/full/0/default.jpg", "next_meeting_iiif_url")</f>
        <v/>
      </c>
    </row>
    <row r="119" spans="1:26">
      <c r="A119" t="s">
        <v>542</v>
      </c>
      <c r="B119" t="s">
        <v>27</v>
      </c>
      <c r="C119" t="s">
        <v>543</v>
      </c>
      <c r="D119" t="b">
        <v>1</v>
      </c>
      <c r="E119" t="b">
        <v>1</v>
      </c>
      <c r="I119" t="s">
        <v>544</v>
      </c>
      <c r="J119" t="n">
        <v>3806</v>
      </c>
      <c r="K119" t="n">
        <v>176</v>
      </c>
      <c r="L119" t="n">
        <v>351</v>
      </c>
      <c r="M119" t="n">
        <v>0</v>
      </c>
      <c r="N119" t="n">
        <v>1</v>
      </c>
      <c r="O119" t="n">
        <v>0</v>
      </c>
      <c r="P119" t="s">
        <v>29</v>
      </c>
      <c r="Q119">
        <f>HYPERLINK("https://images.diginfra.net/framed3.html?imagesetuuid=0c00a1f2-d59c-4408-905f-fe388b02204f&amp;uri=https://images.diginfra.net/iiif/NL-HaNA_1.01.02/3806/NL-HaNA_1.01.02_3806_0176.jpg", "viewer_url")</f>
        <v/>
      </c>
      <c r="R119">
        <f>HYPERLINK("https://images.diginfra.net/iiif/NL-HaNA_1.01.02/3806/NL-HaNA_1.01.02_3806_0176.jpg/2419,922,1107,2510/full/0/default.jpg", "iiif_url")</f>
        <v/>
      </c>
      <c r="S119" t="s">
        <v>29</v>
      </c>
      <c r="T119" t="s">
        <v>545</v>
      </c>
      <c r="U119">
        <f>HYPERLINK("https://images.diginfra.net/framed3.html?imagesetuuid=0c00a1f2-d59c-4408-905f-fe388b02204f&amp;uri=https://images.diginfra.net/iiif/NL-HaNA_1.01.02/3806/NL-HaNA_1.01.02_3806_0175.jpg", "prev_meeting_viewer_url")</f>
        <v/>
      </c>
      <c r="V119">
        <f>HYPERLINK("https://images.diginfra.net/iiif/NL-HaNA_1.01.02/3806/NL-HaNA_1.01.02_3806_0175.jpg/217,1337,1108,2095/full/0/default.jpg", "prev_meeting_iiif_url")</f>
        <v/>
      </c>
      <c r="W119" t="s">
        <v>29</v>
      </c>
      <c r="X119" t="s">
        <v>546</v>
      </c>
      <c r="Y119">
        <f>HYPERLINK("https://images.diginfra.net/framed3.html?imagesetuuid=0c00a1f2-d59c-4408-905f-fe388b02204f&amp;uri=https://images.diginfra.net/iiif/NL-HaNA_1.01.02/3806/NL-HaNA_1.01.02_3806_0177.jpg", "next_meeting_viewer_url")</f>
        <v/>
      </c>
      <c r="Z119">
        <f>HYPERLINK("https://images.diginfra.net/iiif/NL-HaNA_1.01.02/3806/NL-HaNA_1.01.02_3806_0177.jpg/1331,2981,789,323/full/0/default.jpg", "next_meeting_iiif_url")</f>
        <v/>
      </c>
    </row>
    <row r="120" spans="1:26">
      <c r="A120" t="s">
        <v>547</v>
      </c>
      <c r="B120" t="s">
        <v>48</v>
      </c>
      <c r="D120" t="b">
        <v>0</v>
      </c>
      <c r="E120" t="b">
        <v>0</v>
      </c>
      <c r="I120" t="s">
        <v>548</v>
      </c>
      <c r="J120" t="n">
        <v>3766</v>
      </c>
      <c r="K120" t="n">
        <v>113</v>
      </c>
      <c r="L120" t="n">
        <v>224</v>
      </c>
      <c r="M120" t="n">
        <v>1</v>
      </c>
      <c r="N120" t="n">
        <v>3</v>
      </c>
      <c r="O120" t="n">
        <v>0</v>
      </c>
      <c r="P120" t="s">
        <v>29</v>
      </c>
      <c r="Q120">
        <f>HYPERLINK("https://images.diginfra.net/framed3.html?imagesetuuid=a6b973ba-587c-4902-9423-42544f6e97a0&amp;uri=https://images.diginfra.net/iiif/NL-HaNA_1.01.02/3766/NL-HaNA_1.01.02_3766_0113.jpg", "viewer_url")</f>
        <v/>
      </c>
      <c r="R120">
        <f>HYPERLINK("https://images.diginfra.net/iiif/NL-HaNA_1.01.02/3766/NL-HaNA_1.01.02_3766_0113.jpg/1273,1805,1123,1589/full/0/default.jpg", "iiif_url")</f>
        <v/>
      </c>
      <c r="S120" t="s">
        <v>29</v>
      </c>
      <c r="T120" t="s">
        <v>549</v>
      </c>
      <c r="U120">
        <f>HYPERLINK("https://images.diginfra.net/framed3.html?imagesetuuid=a6b973ba-587c-4902-9423-42544f6e97a0&amp;uri=https://images.diginfra.net/iiif/NL-HaNA_1.01.02/3766/NL-HaNA_1.01.02_3766_0112.jpg", "prev_meeting_viewer_url")</f>
        <v/>
      </c>
      <c r="V120">
        <f>HYPERLINK("https://images.diginfra.net/iiif/NL-HaNA_1.01.02/3766/NL-HaNA_1.01.02_3766_0112.jpg/1286,951,1130,2479/full/0/default.jpg", "prev_meeting_iiif_url")</f>
        <v/>
      </c>
      <c r="W120" t="s">
        <v>29</v>
      </c>
      <c r="X120" t="s">
        <v>550</v>
      </c>
      <c r="Y120">
        <f>HYPERLINK("https://images.diginfra.net/framed3.html?imagesetuuid=a6b973ba-587c-4902-9423-42544f6e97a0&amp;uri=https://images.diginfra.net/iiif/NL-HaNA_1.01.02/3766/NL-HaNA_1.01.02_3766_0113.jpg", "next_meeting_viewer_url")</f>
        <v/>
      </c>
      <c r="Z120">
        <f>HYPERLINK("https://images.diginfra.net/iiif/NL-HaNA_1.01.02/3766/NL-HaNA_1.01.02_3766_0113.jpg/1273,1805,1123,1589/full/0/default.jpg", "next_meeting_iiif_url")</f>
        <v/>
      </c>
    </row>
    <row r="121" spans="1:26">
      <c r="A121" t="s">
        <v>551</v>
      </c>
      <c r="B121" t="s">
        <v>27</v>
      </c>
      <c r="D121" t="b">
        <v>0</v>
      </c>
      <c r="E121" t="b">
        <v>0</v>
      </c>
      <c r="I121" t="s">
        <v>552</v>
      </c>
      <c r="J121" t="n">
        <v>3811</v>
      </c>
      <c r="K121" t="n">
        <v>284</v>
      </c>
      <c r="L121" t="n">
        <v>566</v>
      </c>
      <c r="M121" t="n">
        <v>1</v>
      </c>
      <c r="N121" t="n">
        <v>0</v>
      </c>
      <c r="O121" t="n">
        <v>36</v>
      </c>
      <c r="P121" t="s">
        <v>29</v>
      </c>
      <c r="Q121">
        <f>HYPERLINK("https://images.diginfra.net/framed3.html?imagesetuuid=f707f64c-15ec-4624-ba99-82cb83d16c2c&amp;uri=https://images.diginfra.net/iiif/NL-HaNA_1.01.02/3811/NL-HaNA_1.01.02_3811_0284.jpg", "viewer_url")</f>
        <v/>
      </c>
      <c r="R121">
        <f>HYPERLINK("https://images.diginfra.net/iiif/NL-HaNA_1.01.02/3811/NL-HaNA_1.01.02_3811_0284.jpg/1159,1739,1120,1677/full/0/default.jpg", "iiif_url")</f>
        <v/>
      </c>
      <c r="S121" t="s">
        <v>29</v>
      </c>
      <c r="T121" t="s">
        <v>553</v>
      </c>
      <c r="U121">
        <f>HYPERLINK("https://images.diginfra.net/framed3.html?imagesetuuid=f707f64c-15ec-4624-ba99-82cb83d16c2c&amp;uri=https://images.diginfra.net/iiif/NL-HaNA_1.01.02/3811/NL-HaNA_1.01.02_3811_0283.jpg", "prev_meeting_viewer_url")</f>
        <v/>
      </c>
      <c r="V121">
        <f>HYPERLINK("https://images.diginfra.net/iiif/NL-HaNA_1.01.02/3811/NL-HaNA_1.01.02_3811_0283.jpg/1166,1391,1105,2011/full/0/default.jpg", "prev_meeting_iiif_url")</f>
        <v/>
      </c>
      <c r="W121" t="s">
        <v>29</v>
      </c>
      <c r="X121" t="s">
        <v>554</v>
      </c>
      <c r="Y121">
        <f>HYPERLINK("https://images.diginfra.net/framed3.html?imagesetuuid=f707f64c-15ec-4624-ba99-82cb83d16c2c&amp;uri=https://images.diginfra.net/iiif/NL-HaNA_1.01.02/3811/NL-HaNA_1.01.02_3811_0284.jpg", "next_meeting_viewer_url")</f>
        <v/>
      </c>
      <c r="Z121">
        <f>HYPERLINK("https://images.diginfra.net/iiif/NL-HaNA_1.01.02/3811/NL-HaNA_1.01.02_3811_0284.jpg/1159,1739,1120,1677/full/0/default.jpg", "next_meeting_iiif_url")</f>
        <v/>
      </c>
    </row>
    <row r="122" spans="1:26">
      <c r="A122" t="s">
        <v>555</v>
      </c>
      <c r="B122" t="s">
        <v>27</v>
      </c>
      <c r="D122" t="b">
        <v>0</v>
      </c>
      <c r="E122" t="b">
        <v>0</v>
      </c>
      <c r="I122" t="s">
        <v>556</v>
      </c>
      <c r="J122" t="n">
        <v>3809</v>
      </c>
      <c r="K122" t="n">
        <v>178</v>
      </c>
      <c r="L122" t="n">
        <v>355</v>
      </c>
      <c r="M122" t="n">
        <v>1</v>
      </c>
      <c r="N122" t="n">
        <v>2</v>
      </c>
      <c r="O122" t="n">
        <v>0</v>
      </c>
      <c r="P122" t="s">
        <v>29</v>
      </c>
      <c r="Q122">
        <f>HYPERLINK("https://images.diginfra.net/framed3.html?imagesetuuid=a1722cc0-6172-4f06-b30b-cbaf0702bf4b&amp;uri=https://images.diginfra.net/iiif/NL-HaNA_1.01.02/3809/NL-HaNA_1.01.02_3809_0178.jpg", "viewer_url")</f>
        <v/>
      </c>
      <c r="R122">
        <f>HYPERLINK("https://images.diginfra.net/iiif/NL-HaNA_1.01.02/3809/NL-HaNA_1.01.02_3809_0178.jpg/3589,2980,808,371/full/0/default.jpg", "iiif_url")</f>
        <v/>
      </c>
      <c r="S122" t="s">
        <v>29</v>
      </c>
      <c r="T122" t="s">
        <v>557</v>
      </c>
      <c r="U122">
        <f>HYPERLINK("https://images.diginfra.net/framed3.html?imagesetuuid=a1722cc0-6172-4f06-b30b-cbaf0702bf4b&amp;uri=https://images.diginfra.net/iiif/NL-HaNA_1.01.02/3809/NL-HaNA_1.01.02_3809_0178.jpg", "prev_meeting_viewer_url")</f>
        <v/>
      </c>
      <c r="V122">
        <f>HYPERLINK("https://images.diginfra.net/iiif/NL-HaNA_1.01.02/3809/NL-HaNA_1.01.02_3809_0178.jpg/381,2590,1039,838/full/0/default.jpg", "prev_meeting_iiif_url")</f>
        <v/>
      </c>
      <c r="W122" t="s">
        <v>29</v>
      </c>
      <c r="X122" t="s">
        <v>558</v>
      </c>
      <c r="Y122">
        <f>HYPERLINK("https://images.diginfra.net/framed3.html?imagesetuuid=a1722cc0-6172-4f06-b30b-cbaf0702bf4b&amp;uri=https://images.diginfra.net/iiif/NL-HaNA_1.01.02/3809/NL-HaNA_1.01.02_3809_0178.jpg", "next_meeting_viewer_url")</f>
        <v/>
      </c>
      <c r="Z122">
        <f>HYPERLINK("https://images.diginfra.net/iiif/NL-HaNA_1.01.02/3809/NL-HaNA_1.01.02_3809_0178.jpg/3589,2980,808,371/full/0/default.jpg", "next_meeting_iiif_url")</f>
        <v/>
      </c>
    </row>
    <row r="123" spans="1:26">
      <c r="A123" t="s">
        <v>559</v>
      </c>
      <c r="B123" t="s">
        <v>48</v>
      </c>
      <c r="D123" t="b">
        <v>0</v>
      </c>
      <c r="E123" t="b">
        <v>0</v>
      </c>
      <c r="I123" t="s">
        <v>560</v>
      </c>
      <c r="J123" t="n">
        <v>3783</v>
      </c>
      <c r="K123" t="n">
        <v>490</v>
      </c>
      <c r="L123" t="n">
        <v>978</v>
      </c>
      <c r="M123" t="n">
        <v>0</v>
      </c>
      <c r="N123" t="n">
        <v>2</v>
      </c>
      <c r="O123" t="n">
        <v>0</v>
      </c>
      <c r="P123" t="s">
        <v>29</v>
      </c>
      <c r="Q123">
        <f>HYPERLINK("https://images.diginfra.net/framed3.html?imagesetuuid=67533019-4ca0-4b08-b87e-fd5590e7a077&amp;uri=https://images.diginfra.net/iiif/NL-HaNA_1.01.02/3783/NL-HaNA_1.01.02_3783_0490.jpg", "viewer_url")</f>
        <v/>
      </c>
      <c r="R123">
        <f>HYPERLINK("https://images.diginfra.net/iiif/NL-HaNA_1.01.02/3783/NL-HaNA_1.01.02_3783_0490.jpg/412,2467,1031,972/full/0/default.jpg", "iiif_url")</f>
        <v/>
      </c>
      <c r="W123" t="s">
        <v>29</v>
      </c>
      <c r="X123" t="s">
        <v>561</v>
      </c>
      <c r="Y123">
        <f>HYPERLINK("https://images.diginfra.net/framed3.html?imagesetuuid=67533019-4ca0-4b08-b87e-fd5590e7a077&amp;uri=https://images.diginfra.net/iiif/NL-HaNA_1.01.02/3783/NL-HaNA_1.01.02_3783_0490.jpg", "next_meeting_viewer_url")</f>
        <v/>
      </c>
      <c r="Z123">
        <f>HYPERLINK("https://images.diginfra.net/iiif/NL-HaNA_1.01.02/3783/NL-HaNA_1.01.02_3783_0490.jpg/412,2467,1031,972/full/0/default.jpg", "next_meeting_iiif_url")</f>
        <v/>
      </c>
    </row>
    <row r="124" spans="1:26">
      <c r="A124" t="s">
        <v>562</v>
      </c>
      <c r="B124" t="s">
        <v>53</v>
      </c>
      <c r="C124" t="s">
        <v>563</v>
      </c>
      <c r="D124" t="b">
        <v>1</v>
      </c>
      <c r="E124" t="b">
        <v>1</v>
      </c>
      <c r="I124" t="s">
        <v>564</v>
      </c>
      <c r="J124" t="n">
        <v>3818</v>
      </c>
      <c r="K124" t="n">
        <v>182</v>
      </c>
      <c r="L124" t="n">
        <v>362</v>
      </c>
      <c r="M124" t="n">
        <v>1</v>
      </c>
      <c r="N124" t="n">
        <v>0</v>
      </c>
      <c r="O124" t="n">
        <v>18</v>
      </c>
      <c r="P124" t="s">
        <v>29</v>
      </c>
      <c r="Q124">
        <f>HYPERLINK("https://images.diginfra.net/framed3.html?imagesetuuid=0a2b2b00-4d8f-4694-bcd4-866d49afa989&amp;uri=https://images.diginfra.net/iiif/NL-HaNA_1.01.02/3818/NL-HaNA_1.01.02_3818_0182.jpg", "viewer_url")</f>
        <v/>
      </c>
      <c r="R124">
        <f>HYPERLINK("https://images.diginfra.net/iiif/NL-HaNA_1.01.02/3818/NL-HaNA_1.01.02_3818_0182.jpg/1211,1033,1113,2337/full/0/default.jpg", "iiif_url")</f>
        <v/>
      </c>
      <c r="S124" t="s">
        <v>29</v>
      </c>
      <c r="T124" t="s">
        <v>565</v>
      </c>
      <c r="U124">
        <f>HYPERLINK("https://images.diginfra.net/framed3.html?imagesetuuid=0a2b2b00-4d8f-4694-bcd4-866d49afa989&amp;uri=https://images.diginfra.net/iiif/NL-HaNA_1.01.02/3818/NL-HaNA_1.01.02_3818_0180.jpg", "prev_meeting_viewer_url")</f>
        <v/>
      </c>
      <c r="V124">
        <f>HYPERLINK("https://images.diginfra.net/iiif/NL-HaNA_1.01.02/3818/NL-HaNA_1.01.02_3818_0180.jpg/2361,1410,1110,1956/full/0/default.jpg", "prev_meeting_iiif_url")</f>
        <v/>
      </c>
      <c r="W124" t="s">
        <v>29</v>
      </c>
      <c r="X124" t="s">
        <v>566</v>
      </c>
      <c r="Y124">
        <f>HYPERLINK("https://images.diginfra.net/framed3.html?imagesetuuid=0a2b2b00-4d8f-4694-bcd4-866d49afa989&amp;uri=https://images.diginfra.net/iiif/NL-HaNA_1.01.02/3818/NL-HaNA_1.01.02_3818_0187.jpg", "next_meeting_viewer_url")</f>
        <v/>
      </c>
      <c r="Z124">
        <f>HYPERLINK("https://images.diginfra.net/iiif/NL-HaNA_1.01.02/3818/NL-HaNA_1.01.02_3818_0187.jpg/253,521,1094,2895/full/0/default.jpg", "next_meeting_iiif_url")</f>
        <v/>
      </c>
    </row>
    <row r="125" spans="1:26">
      <c r="A125" t="s">
        <v>567</v>
      </c>
      <c r="B125" t="s">
        <v>53</v>
      </c>
      <c r="D125" t="b">
        <v>1</v>
      </c>
      <c r="E125" t="b">
        <v>0</v>
      </c>
      <c r="Q125">
        <f>HYPERLINK("None", "viewer_url")</f>
        <v/>
      </c>
      <c r="R125">
        <f>HYPERLINK("None", "iiif_url")</f>
        <v/>
      </c>
      <c r="S125" t="s">
        <v>33</v>
      </c>
      <c r="U125">
        <f>HYPERLINK("https://images.diginfra.net/framed3.html?imagesetuuid=a1722cc0-6172-4f06-b30b-cbaf0702bf4b&amp;uri=https://images.diginfra.net/iiif/NL-HaNA_1.01.02/3809/NL-HaNA_1.01.02_3809_0267.jpg", "prev_meeting_viewer_url")</f>
        <v/>
      </c>
      <c r="V125">
        <f>HYPERLINK("https://images.diginfra.net/iiif/NL-HaNA_1.01.02/3809/NL-HaNA_1.01.02_3809_0267.jpg/2484,2026,1078,1358/full/0/default.jpg", "prev_meeting_iiif_url")</f>
        <v/>
      </c>
      <c r="W125" t="s">
        <v>29</v>
      </c>
      <c r="X125" t="s">
        <v>568</v>
      </c>
      <c r="Y125">
        <f>HYPERLINK("https://images.diginfra.net/framed3.html?imagesetuuid=a1722cc0-6172-4f06-b30b-cbaf0702bf4b&amp;uri=https://images.diginfra.net/iiif/NL-HaNA_1.01.02/3809/NL-HaNA_1.01.02_3809_0269.jpg", "next_meeting_viewer_url")</f>
        <v/>
      </c>
      <c r="Z125">
        <f>HYPERLINK("https://images.diginfra.net/iiif/NL-HaNA_1.01.02/3809/NL-HaNA_1.01.02_3809_0269.jpg/380,2297,1081,1050/full/0/default.jpg", "next_meeting_iiif_url")</f>
        <v/>
      </c>
    </row>
    <row r="126" spans="1:26">
      <c r="A126" t="s">
        <v>569</v>
      </c>
      <c r="B126" t="s">
        <v>76</v>
      </c>
      <c r="C126" t="s">
        <v>570</v>
      </c>
      <c r="D126" t="b">
        <v>1</v>
      </c>
      <c r="E126" t="b">
        <v>1</v>
      </c>
      <c r="I126" t="s">
        <v>571</v>
      </c>
      <c r="J126" t="n">
        <v>3815</v>
      </c>
      <c r="K126" t="n">
        <v>243</v>
      </c>
      <c r="L126" t="n">
        <v>484</v>
      </c>
      <c r="M126" t="n">
        <v>1</v>
      </c>
      <c r="N126" t="n">
        <v>0</v>
      </c>
      <c r="O126" t="n">
        <v>5</v>
      </c>
      <c r="P126" t="s">
        <v>29</v>
      </c>
      <c r="Q126">
        <f>HYPERLINK("https://images.diginfra.net/framed3.html?imagesetuuid=c649f39d-5b94-4d9d-8000-33acd4342c36&amp;uri=https://images.diginfra.net/iiif/NL-HaNA_1.01.02/3815/NL-HaNA_1.01.02_3815_0243.jpg", "viewer_url")</f>
        <v/>
      </c>
      <c r="R126">
        <f>HYPERLINK("https://images.diginfra.net/iiif/NL-HaNA_1.01.02/3815/NL-HaNA_1.01.02_3815_0243.jpg/1295,547,1109,2877/full/0/default.jpg", "iiif_url")</f>
        <v/>
      </c>
      <c r="S126" t="s">
        <v>29</v>
      </c>
      <c r="T126" t="s">
        <v>572</v>
      </c>
      <c r="U126">
        <f>HYPERLINK("https://images.diginfra.net/framed3.html?imagesetuuid=c649f39d-5b94-4d9d-8000-33acd4342c36&amp;uri=https://images.diginfra.net/iiif/NL-HaNA_1.01.02/3815/NL-HaNA_1.01.02_3815_0241.jpg", "prev_meeting_viewer_url")</f>
        <v/>
      </c>
      <c r="V126">
        <f>HYPERLINK("https://images.diginfra.net/iiif/NL-HaNA_1.01.02/3815/NL-HaNA_1.01.02_3815_0241.jpg/1453,2992,698,387/full/0/default.jpg", "prev_meeting_iiif_url")</f>
        <v/>
      </c>
      <c r="W126" t="s">
        <v>29</v>
      </c>
      <c r="X126" t="s">
        <v>573</v>
      </c>
      <c r="Y126">
        <f>HYPERLINK("https://images.diginfra.net/framed3.html?imagesetuuid=c649f39d-5b94-4d9d-8000-33acd4342c36&amp;uri=https://images.diginfra.net/iiif/NL-HaNA_1.01.02/3815/NL-HaNA_1.01.02_3815_0247.jpg", "next_meeting_viewer_url")</f>
        <v/>
      </c>
      <c r="Z126">
        <f>HYPERLINK("https://images.diginfra.net/iiif/NL-HaNA_1.01.02/3815/NL-HaNA_1.01.02_3815_0247.jpg/3284,891,1106,2538/full/0/default.jpg", "next_meeting_iiif_url")</f>
        <v/>
      </c>
    </row>
    <row r="127" spans="1:26">
      <c r="A127" t="s">
        <v>574</v>
      </c>
      <c r="B127" t="s">
        <v>42</v>
      </c>
      <c r="C127" t="s">
        <v>575</v>
      </c>
      <c r="D127" t="b">
        <v>1</v>
      </c>
      <c r="E127" t="b">
        <v>1</v>
      </c>
      <c r="I127" t="s">
        <v>576</v>
      </c>
      <c r="J127" t="n">
        <v>3848</v>
      </c>
      <c r="K127" t="n">
        <v>326</v>
      </c>
      <c r="L127" t="n">
        <v>650</v>
      </c>
      <c r="M127" t="n">
        <v>1</v>
      </c>
      <c r="N127" t="n">
        <v>1</v>
      </c>
      <c r="O127" t="n">
        <v>0</v>
      </c>
      <c r="P127" t="s">
        <v>29</v>
      </c>
      <c r="Q127">
        <f>HYPERLINK("https://images.diginfra.net/framed3.html?imagesetuuid=0359a1ea-7930-4de5-8687-7aa11d9043bd&amp;uri=https://images.diginfra.net/iiif/NL-HaNA_1.01.02/3848/NL-HaNA_1.01.02_3848_0326.jpg", "viewer_url")</f>
        <v/>
      </c>
      <c r="R127">
        <f>HYPERLINK("https://images.diginfra.net/iiif/NL-HaNA_1.01.02/3848/NL-HaNA_1.01.02_3848_0326.jpg/1177,886,1094,2541/full/0/default.jpg", "iiif_url")</f>
        <v/>
      </c>
      <c r="S127" t="s">
        <v>29</v>
      </c>
      <c r="T127" t="s">
        <v>577</v>
      </c>
      <c r="U127">
        <f>HYPERLINK("https://images.diginfra.net/framed3.html?imagesetuuid=0359a1ea-7930-4de5-8687-7aa11d9043bd&amp;uri=https://images.diginfra.net/iiif/NL-HaNA_1.01.02/3848/NL-HaNA_1.01.02_3848_0321.jpg", "prev_meeting_viewer_url")</f>
        <v/>
      </c>
      <c r="V127">
        <f>HYPERLINK("https://images.diginfra.net/iiif/NL-HaNA_1.01.02/3848/NL-HaNA_1.01.02_3848_0321.jpg/2454,3066,707,316/full/0/default.jpg", "prev_meeting_iiif_url")</f>
        <v/>
      </c>
      <c r="W127" t="s">
        <v>29</v>
      </c>
      <c r="X127" t="s">
        <v>578</v>
      </c>
      <c r="Y127">
        <f>HYPERLINK("https://images.diginfra.net/framed3.html?imagesetuuid=0359a1ea-7930-4de5-8687-7aa11d9043bd&amp;uri=https://images.diginfra.net/iiif/NL-HaNA_1.01.02/3848/NL-HaNA_1.01.02_3848_0331.jpg", "next_meeting_viewer_url")</f>
        <v/>
      </c>
      <c r="Z127">
        <f>HYPERLINK("https://images.diginfra.net/iiif/NL-HaNA_1.01.02/3848/NL-HaNA_1.01.02_3848_0331.jpg/246,2899,913,398/full/0/default.jpg", "next_meeting_iiif_url")</f>
        <v/>
      </c>
    </row>
    <row r="128" spans="1:26">
      <c r="A128" t="s">
        <v>579</v>
      </c>
      <c r="B128" t="s">
        <v>42</v>
      </c>
      <c r="C128" t="s">
        <v>580</v>
      </c>
      <c r="D128" t="b">
        <v>1</v>
      </c>
      <c r="E128" t="b">
        <v>1</v>
      </c>
      <c r="I128" t="s">
        <v>581</v>
      </c>
      <c r="J128" t="n">
        <v>3822</v>
      </c>
      <c r="K128" t="n">
        <v>347</v>
      </c>
      <c r="L128" t="n">
        <v>693</v>
      </c>
      <c r="M128" t="n">
        <v>1</v>
      </c>
      <c r="N128" t="n">
        <v>1</v>
      </c>
      <c r="O128" t="n">
        <v>0</v>
      </c>
      <c r="P128" t="s">
        <v>29</v>
      </c>
      <c r="Q128">
        <f>HYPERLINK("https://images.diginfra.net/framed3.html?imagesetuuid=e0965315-891d-46c1-9dac-fc6b729921cf&amp;uri=https://images.diginfra.net/iiif/NL-HaNA_1.01.02/3822/NL-HaNA_1.01.02_3822_0347.jpg", "viewer_url")</f>
        <v/>
      </c>
      <c r="R128">
        <f>HYPERLINK("https://images.diginfra.net/iiif/NL-HaNA_1.01.02/3822/NL-HaNA_1.01.02_3822_0347.jpg/3274,1432,1068,1915/full/0/default.jpg", "iiif_url")</f>
        <v/>
      </c>
      <c r="S128" t="s">
        <v>29</v>
      </c>
      <c r="T128" t="s">
        <v>582</v>
      </c>
      <c r="U128">
        <f>HYPERLINK("https://images.diginfra.net/framed3.html?imagesetuuid=e0965315-891d-46c1-9dac-fc6b729921cf&amp;uri=https://images.diginfra.net/iiif/NL-HaNA_1.01.02/3822/NL-HaNA_1.01.02_3822_0347.jpg", "prev_meeting_viewer_url")</f>
        <v/>
      </c>
      <c r="V128">
        <f>HYPERLINK("https://images.diginfra.net/iiif/NL-HaNA_1.01.02/3822/NL-HaNA_1.01.02_3822_0347.jpg/1351,2848,852,485/full/0/default.jpg", "prev_meeting_iiif_url")</f>
        <v/>
      </c>
      <c r="W128" t="s">
        <v>33</v>
      </c>
      <c r="X128" t="s">
        <v>583</v>
      </c>
      <c r="Y128">
        <f>HYPERLINK("https://images.diginfra.net/framed3.html?imagesetuuid=e0965315-891d-46c1-9dac-fc6b729921cf&amp;uri=https://images.diginfra.net/iiif/NL-HaNA_1.01.02/3822/NL-HaNA_1.01.02_3822_0350.jpg", "next_meeting_viewer_url")</f>
        <v/>
      </c>
      <c r="Z128">
        <f>HYPERLINK("https://images.diginfra.net/iiif/NL-HaNA_1.01.02/3822/NL-HaNA_1.01.02_3822_0350.jpg/3308,2578,1015,796/full/0/default.jpg", "next_meeting_iiif_url")</f>
        <v/>
      </c>
    </row>
    <row r="129" spans="1:26">
      <c r="A129" t="s">
        <v>584</v>
      </c>
      <c r="B129" t="s">
        <v>42</v>
      </c>
      <c r="C129" t="s">
        <v>585</v>
      </c>
      <c r="D129" t="b">
        <v>1</v>
      </c>
      <c r="E129" t="b">
        <v>1</v>
      </c>
      <c r="I129" t="s">
        <v>586</v>
      </c>
      <c r="J129" t="n">
        <v>3782</v>
      </c>
      <c r="K129" t="n">
        <v>425</v>
      </c>
      <c r="L129" t="n">
        <v>849</v>
      </c>
      <c r="M129" t="n">
        <v>0</v>
      </c>
      <c r="N129" t="n">
        <v>1</v>
      </c>
      <c r="O129" t="n">
        <v>0</v>
      </c>
      <c r="P129" t="s">
        <v>29</v>
      </c>
      <c r="Q129">
        <f>HYPERLINK("https://images.diginfra.net/framed3.html?imagesetuuid=6d3687da-fdc8-4a47-ac98-f85d45f74cb7&amp;uri=https://images.diginfra.net/iiif/NL-HaNA_1.01.02/3782/NL-HaNA_1.01.02_3782_0425.jpg", "viewer_url")</f>
        <v/>
      </c>
      <c r="R129">
        <f>HYPERLINK("https://images.diginfra.net/iiif/NL-HaNA_1.01.02/3782/NL-HaNA_1.01.02_3782_0425.jpg/2512,1129,1093,2336/full/0/default.jpg", "iiif_url")</f>
        <v/>
      </c>
      <c r="S129" t="s">
        <v>29</v>
      </c>
      <c r="T129" t="s">
        <v>587</v>
      </c>
      <c r="U129">
        <f>HYPERLINK("https://images.diginfra.net/framed3.html?imagesetuuid=6d3687da-fdc8-4a47-ac98-f85d45f74cb7&amp;uri=https://images.diginfra.net/iiif/NL-HaNA_1.01.02/3782/NL-HaNA_1.01.02_3782_0423.jpg", "prev_meeting_viewer_url")</f>
        <v/>
      </c>
      <c r="V129">
        <f>HYPERLINK("https://images.diginfra.net/iiif/NL-HaNA_1.01.02/3782/NL-HaNA_1.01.02_3782_0423.jpg/1260,552,1110,2921/full/0/default.jpg", "prev_meeting_iiif_url")</f>
        <v/>
      </c>
      <c r="W129" t="s">
        <v>29</v>
      </c>
      <c r="X129" t="s">
        <v>588</v>
      </c>
      <c r="Y129">
        <f>HYPERLINK("https://images.diginfra.net/framed3.html?imagesetuuid=6d3687da-fdc8-4a47-ac98-f85d45f74cb7&amp;uri=https://images.diginfra.net/iiif/NL-HaNA_1.01.02/3782/NL-HaNA_1.01.02_3782_0426.jpg", "next_meeting_viewer_url")</f>
        <v/>
      </c>
      <c r="Z129">
        <f>HYPERLINK("https://images.diginfra.net/iiif/NL-HaNA_1.01.02/3782/NL-HaNA_1.01.02_3782_0426.jpg/3405,1300,1105,2137/full/0/default.jpg", "next_meeting_iiif_url")</f>
        <v/>
      </c>
    </row>
    <row r="130" spans="1:26">
      <c r="A130" t="s">
        <v>589</v>
      </c>
      <c r="B130" t="s">
        <v>37</v>
      </c>
      <c r="C130" t="s">
        <v>590</v>
      </c>
      <c r="D130" t="b">
        <v>1</v>
      </c>
      <c r="E130" t="b">
        <v>1</v>
      </c>
      <c r="I130" t="s">
        <v>591</v>
      </c>
      <c r="J130" t="n">
        <v>3785</v>
      </c>
      <c r="K130" t="n">
        <v>407</v>
      </c>
      <c r="L130" t="n">
        <v>813</v>
      </c>
      <c r="M130" t="n">
        <v>1</v>
      </c>
      <c r="N130" t="n">
        <v>1</v>
      </c>
      <c r="O130" t="n">
        <v>0</v>
      </c>
      <c r="P130" t="s">
        <v>29</v>
      </c>
      <c r="Q130">
        <f>HYPERLINK("https://images.diginfra.net/framed3.html?imagesetuuid=88a314f7-936a-49fb-9ac3-0115764531f2&amp;uri=https://images.diginfra.net/iiif/NL-HaNA_1.01.02/3785/NL-HaNA_1.01.02_3785_0407.jpg", "viewer_url")</f>
        <v/>
      </c>
      <c r="R130">
        <f>HYPERLINK("https://images.diginfra.net/iiif/NL-HaNA_1.01.02/3785/NL-HaNA_1.01.02_3785_0407.jpg/3358,1412,1089,2004/full/0/default.jpg", "iiif_url")</f>
        <v/>
      </c>
      <c r="S130" t="s">
        <v>29</v>
      </c>
      <c r="T130" t="s">
        <v>592</v>
      </c>
      <c r="U130">
        <f>HYPERLINK("https://images.diginfra.net/framed3.html?imagesetuuid=88a314f7-936a-49fb-9ac3-0115764531f2&amp;uri=https://images.diginfra.net/iiif/NL-HaNA_1.01.02/3785/NL-HaNA_1.01.02_3785_0406.jpg", "prev_meeting_viewer_url")</f>
        <v/>
      </c>
      <c r="V130">
        <f>HYPERLINK("https://images.diginfra.net/iiif/NL-HaNA_1.01.02/3785/NL-HaNA_1.01.02_3785_0406.jpg/3420,2711,1039,755/full/0/default.jpg", "prev_meeting_iiif_url")</f>
        <v/>
      </c>
      <c r="W130" t="s">
        <v>29</v>
      </c>
      <c r="X130" t="s">
        <v>593</v>
      </c>
      <c r="Y130">
        <f>HYPERLINK("https://images.diginfra.net/framed3.html?imagesetuuid=88a314f7-936a-49fb-9ac3-0115764531f2&amp;uri=https://images.diginfra.net/iiif/NL-HaNA_1.01.02/3785/NL-HaNA_1.01.02_3785_0408.jpg", "next_meeting_viewer_url")</f>
        <v/>
      </c>
      <c r="Z130">
        <f>HYPERLINK("https://images.diginfra.net/iiif/NL-HaNA_1.01.02/3785/NL-HaNA_1.01.02_3785_0408.jpg/2494,2606,1032,793/full/0/default.jpg", "next_meeting_iiif_url")</f>
        <v/>
      </c>
    </row>
    <row r="131" spans="1:26">
      <c r="A131" t="s">
        <v>594</v>
      </c>
      <c r="B131" t="s">
        <v>37</v>
      </c>
      <c r="C131" t="s">
        <v>595</v>
      </c>
      <c r="D131" t="b">
        <v>1</v>
      </c>
      <c r="E131" t="b">
        <v>1</v>
      </c>
      <c r="I131" t="s">
        <v>596</v>
      </c>
      <c r="J131" t="n">
        <v>3773</v>
      </c>
      <c r="K131" t="n">
        <v>602</v>
      </c>
      <c r="L131" t="n">
        <v>1203</v>
      </c>
      <c r="M131" t="n">
        <v>0</v>
      </c>
      <c r="N131" t="n">
        <v>1</v>
      </c>
      <c r="O131" t="n">
        <v>0</v>
      </c>
      <c r="P131" t="s">
        <v>29</v>
      </c>
      <c r="Q131">
        <f>HYPERLINK("https://images.diginfra.net/framed3.html?imagesetuuid=0d0ede5e-a7f6-4a03-b996-493e50528c24&amp;uri=https://images.diginfra.net/iiif/NL-HaNA_1.01.02/3773/NL-HaNA_1.01.02_3773_0602.jpg", "viewer_url")</f>
        <v/>
      </c>
      <c r="R131">
        <f>HYPERLINK("https://images.diginfra.net/iiif/NL-HaNA_1.01.02/3773/NL-HaNA_1.01.02_3773_0602.jpg/2501,1565,1093,1860/full/0/default.jpg", "iiif_url")</f>
        <v/>
      </c>
      <c r="S131" t="s">
        <v>29</v>
      </c>
      <c r="T131" t="s">
        <v>597</v>
      </c>
      <c r="U131">
        <f>HYPERLINK("https://images.diginfra.net/framed3.html?imagesetuuid=0d0ede5e-a7f6-4a03-b996-493e50528c24&amp;uri=https://images.diginfra.net/iiif/NL-HaNA_1.01.02/3773/NL-HaNA_1.01.02_3773_0600.jpg", "prev_meeting_viewer_url")</f>
        <v/>
      </c>
      <c r="V131">
        <f>HYPERLINK("https://images.diginfra.net/iiif/NL-HaNA_1.01.02/3773/NL-HaNA_1.01.02_3773_0600.jpg/2492,2224,1021,1196/full/0/default.jpg", "prev_meeting_iiif_url")</f>
        <v/>
      </c>
    </row>
    <row r="132" spans="1:26">
      <c r="A132" t="s">
        <v>598</v>
      </c>
      <c r="B132" t="s">
        <v>63</v>
      </c>
      <c r="C132" t="s">
        <v>599</v>
      </c>
      <c r="D132" t="b">
        <v>1</v>
      </c>
      <c r="E132" t="b">
        <v>1</v>
      </c>
      <c r="I132" t="s">
        <v>600</v>
      </c>
      <c r="J132" t="n">
        <v>3766</v>
      </c>
      <c r="K132" t="n">
        <v>796</v>
      </c>
      <c r="L132" t="n">
        <v>1590</v>
      </c>
      <c r="M132" t="n">
        <v>2</v>
      </c>
      <c r="N132" t="n">
        <v>2</v>
      </c>
      <c r="O132" t="n">
        <v>0</v>
      </c>
      <c r="P132" t="s">
        <v>29</v>
      </c>
      <c r="Q132">
        <f>HYPERLINK("https://images.diginfra.net/framed3.html?imagesetuuid=a6b973ba-587c-4902-9423-42544f6e97a0&amp;uri=https://images.diginfra.net/iiif/NL-HaNA_1.01.02/3766/NL-HaNA_1.01.02_3766_0796.jpg", "viewer_url")</f>
        <v/>
      </c>
      <c r="R132">
        <f>HYPERLINK("https://images.diginfra.net/iiif/NL-HaNA_1.01.02/3766/NL-HaNA_1.01.02_3766_0796.jpg/1268,865,1110,2542/full/0/default.jpg", "iiif_url")</f>
        <v/>
      </c>
      <c r="S132" t="s">
        <v>29</v>
      </c>
      <c r="T132" t="s">
        <v>601</v>
      </c>
      <c r="U132">
        <f>HYPERLINK("https://images.diginfra.net/framed3.html?imagesetuuid=a6b973ba-587c-4902-9423-42544f6e97a0&amp;uri=https://images.diginfra.net/iiif/NL-HaNA_1.01.02/3766/NL-HaNA_1.01.02_3766_0791.jpg", "prev_meeting_viewer_url")</f>
        <v/>
      </c>
      <c r="V132">
        <f>HYPERLINK("https://images.diginfra.net/iiif/NL-HaNA_1.01.02/3766/NL-HaNA_1.01.02_3766_0791.jpg/3408,1312,1106,2157/full/0/default.jpg", "prev_meeting_iiif_url")</f>
        <v/>
      </c>
      <c r="W132" t="s">
        <v>29</v>
      </c>
      <c r="X132" t="s">
        <v>602</v>
      </c>
      <c r="Y132">
        <f>HYPERLINK("https://images.diginfra.net/framed3.html?imagesetuuid=a6b973ba-587c-4902-9423-42544f6e97a0&amp;uri=https://images.diginfra.net/iiif/NL-HaNA_1.01.02/3766/NL-HaNA_1.01.02_3766_0798.jpg", "next_meeting_viewer_url")</f>
        <v/>
      </c>
      <c r="Z132">
        <f>HYPERLINK("https://images.diginfra.net/iiif/NL-HaNA_1.01.02/3766/NL-HaNA_1.01.02_3766_0798.jpg/3492,3075,886,463/full/0/default.jpg", "next_meeting_iiif_url")</f>
        <v/>
      </c>
    </row>
    <row r="133" spans="1:26">
      <c r="A133" t="s">
        <v>603</v>
      </c>
      <c r="B133" t="s">
        <v>63</v>
      </c>
      <c r="D133" t="b">
        <v>1</v>
      </c>
      <c r="E133" t="b">
        <v>0</v>
      </c>
      <c r="Q133">
        <f>HYPERLINK("None", "viewer_url")</f>
        <v/>
      </c>
      <c r="R133">
        <f>HYPERLINK("None", "iiif_url")</f>
        <v/>
      </c>
      <c r="S133" t="s">
        <v>33</v>
      </c>
      <c r="U133">
        <f>HYPERLINK("https://images.diginfra.net/framed3.html?imagesetuuid=dc1aea1e-5e7b-4d50-b913-c0d5902dbd85&amp;uri=https://images.diginfra.net/iiif/NL-HaNA_1.01.02/3760/NL-HaNA_1.01.02_3760_0384.jpg", "prev_meeting_viewer_url")</f>
        <v/>
      </c>
      <c r="V133">
        <f>HYPERLINK("https://images.diginfra.net/iiif/NL-HaNA_1.01.02/3760/NL-HaNA_1.01.02_3760_0384.jpg/1316,334,1076,3051/full/0/default.jpg", "prev_meeting_iiif_url")</f>
        <v/>
      </c>
      <c r="W133" t="s">
        <v>29</v>
      </c>
      <c r="X133" t="s">
        <v>604</v>
      </c>
      <c r="Y133">
        <f>HYPERLINK("https://images.diginfra.net/framed3.html?imagesetuuid=dc1aea1e-5e7b-4d50-b913-c0d5902dbd85&amp;uri=https://images.diginfra.net/iiif/NL-HaNA_1.01.02/3760/NL-HaNA_1.01.02_3760_0385.jpg", "next_meeting_viewer_url")</f>
        <v/>
      </c>
      <c r="Z133">
        <f>HYPERLINK("https://images.diginfra.net/iiif/NL-HaNA_1.01.02/3760/NL-HaNA_1.01.02_3760_0385.jpg/1300,1553,1080,1846/full/0/default.jpg", "next_meeting_iiif_url")</f>
        <v/>
      </c>
    </row>
    <row r="134" spans="1:26">
      <c r="A134" t="s">
        <v>605</v>
      </c>
      <c r="B134" t="s">
        <v>27</v>
      </c>
      <c r="D134" t="b">
        <v>0</v>
      </c>
      <c r="E134" t="b">
        <v>0</v>
      </c>
      <c r="I134" t="s">
        <v>606</v>
      </c>
      <c r="J134" t="n">
        <v>3853</v>
      </c>
      <c r="K134" t="n">
        <v>114</v>
      </c>
      <c r="L134" t="n">
        <v>226</v>
      </c>
      <c r="M134" t="n">
        <v>0</v>
      </c>
      <c r="N134" t="n">
        <v>2</v>
      </c>
      <c r="O134" t="n">
        <v>0</v>
      </c>
      <c r="P134" t="s">
        <v>29</v>
      </c>
      <c r="Q134">
        <f>HYPERLINK("https://images.diginfra.net/framed3.html?imagesetuuid=70af21ed-3dea-44e0-a125-396f50f1c89e&amp;uri=https://images.diginfra.net/iiif/NL-HaNA_1.01.02/3853/NL-HaNA_1.01.02_3853_0114.jpg", "viewer_url")</f>
        <v/>
      </c>
      <c r="R134">
        <f>HYPERLINK("https://images.diginfra.net/iiif/NL-HaNA_1.01.02/3853/NL-HaNA_1.01.02_3853_0114.jpg/314,1085,1082,2359/full/0/default.jpg", "iiif_url")</f>
        <v/>
      </c>
      <c r="S134" t="s">
        <v>29</v>
      </c>
      <c r="T134" t="s">
        <v>607</v>
      </c>
      <c r="U134">
        <f>HYPERLINK("https://images.diginfra.net/framed3.html?imagesetuuid=70af21ed-3dea-44e0-a125-396f50f1c89e&amp;uri=https://images.diginfra.net/iiif/NL-HaNA_1.01.02/3853/NL-HaNA_1.01.02_3853_0112.jpg", "prev_meeting_viewer_url")</f>
        <v/>
      </c>
      <c r="V134">
        <f>HYPERLINK("https://images.diginfra.net/iiif/NL-HaNA_1.01.02/3853/NL-HaNA_1.01.02_3853_0112.jpg/1261,1617,1080,1827/full/0/default.jpg", "prev_meeting_iiif_url")</f>
        <v/>
      </c>
      <c r="W134" t="s">
        <v>29</v>
      </c>
      <c r="X134" t="s">
        <v>608</v>
      </c>
      <c r="Y134">
        <f>HYPERLINK("https://images.diginfra.net/framed3.html?imagesetuuid=70af21ed-3dea-44e0-a125-396f50f1c89e&amp;uri=https://images.diginfra.net/iiif/NL-HaNA_1.01.02/3853/NL-HaNA_1.01.02_3853_0114.jpg", "next_meeting_viewer_url")</f>
        <v/>
      </c>
      <c r="Z134">
        <f>HYPERLINK("https://images.diginfra.net/iiif/NL-HaNA_1.01.02/3853/NL-HaNA_1.01.02_3853_0114.jpg/314,1085,1082,2359/full/0/default.jpg", "next_meeting_iiif_url")</f>
        <v/>
      </c>
    </row>
    <row r="135" spans="1:26">
      <c r="A135" t="s">
        <v>609</v>
      </c>
      <c r="B135" t="s">
        <v>76</v>
      </c>
      <c r="C135" t="s">
        <v>610</v>
      </c>
      <c r="D135" t="b">
        <v>1</v>
      </c>
      <c r="E135" t="b">
        <v>1</v>
      </c>
      <c r="I135" t="s">
        <v>611</v>
      </c>
      <c r="J135" t="n">
        <v>3817</v>
      </c>
      <c r="K135" t="n">
        <v>433</v>
      </c>
      <c r="L135" t="n">
        <v>865</v>
      </c>
      <c r="M135" t="n">
        <v>0</v>
      </c>
      <c r="N135" t="n">
        <v>0</v>
      </c>
      <c r="O135" t="n">
        <v>47</v>
      </c>
      <c r="P135" t="s">
        <v>33</v>
      </c>
      <c r="Q135">
        <f>HYPERLINK("https://images.diginfra.net/framed3.html?imagesetuuid=c13c7ed6-75ba-4433-9b44-0db683995fb3&amp;uri=https://images.diginfra.net/iiif/NL-HaNA_1.01.02/3817/NL-HaNA_1.01.02_3817_0433.jpg", "viewer_url")</f>
        <v/>
      </c>
      <c r="R135">
        <f>HYPERLINK("https://images.diginfra.net/iiif/NL-HaNA_1.01.02/3817/NL-HaNA_1.01.02_3817_0433.jpg/2314,2020,1106,1404/full/0/default.jpg", "iiif_url")</f>
        <v/>
      </c>
      <c r="S135" t="s">
        <v>29</v>
      </c>
      <c r="T135" t="s">
        <v>612</v>
      </c>
      <c r="U135">
        <f>HYPERLINK("https://images.diginfra.net/framed3.html?imagesetuuid=c13c7ed6-75ba-4433-9b44-0db683995fb3&amp;uri=https://images.diginfra.net/iiif/NL-HaNA_1.01.02/3817/NL-HaNA_1.01.02_3817_0432.jpg", "prev_meeting_viewer_url")</f>
        <v/>
      </c>
      <c r="V135">
        <f>HYPERLINK("https://images.diginfra.net/iiif/NL-HaNA_1.01.02/3817/NL-HaNA_1.01.02_3817_0432.jpg/2333,1713,1107,1663/full/0/default.jpg", "prev_meeting_iiif_url")</f>
        <v/>
      </c>
    </row>
    <row r="136" spans="1:26">
      <c r="A136" t="s">
        <v>613</v>
      </c>
      <c r="B136" t="s">
        <v>27</v>
      </c>
      <c r="D136" t="b">
        <v>0</v>
      </c>
      <c r="E136" t="b">
        <v>0</v>
      </c>
      <c r="I136" t="s">
        <v>614</v>
      </c>
      <c r="J136" t="n">
        <v>3813</v>
      </c>
      <c r="K136" t="n">
        <v>229</v>
      </c>
      <c r="L136" t="n">
        <v>456</v>
      </c>
      <c r="M136" t="n">
        <v>0</v>
      </c>
      <c r="N136" t="n">
        <v>1</v>
      </c>
      <c r="O136" t="n">
        <v>10</v>
      </c>
      <c r="P136" t="s">
        <v>33</v>
      </c>
      <c r="Q136">
        <f>HYPERLINK("https://images.diginfra.net/framed3.html?imagesetuuid=19a3f39b-117a-4ab7-b45b-5e134b099649&amp;uri=https://images.diginfra.net/iiif/NL-HaNA_1.01.02/3813/NL-HaNA_1.01.02_3813_0229.jpg", "viewer_url")</f>
        <v/>
      </c>
      <c r="R136">
        <f>HYPERLINK("https://images.diginfra.net/iiif/NL-HaNA_1.01.02/3813/NL-HaNA_1.01.02_3813_0229.jpg/388,1432,1041,1933/full/0/default.jpg", "iiif_url")</f>
        <v/>
      </c>
      <c r="S136" t="s">
        <v>29</v>
      </c>
      <c r="T136" t="s">
        <v>615</v>
      </c>
      <c r="U136">
        <f>HYPERLINK("https://images.diginfra.net/framed3.html?imagesetuuid=19a3f39b-117a-4ab7-b45b-5e134b099649&amp;uri=https://images.diginfra.net/iiif/NL-HaNA_1.01.02/3813/NL-HaNA_1.01.02_3813_0226.jpg", "prev_meeting_viewer_url")</f>
        <v/>
      </c>
      <c r="V136">
        <f>HYPERLINK("https://images.diginfra.net/iiif/NL-HaNA_1.01.02/3813/NL-HaNA_1.01.02_3813_0226.jpg/3388,256,1114,3078/full/0/default.jpg", "prev_meeting_iiif_url")</f>
        <v/>
      </c>
      <c r="W136" t="s">
        <v>33</v>
      </c>
      <c r="X136" t="s">
        <v>616</v>
      </c>
      <c r="Y136">
        <f>HYPERLINK("https://images.diginfra.net/framed3.html?imagesetuuid=19a3f39b-117a-4ab7-b45b-5e134b099649&amp;uri=https://images.diginfra.net/iiif/NL-HaNA_1.01.02/3813/NL-HaNA_1.01.02_3813_0229.jpg", "next_meeting_viewer_url")</f>
        <v/>
      </c>
      <c r="Z136">
        <f>HYPERLINK("https://images.diginfra.net/iiif/NL-HaNA_1.01.02/3813/NL-HaNA_1.01.02_3813_0229.jpg/388,1432,1041,1933/full/0/default.jpg", "next_meeting_iiif_url")</f>
        <v/>
      </c>
    </row>
    <row r="137" spans="1:26">
      <c r="A137" t="s">
        <v>617</v>
      </c>
      <c r="B137" t="s">
        <v>42</v>
      </c>
      <c r="C137" t="s">
        <v>618</v>
      </c>
      <c r="D137" t="b">
        <v>1</v>
      </c>
      <c r="E137" t="b">
        <v>1</v>
      </c>
      <c r="I137" t="s">
        <v>619</v>
      </c>
      <c r="J137" t="n">
        <v>3800</v>
      </c>
      <c r="K137" t="n">
        <v>395</v>
      </c>
      <c r="L137" t="n">
        <v>788</v>
      </c>
      <c r="M137" t="n">
        <v>0</v>
      </c>
      <c r="N137" t="n">
        <v>1</v>
      </c>
      <c r="O137" t="n">
        <v>0</v>
      </c>
      <c r="P137" t="s">
        <v>29</v>
      </c>
      <c r="Q137">
        <f>HYPERLINK("https://images.diginfra.net/framed3.html?imagesetuuid=a9adb8ed-3212-4745-a472-51257845b9e2&amp;uri=https://images.diginfra.net/iiif/NL-HaNA_1.01.02/3800/NL-HaNA_1.01.02_3800_0395.jpg", "viewer_url")</f>
        <v/>
      </c>
      <c r="R137">
        <f>HYPERLINK("https://images.diginfra.net/iiif/NL-HaNA_1.01.02/3800/NL-HaNA_1.01.02_3800_0395.jpg/287,481,1102,2931/full/0/default.jpg", "iiif_url")</f>
        <v/>
      </c>
      <c r="S137" t="s">
        <v>29</v>
      </c>
      <c r="T137" t="s">
        <v>620</v>
      </c>
      <c r="U137">
        <f>HYPERLINK("https://images.diginfra.net/framed3.html?imagesetuuid=a9adb8ed-3212-4745-a472-51257845b9e2&amp;uri=https://images.diginfra.net/iiif/NL-HaNA_1.01.02/3800/NL-HaNA_1.01.02_3800_0393.jpg", "prev_meeting_viewer_url")</f>
        <v/>
      </c>
      <c r="V137">
        <f>HYPERLINK("https://images.diginfra.net/iiif/NL-HaNA_1.01.02/3800/NL-HaNA_1.01.02_3800_0393.jpg/1228,1762,1085,1562/full/0/default.jpg", "prev_meeting_iiif_url")</f>
        <v/>
      </c>
      <c r="W137" t="s">
        <v>29</v>
      </c>
      <c r="X137" t="s">
        <v>621</v>
      </c>
      <c r="Y137">
        <f>HYPERLINK("https://images.diginfra.net/framed3.html?imagesetuuid=a9adb8ed-3212-4745-a472-51257845b9e2&amp;uri=https://images.diginfra.net/iiif/NL-HaNA_1.01.02/3800/NL-HaNA_1.01.02_3800_0396.jpg", "next_meeting_viewer_url")</f>
        <v/>
      </c>
      <c r="Z137">
        <f>HYPERLINK("https://images.diginfra.net/iiif/NL-HaNA_1.01.02/3800/NL-HaNA_1.01.02_3800_0396.jpg/1208,974,1120,2451/full/0/default.jpg", "next_meeting_iiif_url")</f>
        <v/>
      </c>
    </row>
    <row r="138" spans="1:26">
      <c r="A138" t="s">
        <v>622</v>
      </c>
      <c r="B138" t="s">
        <v>63</v>
      </c>
      <c r="C138" t="s">
        <v>623</v>
      </c>
      <c r="D138" t="b">
        <v>1</v>
      </c>
      <c r="E138" t="b">
        <v>1</v>
      </c>
      <c r="I138" t="s">
        <v>624</v>
      </c>
      <c r="J138" t="n">
        <v>3797</v>
      </c>
      <c r="K138" t="n">
        <v>359</v>
      </c>
      <c r="L138" t="n">
        <v>717</v>
      </c>
      <c r="M138" t="n">
        <v>0</v>
      </c>
      <c r="N138" t="n">
        <v>3</v>
      </c>
      <c r="O138" t="n">
        <v>0</v>
      </c>
      <c r="P138" t="s">
        <v>29</v>
      </c>
      <c r="Q138">
        <f>HYPERLINK("https://images.diginfra.net/framed3.html?imagesetuuid=02516f87-475f-4001-a332-8d96f5aecb93&amp;uri=https://images.diginfra.net/iiif/NL-HaNA_1.01.02/3797/NL-HaNA_1.01.02_3797_0359.jpg", "viewer_url")</f>
        <v/>
      </c>
      <c r="R138">
        <f>HYPERLINK("https://images.diginfra.net/iiif/NL-HaNA_1.01.02/3797/NL-HaNA_1.01.02_3797_0359.jpg/2559,2426,1030,908/full/0/default.jpg", "iiif_url")</f>
        <v/>
      </c>
      <c r="S138" t="s">
        <v>29</v>
      </c>
      <c r="T138" t="s">
        <v>625</v>
      </c>
      <c r="U138">
        <f>HYPERLINK("https://images.diginfra.net/framed3.html?imagesetuuid=02516f87-475f-4001-a332-8d96f5aecb93&amp;uri=https://images.diginfra.net/iiif/NL-HaNA_1.01.02/3797/NL-HaNA_1.01.02_3797_0346.jpg", "prev_meeting_viewer_url")</f>
        <v/>
      </c>
      <c r="V138">
        <f>HYPERLINK("https://images.diginfra.net/iiif/NL-HaNA_1.01.02/3797/NL-HaNA_1.01.02_3797_0346.jpg/2541,2838,964,506/full/0/default.jpg", "prev_meeting_iiif_url")</f>
        <v/>
      </c>
      <c r="W138" t="s">
        <v>29</v>
      </c>
      <c r="X138" t="s">
        <v>626</v>
      </c>
      <c r="Y138">
        <f>HYPERLINK("https://images.diginfra.net/framed3.html?imagesetuuid=02516f87-475f-4001-a332-8d96f5aecb93&amp;uri=https://images.diginfra.net/iiif/NL-HaNA_1.01.02/3797/NL-HaNA_1.01.02_3797_0360.jpg", "next_meeting_viewer_url")</f>
        <v/>
      </c>
      <c r="Z138">
        <f>HYPERLINK("https://images.diginfra.net/iiif/NL-HaNA_1.01.02/3797/NL-HaNA_1.01.02_3797_0360.jpg/1267,1323,1102,2011/full/0/default.jpg", "next_meeting_iiif_url")</f>
        <v/>
      </c>
    </row>
    <row r="139" spans="1:26">
      <c r="A139" t="s">
        <v>627</v>
      </c>
      <c r="B139" t="s">
        <v>53</v>
      </c>
      <c r="C139" t="s">
        <v>628</v>
      </c>
      <c r="D139" t="b">
        <v>1</v>
      </c>
      <c r="E139" t="b">
        <v>1</v>
      </c>
      <c r="I139" t="s">
        <v>629</v>
      </c>
      <c r="J139" t="n">
        <v>3803</v>
      </c>
      <c r="K139" t="n">
        <v>358</v>
      </c>
      <c r="L139" t="n">
        <v>714</v>
      </c>
      <c r="M139" t="n">
        <v>1</v>
      </c>
      <c r="N139" t="n">
        <v>2</v>
      </c>
      <c r="O139" t="n">
        <v>0</v>
      </c>
      <c r="P139" t="s">
        <v>29</v>
      </c>
      <c r="Q139">
        <f>HYPERLINK("https://images.diginfra.net/framed3.html?imagesetuuid=38df7783-1913-47c1-b96e-bdb08c6574dc&amp;uri=https://images.diginfra.net/iiif/NL-HaNA_1.01.02/3803/NL-HaNA_1.01.02_3803_0358.jpg", "viewer_url")</f>
        <v/>
      </c>
      <c r="R139">
        <f>HYPERLINK("https://images.diginfra.net/iiif/NL-HaNA_1.01.02/3803/NL-HaNA_1.01.02_3803_0358.jpg/1174,1441,1101,1905/full/0/default.jpg", "iiif_url")</f>
        <v/>
      </c>
      <c r="S139" t="s">
        <v>29</v>
      </c>
      <c r="T139" t="s">
        <v>84</v>
      </c>
      <c r="U139">
        <f>HYPERLINK("https://images.diginfra.net/framed3.html?imagesetuuid=38df7783-1913-47c1-b96e-bdb08c6574dc&amp;uri=https://images.diginfra.net/iiif/NL-HaNA_1.01.02/3803/NL-HaNA_1.01.02_3803_0358.jpg", "prev_meeting_viewer_url")</f>
        <v/>
      </c>
      <c r="V139">
        <f>HYPERLINK("https://images.diginfra.net/iiif/NL-HaNA_1.01.02/3803/NL-HaNA_1.01.02_3803_0358.jpg/224,1574,1093,1794/full/0/default.jpg", "prev_meeting_iiif_url")</f>
        <v/>
      </c>
      <c r="W139" t="s">
        <v>29</v>
      </c>
      <c r="X139" t="s">
        <v>630</v>
      </c>
      <c r="Y139">
        <f>HYPERLINK("https://images.diginfra.net/framed3.html?imagesetuuid=38df7783-1913-47c1-b96e-bdb08c6574dc&amp;uri=https://images.diginfra.net/iiif/NL-HaNA_1.01.02/3803/NL-HaNA_1.01.02_3803_0360.jpg", "next_meeting_viewer_url")</f>
        <v/>
      </c>
      <c r="Z139">
        <f>HYPERLINK("https://images.diginfra.net/iiif/NL-HaNA_1.01.02/3803/NL-HaNA_1.01.02_3803_0360.jpg/3307,1212,1098,2190/full/0/default.jpg", "next_meeting_iiif_url")</f>
        <v/>
      </c>
    </row>
    <row r="140" spans="1:26">
      <c r="A140" t="s">
        <v>631</v>
      </c>
      <c r="B140" t="s">
        <v>48</v>
      </c>
      <c r="D140" t="b">
        <v>0</v>
      </c>
      <c r="E140" t="b">
        <v>0</v>
      </c>
      <c r="I140" t="s">
        <v>632</v>
      </c>
      <c r="J140" t="n">
        <v>3776</v>
      </c>
      <c r="K140" t="n">
        <v>110</v>
      </c>
      <c r="L140" t="n">
        <v>219</v>
      </c>
      <c r="M140" t="n">
        <v>1</v>
      </c>
      <c r="N140" t="n">
        <v>1</v>
      </c>
      <c r="O140" t="n">
        <v>0</v>
      </c>
      <c r="P140" t="s">
        <v>29</v>
      </c>
      <c r="Q140">
        <f>HYPERLINK("https://images.diginfra.net/framed3.html?imagesetuuid=cce3dc39-04f4-4d57-b3db-fdf0a2653e66&amp;uri=https://images.diginfra.net/iiif/NL-HaNA_1.01.02/3776/NL-HaNA_1.01.02_3776_0110.jpg", "viewer_url")</f>
        <v/>
      </c>
      <c r="R140">
        <f>HYPERLINK("https://images.diginfra.net/iiif/NL-HaNA_1.01.02/3776/NL-HaNA_1.01.02_3776_0110.jpg/3559,2523,1035,827/full/0/default.jpg", "iiif_url")</f>
        <v/>
      </c>
      <c r="S140" t="s">
        <v>29</v>
      </c>
      <c r="T140" t="s">
        <v>633</v>
      </c>
      <c r="U140">
        <f>HYPERLINK("https://images.diginfra.net/framed3.html?imagesetuuid=cce3dc39-04f4-4d57-b3db-fdf0a2653e66&amp;uri=https://images.diginfra.net/iiif/NL-HaNA_1.01.02/3776/NL-HaNA_1.01.02_3776_0109.jpg", "prev_meeting_viewer_url")</f>
        <v/>
      </c>
      <c r="V140">
        <f>HYPERLINK("https://images.diginfra.net/iiif/NL-HaNA_1.01.02/3776/NL-HaNA_1.01.02_3776_0109.jpg/349,493,1098,2917/full/0/default.jpg", "prev_meeting_iiif_url")</f>
        <v/>
      </c>
      <c r="W140" t="s">
        <v>29</v>
      </c>
      <c r="X140" t="s">
        <v>634</v>
      </c>
      <c r="Y140">
        <f>HYPERLINK("https://images.diginfra.net/framed3.html?imagesetuuid=cce3dc39-04f4-4d57-b3db-fdf0a2653e66&amp;uri=https://images.diginfra.net/iiif/NL-HaNA_1.01.02/3776/NL-HaNA_1.01.02_3776_0110.jpg", "next_meeting_viewer_url")</f>
        <v/>
      </c>
      <c r="Z140">
        <f>HYPERLINK("https://images.diginfra.net/iiif/NL-HaNA_1.01.02/3776/NL-HaNA_1.01.02_3776_0110.jpg/3559,2523,1035,827/full/0/default.jpg", "next_meeting_iiif_url")</f>
        <v/>
      </c>
    </row>
    <row r="141" spans="1:26">
      <c r="A141" t="s">
        <v>635</v>
      </c>
      <c r="B141" t="s">
        <v>53</v>
      </c>
      <c r="C141" t="s">
        <v>636</v>
      </c>
      <c r="D141" t="b">
        <v>1</v>
      </c>
      <c r="E141" t="b">
        <v>1</v>
      </c>
      <c r="I141" t="s">
        <v>637</v>
      </c>
      <c r="J141" t="n">
        <v>3829</v>
      </c>
      <c r="K141" t="n">
        <v>445</v>
      </c>
      <c r="L141" t="n">
        <v>889</v>
      </c>
      <c r="M141" t="n">
        <v>2</v>
      </c>
      <c r="N141" t="n">
        <v>1</v>
      </c>
      <c r="O141" t="n">
        <v>0</v>
      </c>
      <c r="P141" t="s">
        <v>29</v>
      </c>
      <c r="Q141">
        <f>HYPERLINK("https://images.diginfra.net/framed3.html?imagesetuuid=4a630f3a-34aa-4b1a-92d1-c32d4455e96f&amp;uri=https://images.diginfra.net/iiif/NL-HaNA_1.01.02/3829/NL-HaNA_1.01.02_3829_0445.jpg", "viewer_url")</f>
        <v/>
      </c>
      <c r="R141">
        <f>HYPERLINK("https://images.diginfra.net/iiif/NL-HaNA_1.01.02/3829/NL-HaNA_1.01.02_3829_0445.jpg/3397,2058,1029,1187/full/0/default.jpg", "iiif_url")</f>
        <v/>
      </c>
      <c r="S141" t="s">
        <v>29</v>
      </c>
      <c r="T141" t="s">
        <v>638</v>
      </c>
      <c r="U141">
        <f>HYPERLINK("https://images.diginfra.net/framed3.html?imagesetuuid=4a630f3a-34aa-4b1a-92d1-c32d4455e96f&amp;uri=https://images.diginfra.net/iiif/NL-HaNA_1.01.02/3829/NL-HaNA_1.01.02_3829_0445.jpg", "prev_meeting_viewer_url")</f>
        <v/>
      </c>
      <c r="V141">
        <f>HYPERLINK("https://images.diginfra.net/iiif/NL-HaNA_1.01.02/3829/NL-HaNA_1.01.02_3829_0445.jpg/2363,695,1099,2654/full/0/default.jpg", "prev_meeting_iiif_url")</f>
        <v/>
      </c>
      <c r="W141" t="s">
        <v>29</v>
      </c>
      <c r="X141" t="s">
        <v>639</v>
      </c>
      <c r="Y141">
        <f>HYPERLINK("https://images.diginfra.net/framed3.html?imagesetuuid=4a630f3a-34aa-4b1a-92d1-c32d4455e96f&amp;uri=https://images.diginfra.net/iiif/NL-HaNA_1.01.02/3829/NL-HaNA_1.01.02_3829_0448.jpg", "next_meeting_viewer_url")</f>
        <v/>
      </c>
      <c r="Z141">
        <f>HYPERLINK("https://images.diginfra.net/iiif/NL-HaNA_1.01.02/3829/NL-HaNA_1.01.02_3829_0448.jpg/1189,1060,1095,2324/full/0/default.jpg", "next_meeting_iiif_url")</f>
        <v/>
      </c>
    </row>
    <row r="142" spans="1:26">
      <c r="A142" t="s">
        <v>640</v>
      </c>
      <c r="B142" t="s">
        <v>37</v>
      </c>
      <c r="C142" t="s">
        <v>641</v>
      </c>
      <c r="D142" t="b">
        <v>1</v>
      </c>
      <c r="E142" t="b">
        <v>1</v>
      </c>
      <c r="I142" t="s">
        <v>642</v>
      </c>
      <c r="J142" t="n">
        <v>3804</v>
      </c>
      <c r="K142" t="n">
        <v>198</v>
      </c>
      <c r="L142" t="n">
        <v>395</v>
      </c>
      <c r="M142" t="n">
        <v>1</v>
      </c>
      <c r="N142" t="n">
        <v>0</v>
      </c>
      <c r="O142" t="n">
        <v>10</v>
      </c>
      <c r="P142" t="s">
        <v>29</v>
      </c>
      <c r="Q142">
        <f>HYPERLINK("https://images.diginfra.net/framed3.html?imagesetuuid=278358e3-85df-45df-a4c3-0043ae8e62fa&amp;uri=https://images.diginfra.net/iiif/NL-HaNA_1.01.02/3804/NL-HaNA_1.01.02_3804_0198.jpg", "viewer_url")</f>
        <v/>
      </c>
      <c r="R142">
        <f>HYPERLINK("https://images.diginfra.net/iiif/NL-HaNA_1.01.02/3804/NL-HaNA_1.01.02_3804_0198.jpg/3360,709,1108,2646/full/0/default.jpg", "iiif_url")</f>
        <v/>
      </c>
      <c r="S142" t="s">
        <v>29</v>
      </c>
      <c r="T142" t="s">
        <v>643</v>
      </c>
      <c r="U142">
        <f>HYPERLINK("https://images.diginfra.net/framed3.html?imagesetuuid=278358e3-85df-45df-a4c3-0043ae8e62fa&amp;uri=https://images.diginfra.net/iiif/NL-HaNA_1.01.02/3804/NL-HaNA_1.01.02_3804_0196.jpg", "prev_meeting_viewer_url")</f>
        <v/>
      </c>
      <c r="V142">
        <f>HYPERLINK("https://images.diginfra.net/iiif/NL-HaNA_1.01.02/3804/NL-HaNA_1.01.02_3804_0196.jpg/3350,559,1096,2802/full/0/default.jpg", "prev_meeting_iiif_url")</f>
        <v/>
      </c>
      <c r="W142" t="s">
        <v>29</v>
      </c>
      <c r="X142" t="s">
        <v>644</v>
      </c>
      <c r="Y142">
        <f>HYPERLINK("https://images.diginfra.net/framed3.html?imagesetuuid=278358e3-85df-45df-a4c3-0043ae8e62fa&amp;uri=https://images.diginfra.net/iiif/NL-HaNA_1.01.02/3804/NL-HaNA_1.01.02_3804_0202.jpg", "next_meeting_viewer_url")</f>
        <v/>
      </c>
      <c r="Z142">
        <f>HYPERLINK("https://images.diginfra.net/iiif/NL-HaNA_1.01.02/3804/NL-HaNA_1.01.02_3804_0202.jpg/1298,2824,1037,601/full/0/default.jpg", "next_meeting_iiif_url")</f>
        <v/>
      </c>
    </row>
    <row r="143" spans="1:26">
      <c r="A143" t="s">
        <v>645</v>
      </c>
      <c r="B143" t="s">
        <v>48</v>
      </c>
      <c r="D143" t="b">
        <v>0</v>
      </c>
      <c r="E143" t="b">
        <v>0</v>
      </c>
      <c r="I143" t="s">
        <v>646</v>
      </c>
      <c r="J143" t="n">
        <v>3794</v>
      </c>
      <c r="K143" t="n">
        <v>394</v>
      </c>
      <c r="L143" t="n">
        <v>786</v>
      </c>
      <c r="M143" t="n">
        <v>1</v>
      </c>
      <c r="N143" t="n">
        <v>2</v>
      </c>
      <c r="O143" t="n">
        <v>0</v>
      </c>
      <c r="P143" t="s">
        <v>29</v>
      </c>
      <c r="Q143">
        <f>HYPERLINK("https://images.diginfra.net/framed3.html?imagesetuuid=5debb5c6-ae39-480e-845e-6e10690f8984&amp;uri=https://images.diginfra.net/iiif/NL-HaNA_1.01.02/3794/NL-HaNA_1.01.02_3794_0394.jpg", "viewer_url")</f>
        <v/>
      </c>
      <c r="R143">
        <f>HYPERLINK("https://images.diginfra.net/iiif/NL-HaNA_1.01.02/3794/NL-HaNA_1.01.02_3794_0394.jpg/1265,1639,1103,1836/full/0/default.jpg", "iiif_url")</f>
        <v/>
      </c>
      <c r="S143" t="s">
        <v>29</v>
      </c>
      <c r="T143" t="s">
        <v>647</v>
      </c>
      <c r="U143">
        <f>HYPERLINK("https://images.diginfra.net/framed3.html?imagesetuuid=5debb5c6-ae39-480e-845e-6e10690f8984&amp;uri=https://images.diginfra.net/iiif/NL-HaNA_1.01.02/3794/NL-HaNA_1.01.02_3794_0394.jpg", "prev_meeting_viewer_url")</f>
        <v/>
      </c>
      <c r="V143">
        <f>HYPERLINK("https://images.diginfra.net/iiif/NL-HaNA_1.01.02/3794/NL-HaNA_1.01.02_3794_0394.jpg/337,1970,1078,1499/full/0/default.jpg", "prev_meeting_iiif_url")</f>
        <v/>
      </c>
      <c r="W143" t="s">
        <v>29</v>
      </c>
      <c r="X143" t="s">
        <v>648</v>
      </c>
      <c r="Y143">
        <f>HYPERLINK("https://images.diginfra.net/framed3.html?imagesetuuid=5debb5c6-ae39-480e-845e-6e10690f8984&amp;uri=https://images.diginfra.net/iiif/NL-HaNA_1.01.02/3794/NL-HaNA_1.01.02_3794_0394.jpg", "next_meeting_viewer_url")</f>
        <v/>
      </c>
      <c r="Z143">
        <f>HYPERLINK("https://images.diginfra.net/iiif/NL-HaNA_1.01.02/3794/NL-HaNA_1.01.02_3794_0394.jpg/1265,1639,1103,1836/full/0/default.jpg", "next_meeting_iiif_url")</f>
        <v/>
      </c>
    </row>
    <row r="144" spans="1:26">
      <c r="A144" t="s">
        <v>649</v>
      </c>
      <c r="B144" t="s">
        <v>42</v>
      </c>
      <c r="C144" t="s">
        <v>650</v>
      </c>
      <c r="D144" t="b">
        <v>1</v>
      </c>
      <c r="E144" t="b">
        <v>1</v>
      </c>
      <c r="I144" t="s">
        <v>651</v>
      </c>
      <c r="J144" t="n">
        <v>3819</v>
      </c>
      <c r="K144" t="n">
        <v>125</v>
      </c>
      <c r="L144" t="n">
        <v>249</v>
      </c>
      <c r="M144" t="n">
        <v>0</v>
      </c>
      <c r="N144" t="n">
        <v>2</v>
      </c>
      <c r="O144" t="n">
        <v>0</v>
      </c>
      <c r="P144" t="s">
        <v>29</v>
      </c>
      <c r="Q144">
        <f>HYPERLINK("https://images.diginfra.net/framed3.html?imagesetuuid=711b4f86-3dbd-47ca-af9d-52eb1c30bc58&amp;uri=https://images.diginfra.net/iiif/NL-HaNA_1.01.02/3819/NL-HaNA_1.01.02_3819_0125.jpg", "viewer_url")</f>
        <v/>
      </c>
      <c r="R144">
        <f>HYPERLINK("https://images.diginfra.net/iiif/NL-HaNA_1.01.02/3819/NL-HaNA_1.01.02_3819_0125.jpg/2518,2905,796,388/full/0/default.jpg", "iiif_url")</f>
        <v/>
      </c>
      <c r="S144" t="s">
        <v>29</v>
      </c>
      <c r="T144" t="s">
        <v>652</v>
      </c>
      <c r="U144">
        <f>HYPERLINK("https://images.diginfra.net/framed3.html?imagesetuuid=711b4f86-3dbd-47ca-af9d-52eb1c30bc58&amp;uri=https://images.diginfra.net/iiif/NL-HaNA_1.01.02/3819/NL-HaNA_1.01.02_3819_0123.jpg", "prev_meeting_viewer_url")</f>
        <v/>
      </c>
      <c r="V144">
        <f>HYPERLINK("https://images.diginfra.net/iiif/NL-HaNA_1.01.02/3819/NL-HaNA_1.01.02_3819_0123.jpg/292,1876,1029,1423/full/0/default.jpg", "prev_meeting_iiif_url")</f>
        <v/>
      </c>
      <c r="W144" t="s">
        <v>29</v>
      </c>
      <c r="X144" t="s">
        <v>653</v>
      </c>
      <c r="Y144">
        <f>HYPERLINK("https://images.diginfra.net/framed3.html?imagesetuuid=711b4f86-3dbd-47ca-af9d-52eb1c30bc58&amp;uri=https://images.diginfra.net/iiif/NL-HaNA_1.01.02/3819/NL-HaNA_1.01.02_3819_0127.jpg", "next_meeting_viewer_url")</f>
        <v/>
      </c>
      <c r="Z144">
        <f>HYPERLINK("https://images.diginfra.net/iiif/NL-HaNA_1.01.02/3819/NL-HaNA_1.01.02_3819_0127.jpg/260,1861,1091,1519/full/0/default.jpg", "next_meeting_iiif_url")</f>
        <v/>
      </c>
    </row>
    <row r="145" spans="1:26">
      <c r="A145" t="s">
        <v>654</v>
      </c>
      <c r="B145" t="s">
        <v>53</v>
      </c>
      <c r="C145" t="s">
        <v>655</v>
      </c>
      <c r="D145" t="b">
        <v>1</v>
      </c>
      <c r="E145" t="b">
        <v>1</v>
      </c>
      <c r="I145" t="s">
        <v>656</v>
      </c>
      <c r="J145" t="n">
        <v>3787</v>
      </c>
      <c r="K145" t="n">
        <v>377</v>
      </c>
      <c r="L145" t="n">
        <v>752</v>
      </c>
      <c r="M145" t="n">
        <v>1</v>
      </c>
      <c r="N145" t="n">
        <v>1</v>
      </c>
      <c r="O145" t="n">
        <v>0</v>
      </c>
      <c r="P145" t="s">
        <v>29</v>
      </c>
      <c r="Q145">
        <f>HYPERLINK("https://images.diginfra.net/framed3.html?imagesetuuid=db7b00f7-0cd1-4078-9123-41ccf17bd821&amp;uri=https://images.diginfra.net/iiif/NL-HaNA_1.01.02/3787/NL-HaNA_1.01.02_3787_0377.jpg", "viewer_url")</f>
        <v/>
      </c>
      <c r="R145">
        <f>HYPERLINK("https://images.diginfra.net/iiif/NL-HaNA_1.01.02/3787/NL-HaNA_1.01.02_3787_0377.jpg/1130,1318,1110,2084/full/0/default.jpg", "iiif_url")</f>
        <v/>
      </c>
      <c r="S145" t="s">
        <v>29</v>
      </c>
      <c r="T145" t="s">
        <v>657</v>
      </c>
      <c r="U145">
        <f>HYPERLINK("https://images.diginfra.net/framed3.html?imagesetuuid=db7b00f7-0cd1-4078-9123-41ccf17bd821&amp;uri=https://images.diginfra.net/iiif/NL-HaNA_1.01.02/3787/NL-HaNA_1.01.02_3787_0376.jpg", "prev_meeting_viewer_url")</f>
        <v/>
      </c>
      <c r="V145">
        <f>HYPERLINK("https://images.diginfra.net/iiif/NL-HaNA_1.01.02/3787/NL-HaNA_1.01.02_3787_0376.jpg/2382,1301,1080,2134/full/0/default.jpg", "prev_meeting_iiif_url")</f>
        <v/>
      </c>
      <c r="W145" t="s">
        <v>29</v>
      </c>
      <c r="X145" t="s">
        <v>658</v>
      </c>
      <c r="Y145">
        <f>HYPERLINK("https://images.diginfra.net/framed3.html?imagesetuuid=db7b00f7-0cd1-4078-9123-41ccf17bd821&amp;uri=https://images.diginfra.net/iiif/NL-HaNA_1.01.02/3787/NL-HaNA_1.01.02_3787_0379.jpg", "next_meeting_viewer_url")</f>
        <v/>
      </c>
      <c r="Z145">
        <f>HYPERLINK("https://images.diginfra.net/iiif/NL-HaNA_1.01.02/3787/NL-HaNA_1.01.02_3787_0379.jpg/1148,1798,1102,1629/full/0/default.jpg", "next_meeting_iiif_url")</f>
        <v/>
      </c>
    </row>
    <row r="146" spans="1:26">
      <c r="A146" t="s">
        <v>659</v>
      </c>
      <c r="B146" t="s">
        <v>53</v>
      </c>
      <c r="C146" t="s">
        <v>660</v>
      </c>
      <c r="D146" t="b">
        <v>1</v>
      </c>
      <c r="E146" t="b">
        <v>1</v>
      </c>
      <c r="I146" t="s">
        <v>661</v>
      </c>
      <c r="J146" t="n">
        <v>3839</v>
      </c>
      <c r="K146" t="n">
        <v>244</v>
      </c>
      <c r="L146" t="n">
        <v>486</v>
      </c>
      <c r="M146" t="n">
        <v>0</v>
      </c>
      <c r="N146" t="n">
        <v>1</v>
      </c>
      <c r="O146" t="n">
        <v>26</v>
      </c>
      <c r="P146" t="s">
        <v>29</v>
      </c>
      <c r="Q146">
        <f>HYPERLINK("https://images.diginfra.net/framed3.html?imagesetuuid=bd074b51-3206-4dd9-b65b-2a404481d480&amp;uri=https://images.diginfra.net/iiif/NL-HaNA_1.01.02/3839/NL-HaNA_1.01.02_3839_0244.jpg", "viewer_url")</f>
        <v/>
      </c>
      <c r="R146">
        <f>HYPERLINK("https://images.diginfra.net/iiif/NL-HaNA_1.01.02/3839/NL-HaNA_1.01.02_3839_0244.jpg/237,2098,1048,1283/full/0/default.jpg", "iiif_url")</f>
        <v/>
      </c>
      <c r="S146" t="s">
        <v>29</v>
      </c>
      <c r="T146" t="s">
        <v>662</v>
      </c>
      <c r="U146">
        <f>HYPERLINK("https://images.diginfra.net/framed3.html?imagesetuuid=bd074b51-3206-4dd9-b65b-2a404481d480&amp;uri=https://images.diginfra.net/iiif/NL-HaNA_1.01.02/3839/NL-HaNA_1.01.02_3839_0243.jpg", "prev_meeting_viewer_url")</f>
        <v/>
      </c>
      <c r="V146">
        <f>HYPERLINK("https://images.diginfra.net/iiif/NL-HaNA_1.01.02/3839/NL-HaNA_1.01.02_3839_0243.jpg/1201,1897,1070,1407/full/0/default.jpg", "prev_meeting_iiif_url")</f>
        <v/>
      </c>
      <c r="W146" t="s">
        <v>33</v>
      </c>
      <c r="X146" t="s">
        <v>663</v>
      </c>
      <c r="Y146">
        <f>HYPERLINK("https://images.diginfra.net/framed3.html?imagesetuuid=bd074b51-3206-4dd9-b65b-2a404481d480&amp;uri=https://images.diginfra.net/iiif/NL-HaNA_1.01.02/3839/NL-HaNA_1.01.02_3839_0245.jpg", "next_meeting_viewer_url")</f>
        <v/>
      </c>
      <c r="Z146">
        <f>HYPERLINK("https://images.diginfra.net/iiif/NL-HaNA_1.01.02/3839/NL-HaNA_1.01.02_3839_0245.jpg/1173,1296,1102,2139/full/0/default.jpg", "next_meeting_iiif_url")</f>
        <v/>
      </c>
    </row>
    <row r="147" spans="1:26">
      <c r="A147" t="s">
        <v>664</v>
      </c>
      <c r="B147" t="s">
        <v>27</v>
      </c>
      <c r="C147" t="s">
        <v>665</v>
      </c>
      <c r="D147" t="b">
        <v>1</v>
      </c>
      <c r="E147" t="b">
        <v>1</v>
      </c>
      <c r="I147" t="s">
        <v>666</v>
      </c>
      <c r="J147" t="n">
        <v>3763</v>
      </c>
      <c r="K147" t="n">
        <v>105</v>
      </c>
      <c r="L147" t="n">
        <v>209</v>
      </c>
      <c r="M147" t="n">
        <v>0</v>
      </c>
      <c r="N147" t="n">
        <v>1</v>
      </c>
      <c r="O147" t="n">
        <v>0</v>
      </c>
      <c r="P147" t="s">
        <v>29</v>
      </c>
      <c r="Q147">
        <f>HYPERLINK("https://images.diginfra.net/framed3.html?imagesetuuid=168ac05c-00de-43e1-bb35-d8e406b92363&amp;uri=https://images.diginfra.net/iiif/NL-HaNA_1.01.02/3763/NL-HaNA_1.01.02_3763_0105.jpg", "viewer_url")</f>
        <v/>
      </c>
      <c r="R147">
        <f>HYPERLINK("https://images.diginfra.net/iiif/NL-HaNA_1.01.02/3763/NL-HaNA_1.01.02_3763_0105.jpg/2337,1943,1088,1424/full/0/default.jpg", "iiif_url")</f>
        <v/>
      </c>
      <c r="S147" t="s">
        <v>29</v>
      </c>
      <c r="T147" t="s">
        <v>667</v>
      </c>
      <c r="U147">
        <f>HYPERLINK("https://images.diginfra.net/framed3.html?imagesetuuid=168ac05c-00de-43e1-bb35-d8e406b92363&amp;uri=https://images.diginfra.net/iiif/NL-HaNA_1.01.02/3763/NL-HaNA_1.01.02_3763_0104.jpg", "prev_meeting_viewer_url")</f>
        <v/>
      </c>
      <c r="V147">
        <f>HYPERLINK("https://images.diginfra.net/iiif/NL-HaNA_1.01.02/3763/NL-HaNA_1.01.02_3763_0104.jpg/2324,1034,1094,2292/full/0/default.jpg", "prev_meeting_iiif_url")</f>
        <v/>
      </c>
      <c r="W147" t="s">
        <v>29</v>
      </c>
      <c r="X147" t="s">
        <v>668</v>
      </c>
      <c r="Y147">
        <f>HYPERLINK("https://images.diginfra.net/framed3.html?imagesetuuid=168ac05c-00de-43e1-bb35-d8e406b92363&amp;uri=https://images.diginfra.net/iiif/NL-HaNA_1.01.02/3763/NL-HaNA_1.01.02_3763_0108.jpg", "next_meeting_viewer_url")</f>
        <v/>
      </c>
      <c r="Z147">
        <f>HYPERLINK("https://images.diginfra.net/iiif/NL-HaNA_1.01.02/3763/NL-HaNA_1.01.02_3763_0108.jpg/1211,1243,1096,2145/full/0/default.jpg", "next_meeting_iiif_url")</f>
        <v/>
      </c>
    </row>
    <row r="148" spans="1:26">
      <c r="A148" t="s">
        <v>669</v>
      </c>
      <c r="B148" t="s">
        <v>76</v>
      </c>
      <c r="C148" t="s">
        <v>670</v>
      </c>
      <c r="D148" t="b">
        <v>1</v>
      </c>
      <c r="E148" t="b">
        <v>1</v>
      </c>
      <c r="I148" t="s">
        <v>671</v>
      </c>
      <c r="J148" t="n">
        <v>3832</v>
      </c>
      <c r="K148" t="n">
        <v>94</v>
      </c>
      <c r="L148" t="n">
        <v>187</v>
      </c>
      <c r="M148" t="n">
        <v>1</v>
      </c>
      <c r="N148" t="n">
        <v>1</v>
      </c>
      <c r="O148" t="n">
        <v>0</v>
      </c>
      <c r="P148" t="s">
        <v>29</v>
      </c>
      <c r="Q148">
        <f>HYPERLINK("https://images.diginfra.net/framed3.html?imagesetuuid=e4d299a2-71b5-40fc-b329-60132fadd11f&amp;uri=https://images.diginfra.net/iiif/NL-HaNA_1.01.02/3832/NL-HaNA_1.01.02_3832_0094.jpg", "viewer_url")</f>
        <v/>
      </c>
      <c r="R148">
        <f>HYPERLINK("https://images.diginfra.net/iiif/NL-HaNA_1.01.02/3832/NL-HaNA_1.01.02_3832_0094.jpg/3292,530,1082,2786/full/0/default.jpg", "iiif_url")</f>
        <v/>
      </c>
      <c r="S148" t="s">
        <v>29</v>
      </c>
      <c r="T148" t="s">
        <v>672</v>
      </c>
      <c r="U148">
        <f>HYPERLINK("https://images.diginfra.net/framed3.html?imagesetuuid=e4d299a2-71b5-40fc-b329-60132fadd11f&amp;uri=https://images.diginfra.net/iiif/NL-HaNA_1.01.02/3832/NL-HaNA_1.01.02_3832_0093.jpg", "prev_meeting_viewer_url")</f>
        <v/>
      </c>
      <c r="V148">
        <f>HYPERLINK("https://images.diginfra.net/iiif/NL-HaNA_1.01.02/3832/NL-HaNA_1.01.02_3832_0093.jpg/1185,2531,1060,902/full/0/default.jpg", "prev_meeting_iiif_url")</f>
        <v/>
      </c>
      <c r="W148" t="s">
        <v>29</v>
      </c>
      <c r="X148" t="s">
        <v>673</v>
      </c>
      <c r="Y148">
        <f>HYPERLINK("https://images.diginfra.net/framed3.html?imagesetuuid=e4d299a2-71b5-40fc-b329-60132fadd11f&amp;uri=https://images.diginfra.net/iiif/NL-HaNA_1.01.02/3832/NL-HaNA_1.01.02_3832_0098.jpg", "next_meeting_viewer_url")</f>
        <v/>
      </c>
      <c r="Z148">
        <f>HYPERLINK("https://images.diginfra.net/iiif/NL-HaNA_1.01.02/3832/NL-HaNA_1.01.02_3832_0098.jpg/274,1587,1082,1781/full/0/default.jpg", "next_meeting_iiif_url")</f>
        <v/>
      </c>
    </row>
    <row r="149" spans="1:26">
      <c r="A149" t="s">
        <v>674</v>
      </c>
      <c r="B149" t="s">
        <v>53</v>
      </c>
      <c r="C149" t="s">
        <v>675</v>
      </c>
      <c r="D149" t="b">
        <v>1</v>
      </c>
      <c r="E149" t="b">
        <v>1</v>
      </c>
      <c r="I149" t="s">
        <v>676</v>
      </c>
      <c r="J149" t="n">
        <v>3858</v>
      </c>
      <c r="K149" t="n">
        <v>266</v>
      </c>
      <c r="L149" t="n">
        <v>531</v>
      </c>
      <c r="M149" t="n">
        <v>0</v>
      </c>
      <c r="N149" t="n">
        <v>2</v>
      </c>
      <c r="O149" t="n">
        <v>0</v>
      </c>
      <c r="P149" t="s">
        <v>29</v>
      </c>
      <c r="Q149">
        <f>HYPERLINK("https://images.diginfra.net/framed3.html?imagesetuuid=667a361b-2da9-4c45-8d66-09c8b98015ec&amp;uri=https://images.diginfra.net/iiif/NL-HaNA_1.01.02/3858/NL-HaNA_1.01.02_3858_0266.jpg", "viewer_url")</f>
        <v/>
      </c>
      <c r="R149">
        <f>HYPERLINK("https://images.diginfra.net/iiif/NL-HaNA_1.01.02/3858/NL-HaNA_1.01.02_3858_0266.jpg/3266,2319,1006,1075/full/0/default.jpg", "iiif_url")</f>
        <v/>
      </c>
      <c r="S149" t="s">
        <v>29</v>
      </c>
      <c r="T149" t="s">
        <v>677</v>
      </c>
      <c r="U149">
        <f>HYPERLINK("https://images.diginfra.net/framed3.html?imagesetuuid=667a361b-2da9-4c45-8d66-09c8b98015ec&amp;uri=https://images.diginfra.net/iiif/NL-HaNA_1.01.02/3858/NL-HaNA_1.01.02_3858_0264.jpg", "prev_meeting_viewer_url")</f>
        <v/>
      </c>
      <c r="V149">
        <f>HYPERLINK("https://images.diginfra.net/iiif/NL-HaNA_1.01.02/3858/NL-HaNA_1.01.02_3858_0264.jpg/3260,2176,1020,1267/full/0/default.jpg", "prev_meeting_iiif_url")</f>
        <v/>
      </c>
      <c r="W149" t="s">
        <v>29</v>
      </c>
      <c r="X149" t="s">
        <v>678</v>
      </c>
      <c r="Y149">
        <f>HYPERLINK("https://images.diginfra.net/framed3.html?imagesetuuid=667a361b-2da9-4c45-8d66-09c8b98015ec&amp;uri=https://images.diginfra.net/iiif/NL-HaNA_1.01.02/3858/NL-HaNA_1.01.02_3858_0267.jpg", "next_meeting_viewer_url")</f>
        <v/>
      </c>
      <c r="Z149">
        <f>HYPERLINK("https://images.diginfra.net/iiif/NL-HaNA_1.01.02/3858/NL-HaNA_1.01.02_3858_0267.jpg/3319,2096,1011,1308/full/0/default.jpg", "next_meeting_iiif_url")</f>
        <v/>
      </c>
    </row>
    <row r="150" spans="1:26">
      <c r="A150" t="s">
        <v>679</v>
      </c>
      <c r="B150" t="s">
        <v>48</v>
      </c>
      <c r="D150" t="b">
        <v>0</v>
      </c>
      <c r="E150" t="b">
        <v>0</v>
      </c>
      <c r="I150" t="s">
        <v>680</v>
      </c>
      <c r="J150" t="n">
        <v>3802</v>
      </c>
      <c r="K150" t="n">
        <v>177</v>
      </c>
      <c r="L150" t="n">
        <v>353</v>
      </c>
      <c r="M150" t="n">
        <v>0</v>
      </c>
      <c r="N150" t="n">
        <v>1</v>
      </c>
      <c r="O150" t="n">
        <v>0</v>
      </c>
      <c r="P150" t="s">
        <v>29</v>
      </c>
      <c r="Q150">
        <f>HYPERLINK("https://images.diginfra.net/framed3.html?imagesetuuid=42a0dd68-0122-4267-985e-43a657deae45&amp;uri=https://images.diginfra.net/iiif/NL-HaNA_1.01.02/3802/NL-HaNA_1.01.02_3802_0177.jpg", "viewer_url")</f>
        <v/>
      </c>
      <c r="R150">
        <f>HYPERLINK("https://images.diginfra.net/iiif/NL-HaNA_1.01.02/3802/NL-HaNA_1.01.02_3802_0177.jpg/2462,2388,1078,1010/full/0/default.jpg", "iiif_url")</f>
        <v/>
      </c>
      <c r="W150" t="s">
        <v>29</v>
      </c>
      <c r="X150" t="s">
        <v>681</v>
      </c>
      <c r="Y150">
        <f>HYPERLINK("https://images.diginfra.net/framed3.html?imagesetuuid=42a0dd68-0122-4267-985e-43a657deae45&amp;uri=https://images.diginfra.net/iiif/NL-HaNA_1.01.02/3802/NL-HaNA_1.01.02_3802_0177.jpg", "next_meeting_viewer_url")</f>
        <v/>
      </c>
      <c r="Z150">
        <f>HYPERLINK("https://images.diginfra.net/iiif/NL-HaNA_1.01.02/3802/NL-HaNA_1.01.02_3802_0177.jpg/2462,2388,1078,1010/full/0/default.jpg", "next_meeting_iiif_url")</f>
        <v/>
      </c>
    </row>
    <row r="151" spans="1:26">
      <c r="A151" t="s">
        <v>682</v>
      </c>
      <c r="B151" t="s">
        <v>37</v>
      </c>
      <c r="C151" t="s">
        <v>566</v>
      </c>
      <c r="D151" t="b">
        <v>1</v>
      </c>
      <c r="E151" t="b">
        <v>1</v>
      </c>
      <c r="I151" t="s">
        <v>683</v>
      </c>
      <c r="J151" t="n">
        <v>3818</v>
      </c>
      <c r="K151" t="n">
        <v>187</v>
      </c>
      <c r="L151" t="n">
        <v>372</v>
      </c>
      <c r="M151" t="n">
        <v>0</v>
      </c>
      <c r="N151" t="n">
        <v>1</v>
      </c>
      <c r="O151" t="n">
        <v>0</v>
      </c>
      <c r="P151" t="s">
        <v>29</v>
      </c>
      <c r="Q151">
        <f>HYPERLINK("https://images.diginfra.net/framed3.html?imagesetuuid=0a2b2b00-4d8f-4694-bcd4-866d49afa989&amp;uri=https://images.diginfra.net/iiif/NL-HaNA_1.01.02/3818/NL-HaNA_1.01.02_3818_0187.jpg", "viewer_url")</f>
        <v/>
      </c>
      <c r="R151">
        <f>HYPERLINK("https://images.diginfra.net/iiif/NL-HaNA_1.01.02/3818/NL-HaNA_1.01.02_3818_0187.jpg/253,521,1094,2895/full/0/default.jpg", "iiif_url")</f>
        <v/>
      </c>
      <c r="S151" t="s">
        <v>29</v>
      </c>
      <c r="T151" t="s">
        <v>563</v>
      </c>
      <c r="U151">
        <f>HYPERLINK("https://images.diginfra.net/framed3.html?imagesetuuid=0a2b2b00-4d8f-4694-bcd4-866d49afa989&amp;uri=https://images.diginfra.net/iiif/NL-HaNA_1.01.02/3818/NL-HaNA_1.01.02_3818_0182.jpg", "prev_meeting_viewer_url")</f>
        <v/>
      </c>
      <c r="V151">
        <f>HYPERLINK("https://images.diginfra.net/iiif/NL-HaNA_1.01.02/3818/NL-HaNA_1.01.02_3818_0182.jpg/1211,1033,1113,2337/full/0/default.jpg", "prev_meeting_iiif_url")</f>
        <v/>
      </c>
      <c r="W151" t="s">
        <v>29</v>
      </c>
      <c r="X151" t="s">
        <v>684</v>
      </c>
      <c r="Y151">
        <f>HYPERLINK("https://images.diginfra.net/framed3.html?imagesetuuid=0a2b2b00-4d8f-4694-bcd4-866d49afa989&amp;uri=https://images.diginfra.net/iiif/NL-HaNA_1.01.02/3818/NL-HaNA_1.01.02_3818_0189.jpg", "next_meeting_viewer_url")</f>
        <v/>
      </c>
      <c r="Z151">
        <f>HYPERLINK("https://images.diginfra.net/iiif/NL-HaNA_1.01.02/3818/NL-HaNA_1.01.02_3818_0189.jpg/1216,2178,1092,1243/full/0/default.jpg", "next_meeting_iiif_url")</f>
        <v/>
      </c>
    </row>
    <row r="152" spans="1:26">
      <c r="A152" t="s">
        <v>685</v>
      </c>
      <c r="B152" t="s">
        <v>48</v>
      </c>
      <c r="D152" t="b">
        <v>0</v>
      </c>
      <c r="E152" t="b">
        <v>0</v>
      </c>
      <c r="I152" t="s">
        <v>686</v>
      </c>
      <c r="J152" t="n">
        <v>3796</v>
      </c>
      <c r="K152" t="n">
        <v>114</v>
      </c>
      <c r="L152" t="n">
        <v>226</v>
      </c>
      <c r="M152" t="n">
        <v>0</v>
      </c>
      <c r="N152" t="n">
        <v>1</v>
      </c>
      <c r="O152" t="n">
        <v>0</v>
      </c>
      <c r="P152" t="s">
        <v>29</v>
      </c>
      <c r="Q152">
        <f>HYPERLINK("https://images.diginfra.net/framed3.html?imagesetuuid=ece8f80b-0549-4e73-82ff-af47ed8525ac&amp;uri=https://images.diginfra.net/iiif/NL-HaNA_1.01.02/3796/NL-HaNA_1.01.02_3796_0114.jpg", "viewer_url")</f>
        <v/>
      </c>
      <c r="R152">
        <f>HYPERLINK("https://images.diginfra.net/iiif/NL-HaNA_1.01.02/3796/NL-HaNA_1.01.02_3796_0114.jpg/382,450,1084,2946/full/0/default.jpg", "iiif_url")</f>
        <v/>
      </c>
      <c r="S152" t="s">
        <v>29</v>
      </c>
      <c r="T152" t="s">
        <v>687</v>
      </c>
      <c r="U152">
        <f>HYPERLINK("https://images.diginfra.net/framed3.html?imagesetuuid=ece8f80b-0549-4e73-82ff-af47ed8525ac&amp;uri=https://images.diginfra.net/iiif/NL-HaNA_1.01.02/3796/NL-HaNA_1.01.02_3796_0112.jpg", "prev_meeting_viewer_url")</f>
        <v/>
      </c>
      <c r="V152">
        <f>HYPERLINK("https://images.diginfra.net/iiif/NL-HaNA_1.01.02/3796/NL-HaNA_1.01.02_3796_0112.jpg/3431,2479,1023,885/full/0/default.jpg", "prev_meeting_iiif_url")</f>
        <v/>
      </c>
      <c r="W152" t="s">
        <v>29</v>
      </c>
      <c r="X152" t="s">
        <v>688</v>
      </c>
      <c r="Y152">
        <f>HYPERLINK("https://images.diginfra.net/framed3.html?imagesetuuid=ece8f80b-0549-4e73-82ff-af47ed8525ac&amp;uri=https://images.diginfra.net/iiif/NL-HaNA_1.01.02/3796/NL-HaNA_1.01.02_3796_0114.jpg", "next_meeting_viewer_url")</f>
        <v/>
      </c>
      <c r="Z152">
        <f>HYPERLINK("https://images.diginfra.net/iiif/NL-HaNA_1.01.02/3796/NL-HaNA_1.01.02_3796_0114.jpg/382,450,1084,2946/full/0/default.jpg", "next_meeting_iiif_url")</f>
        <v/>
      </c>
    </row>
    <row r="153" spans="1:26">
      <c r="A153" t="s">
        <v>689</v>
      </c>
      <c r="B153" t="s">
        <v>63</v>
      </c>
      <c r="C153" t="s">
        <v>690</v>
      </c>
      <c r="D153" t="b">
        <v>1</v>
      </c>
      <c r="E153" t="b">
        <v>1</v>
      </c>
      <c r="I153" t="s">
        <v>691</v>
      </c>
      <c r="J153" t="n">
        <v>3820</v>
      </c>
      <c r="K153" t="n">
        <v>217</v>
      </c>
      <c r="L153" t="n">
        <v>433</v>
      </c>
      <c r="M153" t="n">
        <v>0</v>
      </c>
      <c r="N153" t="n">
        <v>1</v>
      </c>
      <c r="O153" t="n">
        <v>0</v>
      </c>
      <c r="P153" t="s">
        <v>29</v>
      </c>
      <c r="Q153">
        <f>HYPERLINK("https://images.diginfra.net/framed3.html?imagesetuuid=06387344-f6be-4f89-be7c-57105578c47e&amp;uri=https://images.diginfra.net/iiif/NL-HaNA_1.01.02/3820/NL-HaNA_1.01.02_3820_0217.jpg", "viewer_url")</f>
        <v/>
      </c>
      <c r="R153">
        <f>HYPERLINK("https://images.diginfra.net/iiif/NL-HaNA_1.01.02/3820/NL-HaNA_1.01.02_3820_0217.jpg/2317,2035,996,1299/full/0/default.jpg", "iiif_url")</f>
        <v/>
      </c>
      <c r="W153" t="s">
        <v>29</v>
      </c>
      <c r="X153" t="s">
        <v>692</v>
      </c>
      <c r="Y153">
        <f>HYPERLINK("https://images.diginfra.net/framed3.html?imagesetuuid=06387344-f6be-4f89-be7c-57105578c47e&amp;uri=https://images.diginfra.net/iiif/NL-HaNA_1.01.02/3820/NL-HaNA_1.01.02_3820_0218.jpg", "next_meeting_viewer_url")</f>
        <v/>
      </c>
      <c r="Z153">
        <f>HYPERLINK("https://images.diginfra.net/iiif/NL-HaNA_1.01.02/3820/NL-HaNA_1.01.02_3820_0218.jpg/3233,2279,1036,1152/full/0/default.jpg", "next_meeting_iiif_url")</f>
        <v/>
      </c>
    </row>
    <row r="154" spans="1:26">
      <c r="A154" t="s">
        <v>693</v>
      </c>
      <c r="B154" t="s">
        <v>63</v>
      </c>
      <c r="C154" t="s">
        <v>694</v>
      </c>
      <c r="D154" t="b">
        <v>1</v>
      </c>
      <c r="E154" t="b">
        <v>1</v>
      </c>
      <c r="I154" t="s">
        <v>695</v>
      </c>
      <c r="J154" t="n">
        <v>3760</v>
      </c>
      <c r="K154" t="n">
        <v>613</v>
      </c>
      <c r="L154" t="n">
        <v>1224</v>
      </c>
      <c r="M154" t="n">
        <v>0</v>
      </c>
      <c r="N154" t="n">
        <v>1</v>
      </c>
      <c r="O154" t="n">
        <v>1</v>
      </c>
      <c r="P154" t="s">
        <v>29</v>
      </c>
      <c r="Q154">
        <f>HYPERLINK("https://images.diginfra.net/framed3.html?imagesetuuid=dc1aea1e-5e7b-4d50-b913-c0d5902dbd85&amp;uri=https://images.diginfra.net/iiif/NL-HaNA_1.01.02/3760/NL-HaNA_1.01.02_3760_0613.jpg", "viewer_url")</f>
        <v/>
      </c>
      <c r="R154">
        <f>HYPERLINK("https://images.diginfra.net/iiif/NL-HaNA_1.01.02/3760/NL-HaNA_1.01.02_3760_0613.jpg/321,915,1101,2436/full/0/default.jpg", "iiif_url")</f>
        <v/>
      </c>
      <c r="S154" t="s">
        <v>29</v>
      </c>
      <c r="T154" t="s">
        <v>696</v>
      </c>
      <c r="U154">
        <f>HYPERLINK("https://images.diginfra.net/framed3.html?imagesetuuid=dc1aea1e-5e7b-4d50-b913-c0d5902dbd85&amp;uri=https://images.diginfra.net/iiif/NL-HaNA_1.01.02/3760/NL-HaNA_1.01.02_3760_0612.jpg", "prev_meeting_viewer_url")</f>
        <v/>
      </c>
      <c r="V154">
        <f>HYPERLINK("https://images.diginfra.net/iiif/NL-HaNA_1.01.02/3760/NL-HaNA_1.01.02_3760_0612.jpg/1292,2485,1047,835/full/0/default.jpg", "prev_meeting_iiif_url")</f>
        <v/>
      </c>
      <c r="W154" t="s">
        <v>29</v>
      </c>
      <c r="X154" t="s">
        <v>697</v>
      </c>
      <c r="Y154">
        <f>HYPERLINK("https://images.diginfra.net/framed3.html?imagesetuuid=dc1aea1e-5e7b-4d50-b913-c0d5902dbd85&amp;uri=https://images.diginfra.net/iiif/NL-HaNA_1.01.02/3760/NL-HaNA_1.01.02_3760_0617.jpg", "next_meeting_viewer_url")</f>
        <v/>
      </c>
      <c r="Z154">
        <f>HYPERLINK("https://images.diginfra.net/iiif/NL-HaNA_1.01.02/3760/NL-HaNA_1.01.02_3760_0617.jpg/331,804,1104,2582/full/0/default.jpg", "next_meeting_iiif_url")</f>
        <v/>
      </c>
    </row>
    <row r="155" spans="1:26">
      <c r="A155" t="s">
        <v>698</v>
      </c>
      <c r="B155" t="s">
        <v>27</v>
      </c>
      <c r="D155" t="b">
        <v>1</v>
      </c>
      <c r="E155" t="b">
        <v>1</v>
      </c>
      <c r="I155" t="s">
        <v>699</v>
      </c>
      <c r="J155" t="n">
        <v>3781</v>
      </c>
      <c r="K155" t="n">
        <v>475</v>
      </c>
      <c r="L155" t="n">
        <v>949</v>
      </c>
      <c r="M155" t="n">
        <v>1</v>
      </c>
      <c r="N155" t="n">
        <v>1</v>
      </c>
      <c r="O155" t="n">
        <v>1</v>
      </c>
      <c r="P155" t="s">
        <v>29</v>
      </c>
      <c r="Q155">
        <f>HYPERLINK("https://images.diginfra.net/framed3.html?imagesetuuid=7806433b-7f26-4d4e-8e76-37d108a188de&amp;uri=https://images.diginfra.net/iiif/NL-HaNA_1.01.02/3781/NL-HaNA_1.01.02_3781_0475.jpg", "viewer_url")</f>
        <v/>
      </c>
      <c r="R155">
        <f>HYPERLINK("https://images.diginfra.net/iiif/NL-HaNA_1.01.02/3781/NL-HaNA_1.01.02_3781_0475.jpg/3435,723,1133,2713/full/0/default.jpg", "iiif_url")</f>
        <v/>
      </c>
      <c r="S155" t="s">
        <v>29</v>
      </c>
      <c r="T155" t="s">
        <v>700</v>
      </c>
      <c r="U155">
        <f>HYPERLINK("https://images.diginfra.net/framed3.html?imagesetuuid=7806433b-7f26-4d4e-8e76-37d108a188de&amp;uri=https://images.diginfra.net/iiif/NL-HaNA_1.01.02/3781/NL-HaNA_1.01.02_3781_0474.jpg", "prev_meeting_viewer_url")</f>
        <v/>
      </c>
      <c r="V155">
        <f>HYPERLINK("https://images.diginfra.net/iiif/NL-HaNA_1.01.02/3781/NL-HaNA_1.01.02_3781_0474.jpg/3420,1151,1111,2256/full/0/default.jpg", "prev_meeting_iiif_url")</f>
        <v/>
      </c>
      <c r="W155" t="s">
        <v>33</v>
      </c>
      <c r="X155" t="s">
        <v>701</v>
      </c>
      <c r="Y155">
        <f>HYPERLINK("https://images.diginfra.net/framed3.html?imagesetuuid=7806433b-7f26-4d4e-8e76-37d108a188de&amp;uri=https://images.diginfra.net/iiif/NL-HaNA_1.01.02/3781/NL-HaNA_1.01.02_3781_0477.jpg", "next_meeting_viewer_url")</f>
        <v/>
      </c>
      <c r="Z155">
        <f>HYPERLINK("https://images.diginfra.net/iiif/NL-HaNA_1.01.02/3781/NL-HaNA_1.01.02_3781_0477.jpg/417,2556,1038,889/full/0/default.jpg", "next_meeting_iiif_url")</f>
        <v/>
      </c>
    </row>
    <row r="156" spans="1:26">
      <c r="A156" t="s">
        <v>702</v>
      </c>
      <c r="B156" t="s">
        <v>48</v>
      </c>
      <c r="D156" t="b">
        <v>0</v>
      </c>
      <c r="E156" t="b">
        <v>0</v>
      </c>
      <c r="I156" t="s">
        <v>703</v>
      </c>
      <c r="J156" t="n">
        <v>3813</v>
      </c>
      <c r="K156" t="n">
        <v>271</v>
      </c>
      <c r="L156" t="n">
        <v>541</v>
      </c>
      <c r="M156" t="n">
        <v>1</v>
      </c>
      <c r="N156" t="n">
        <v>1</v>
      </c>
      <c r="O156" t="n">
        <v>0</v>
      </c>
      <c r="P156" t="s">
        <v>29</v>
      </c>
      <c r="Q156">
        <f>HYPERLINK("https://images.diginfra.net/framed3.html?imagesetuuid=19a3f39b-117a-4ab7-b45b-5e134b099649&amp;uri=https://images.diginfra.net/iiif/NL-HaNA_1.01.02/3813/NL-HaNA_1.01.02_3813_0271.jpg", "viewer_url")</f>
        <v/>
      </c>
      <c r="R156">
        <f>HYPERLINK("https://images.diginfra.net/iiif/NL-HaNA_1.01.02/3813/NL-HaNA_1.01.02_3813_0271.jpg/3487,827,1108,2519/full/0/default.jpg", "iiif_url")</f>
        <v/>
      </c>
      <c r="S156" t="s">
        <v>29</v>
      </c>
      <c r="T156" t="s">
        <v>704</v>
      </c>
      <c r="U156">
        <f>HYPERLINK("https://images.diginfra.net/framed3.html?imagesetuuid=19a3f39b-117a-4ab7-b45b-5e134b099649&amp;uri=https://images.diginfra.net/iiif/NL-HaNA_1.01.02/3813/NL-HaNA_1.01.02_3813_0269.jpg", "prev_meeting_viewer_url")</f>
        <v/>
      </c>
      <c r="V156">
        <f>HYPERLINK("https://images.diginfra.net/iiif/NL-HaNA_1.01.02/3813/NL-HaNA_1.01.02_3813_0269.jpg/3483,1751,1091,1580/full/0/default.jpg", "prev_meeting_iiif_url")</f>
        <v/>
      </c>
      <c r="W156" t="s">
        <v>29</v>
      </c>
      <c r="X156" t="s">
        <v>705</v>
      </c>
      <c r="Y156">
        <f>HYPERLINK("https://images.diginfra.net/framed3.html?imagesetuuid=19a3f39b-117a-4ab7-b45b-5e134b099649&amp;uri=https://images.diginfra.net/iiif/NL-HaNA_1.01.02/3813/NL-HaNA_1.01.02_3813_0271.jpg", "next_meeting_viewer_url")</f>
        <v/>
      </c>
      <c r="Z156">
        <f>HYPERLINK("https://images.diginfra.net/iiif/NL-HaNA_1.01.02/3813/NL-HaNA_1.01.02_3813_0271.jpg/3487,827,1108,2519/full/0/default.jpg", "next_meeting_iiif_url")</f>
        <v/>
      </c>
    </row>
    <row r="157" spans="1:26">
      <c r="A157" t="s">
        <v>706</v>
      </c>
      <c r="B157" t="s">
        <v>63</v>
      </c>
      <c r="D157" t="b">
        <v>1</v>
      </c>
      <c r="E157" t="b">
        <v>0</v>
      </c>
      <c r="Q157">
        <f>HYPERLINK("None", "viewer_url")</f>
        <v/>
      </c>
      <c r="R157">
        <f>HYPERLINK("None", "iiif_url")</f>
        <v/>
      </c>
      <c r="S157" t="s">
        <v>33</v>
      </c>
      <c r="T157" t="s">
        <v>707</v>
      </c>
      <c r="U157">
        <f>HYPERLINK("https://images.diginfra.net/framed3.html?imagesetuuid=4dfc1a1b-8cdf-4492-b411-5e67950ce484&amp;uri=https://images.diginfra.net/iiif/NL-HaNA_1.01.02/3765/NL-HaNA_1.01.02_3765_0297.jpg", "prev_meeting_viewer_url")</f>
        <v/>
      </c>
      <c r="V157">
        <f>HYPERLINK("https://images.diginfra.net/iiif/NL-HaNA_1.01.02/3765/NL-HaNA_1.01.02_3765_0297.jpg/2569,3048,740,310/full/0/default.jpg", "prev_meeting_iiif_url")</f>
        <v/>
      </c>
      <c r="W157" t="s">
        <v>29</v>
      </c>
      <c r="X157" t="s">
        <v>708</v>
      </c>
      <c r="Y157">
        <f>HYPERLINK("https://images.diginfra.net/framed3.html?imagesetuuid=4dfc1a1b-8cdf-4492-b411-5e67950ce484&amp;uri=https://images.diginfra.net/iiif/NL-HaNA_1.01.02/3765/NL-HaNA_1.01.02_3765_0299.jpg", "next_meeting_viewer_url")</f>
        <v/>
      </c>
      <c r="Z157">
        <f>HYPERLINK("https://images.diginfra.net/iiif/NL-HaNA_1.01.02/3765/NL-HaNA_1.01.02_3765_0299.jpg/2440,2261,1045,1109/full/0/default.jpg", "next_meeting_iiif_url")</f>
        <v/>
      </c>
    </row>
    <row r="158" spans="1:26">
      <c r="A158" t="s">
        <v>709</v>
      </c>
      <c r="B158" t="s">
        <v>48</v>
      </c>
      <c r="D158" t="b">
        <v>0</v>
      </c>
      <c r="E158" t="b">
        <v>0</v>
      </c>
      <c r="I158" t="s">
        <v>710</v>
      </c>
      <c r="J158" t="n">
        <v>3822</v>
      </c>
      <c r="K158" t="n">
        <v>364</v>
      </c>
      <c r="L158" t="n">
        <v>727</v>
      </c>
      <c r="M158" t="n">
        <v>0</v>
      </c>
      <c r="N158" t="n">
        <v>0</v>
      </c>
      <c r="O158" t="n">
        <v>0</v>
      </c>
      <c r="P158" t="s">
        <v>29</v>
      </c>
      <c r="Q158">
        <f>HYPERLINK("https://images.diginfra.net/framed3.html?imagesetuuid=e0965315-891d-46c1-9dac-fc6b729921cf&amp;uri=https://images.diginfra.net/iiif/NL-HaNA_1.01.02/3822/NL-HaNA_1.01.02_3822_0364.jpg", "viewer_url")</f>
        <v/>
      </c>
      <c r="R158">
        <f>HYPERLINK("https://images.diginfra.net/iiif/NL-HaNA_1.01.02/3822/NL-HaNA_1.01.02_3822_0364.jpg/3199,285,1103,3088/full/0/default.jpg", "iiif_url")</f>
        <v/>
      </c>
      <c r="S158" t="s">
        <v>29</v>
      </c>
      <c r="T158" t="s">
        <v>711</v>
      </c>
      <c r="U158">
        <f>HYPERLINK("https://images.diginfra.net/framed3.html?imagesetuuid=e0965315-891d-46c1-9dac-fc6b729921cf&amp;uri=https://images.diginfra.net/iiif/NL-HaNA_1.01.02/3822/NL-HaNA_1.01.02_3822_0364.jpg", "prev_meeting_viewer_url")</f>
        <v/>
      </c>
      <c r="V158">
        <f>HYPERLINK("https://images.diginfra.net/iiif/NL-HaNA_1.01.02/3822/NL-HaNA_1.01.02_3822_0364.jpg/256,1631,1053,1613/full/0/default.jpg", "prev_meeting_iiif_url")</f>
        <v/>
      </c>
      <c r="W158" t="s">
        <v>29</v>
      </c>
      <c r="X158" t="s">
        <v>712</v>
      </c>
      <c r="Y158">
        <f>HYPERLINK("https://images.diginfra.net/framed3.html?imagesetuuid=e0965315-891d-46c1-9dac-fc6b729921cf&amp;uri=https://images.diginfra.net/iiif/NL-HaNA_1.01.02/3822/NL-HaNA_1.01.02_3822_0364.jpg", "next_meeting_viewer_url")</f>
        <v/>
      </c>
      <c r="Z158">
        <f>HYPERLINK("https://images.diginfra.net/iiif/NL-HaNA_1.01.02/3822/NL-HaNA_1.01.02_3822_0364.jpg/3199,285,1103,3088/full/0/default.jpg", "next_meeting_iiif_url")</f>
        <v/>
      </c>
    </row>
    <row r="159" spans="1:26">
      <c r="A159" t="s">
        <v>713</v>
      </c>
      <c r="B159" t="s">
        <v>27</v>
      </c>
      <c r="D159" t="b">
        <v>0</v>
      </c>
      <c r="E159" t="b">
        <v>0</v>
      </c>
      <c r="I159" t="s">
        <v>714</v>
      </c>
      <c r="J159" t="n">
        <v>3814</v>
      </c>
      <c r="K159" t="n">
        <v>385</v>
      </c>
      <c r="L159" t="n">
        <v>768</v>
      </c>
      <c r="M159" t="n">
        <v>1</v>
      </c>
      <c r="N159" t="n">
        <v>1</v>
      </c>
      <c r="O159" t="n">
        <v>30</v>
      </c>
      <c r="P159" t="s">
        <v>29</v>
      </c>
      <c r="Q159">
        <f>HYPERLINK("https://images.diginfra.net/framed3.html?imagesetuuid=a95427fd-d131-4f1b-a2ee-069d038f458a&amp;uri=https://images.diginfra.net/iiif/NL-HaNA_1.01.02/3814/NL-HaNA_1.01.02_3814_0385.jpg", "viewer_url")</f>
        <v/>
      </c>
      <c r="R159">
        <f>HYPERLINK("https://images.diginfra.net/iiif/NL-HaNA_1.01.02/3814/NL-HaNA_1.01.02_3814_0385.jpg/1282,2455,1049,837/full/0/default.jpg", "iiif_url")</f>
        <v/>
      </c>
      <c r="S159" t="s">
        <v>29</v>
      </c>
      <c r="T159" t="s">
        <v>715</v>
      </c>
      <c r="U159">
        <f>HYPERLINK("https://images.diginfra.net/framed3.html?imagesetuuid=a95427fd-d131-4f1b-a2ee-069d038f458a&amp;uri=https://images.diginfra.net/iiif/NL-HaNA_1.01.02/3814/NL-HaNA_1.01.02_3814_0384.jpg", "prev_meeting_viewer_url")</f>
        <v/>
      </c>
      <c r="V159">
        <f>HYPERLINK("https://images.diginfra.net/iiif/NL-HaNA_1.01.02/3814/NL-HaNA_1.01.02_3814_0384.jpg/1226,1105,1100,2196/full/0/default.jpg", "prev_meeting_iiif_url")</f>
        <v/>
      </c>
      <c r="W159" t="s">
        <v>29</v>
      </c>
      <c r="X159" t="s">
        <v>716</v>
      </c>
      <c r="Y159">
        <f>HYPERLINK("https://images.diginfra.net/framed3.html?imagesetuuid=a95427fd-d131-4f1b-a2ee-069d038f458a&amp;uri=https://images.diginfra.net/iiif/NL-HaNA_1.01.02/3814/NL-HaNA_1.01.02_3814_0385.jpg", "next_meeting_viewer_url")</f>
        <v/>
      </c>
      <c r="Z159">
        <f>HYPERLINK("https://images.diginfra.net/iiif/NL-HaNA_1.01.02/3814/NL-HaNA_1.01.02_3814_0385.jpg/1282,2455,1049,837/full/0/default.jpg", "next_meeting_iiif_url")</f>
        <v/>
      </c>
    </row>
    <row r="160" spans="1:26">
      <c r="A160" t="s">
        <v>717</v>
      </c>
      <c r="B160" t="s">
        <v>63</v>
      </c>
      <c r="C160" t="s">
        <v>718</v>
      </c>
      <c r="D160" t="b">
        <v>1</v>
      </c>
      <c r="E160" t="b">
        <v>1</v>
      </c>
      <c r="I160" t="s">
        <v>719</v>
      </c>
      <c r="J160" t="n">
        <v>3801</v>
      </c>
      <c r="K160" t="n">
        <v>286</v>
      </c>
      <c r="L160" t="n">
        <v>570</v>
      </c>
      <c r="M160" t="n">
        <v>0</v>
      </c>
      <c r="N160" t="n">
        <v>1</v>
      </c>
      <c r="O160" t="n">
        <v>0</v>
      </c>
      <c r="P160" t="s">
        <v>29</v>
      </c>
      <c r="Q160">
        <f>HYPERLINK("https://images.diginfra.net/framed3.html?imagesetuuid=f36c8416-59a8-4b1a-a82a-ef225cbd1971&amp;uri=https://images.diginfra.net/iiif/NL-HaNA_1.01.02/3801/NL-HaNA_1.01.02_3801_0286.jpg", "viewer_url")</f>
        <v/>
      </c>
      <c r="R160">
        <f>HYPERLINK("https://images.diginfra.net/iiif/NL-HaNA_1.01.02/3801/NL-HaNA_1.01.02_3801_0286.jpg/406,2580,1037,765/full/0/default.jpg", "iiif_url")</f>
        <v/>
      </c>
      <c r="S160" t="s">
        <v>29</v>
      </c>
      <c r="T160" t="s">
        <v>720</v>
      </c>
      <c r="U160">
        <f>HYPERLINK("https://images.diginfra.net/framed3.html?imagesetuuid=f36c8416-59a8-4b1a-a82a-ef225cbd1971&amp;uri=https://images.diginfra.net/iiif/NL-HaNA_1.01.02/3801/NL-HaNA_1.01.02_3801_0284.jpg", "prev_meeting_viewer_url")</f>
        <v/>
      </c>
      <c r="V160">
        <f>HYPERLINK("https://images.diginfra.net/iiif/NL-HaNA_1.01.02/3801/NL-HaNA_1.01.02_3801_0284.jpg/3430,1184,1105,2254/full/0/default.jpg", "prev_meeting_iiif_url")</f>
        <v/>
      </c>
      <c r="W160" t="s">
        <v>29</v>
      </c>
      <c r="X160" t="s">
        <v>721</v>
      </c>
      <c r="Y160">
        <f>HYPERLINK("https://images.diginfra.net/framed3.html?imagesetuuid=f36c8416-59a8-4b1a-a82a-ef225cbd1971&amp;uri=https://images.diginfra.net/iiif/NL-HaNA_1.01.02/3801/NL-HaNA_1.01.02_3801_0286.jpg", "next_meeting_viewer_url")</f>
        <v/>
      </c>
      <c r="Z160">
        <f>HYPERLINK("https://images.diginfra.net/iiif/NL-HaNA_1.01.02/3801/NL-HaNA_1.01.02_3801_0286.jpg/3510,2204,1046,1175/full/0/default.jpg", "next_meeting_iiif_url")</f>
        <v/>
      </c>
    </row>
    <row r="161" spans="1:26">
      <c r="A161" t="s">
        <v>722</v>
      </c>
      <c r="B161" t="s">
        <v>53</v>
      </c>
      <c r="C161" t="s">
        <v>723</v>
      </c>
      <c r="D161" t="b">
        <v>1</v>
      </c>
      <c r="E161" t="b">
        <v>1</v>
      </c>
      <c r="I161" t="s">
        <v>724</v>
      </c>
      <c r="J161" t="n">
        <v>3791</v>
      </c>
      <c r="K161" t="n">
        <v>202</v>
      </c>
      <c r="L161" t="n">
        <v>402</v>
      </c>
      <c r="M161" t="n">
        <v>1</v>
      </c>
      <c r="N161" t="n">
        <v>1</v>
      </c>
      <c r="O161" t="n">
        <v>0</v>
      </c>
      <c r="P161" t="s">
        <v>29</v>
      </c>
      <c r="Q161">
        <f>HYPERLINK("https://images.diginfra.net/framed3.html?imagesetuuid=e5198992-3bac-4cce-bc59-b70724ee426a&amp;uri=https://images.diginfra.net/iiif/NL-HaNA_1.01.02/3791/NL-HaNA_1.01.02_3791_0202.jpg", "viewer_url")</f>
        <v/>
      </c>
      <c r="R161">
        <f>HYPERLINK("https://images.diginfra.net/iiif/NL-HaNA_1.01.02/3791/NL-HaNA_1.01.02_3791_0202.jpg/1246,2849,1039,609/full/0/default.jpg", "iiif_url")</f>
        <v/>
      </c>
      <c r="S161" t="s">
        <v>29</v>
      </c>
      <c r="T161" t="s">
        <v>725</v>
      </c>
      <c r="U161">
        <f>HYPERLINK("https://images.diginfra.net/framed3.html?imagesetuuid=e5198992-3bac-4cce-bc59-b70724ee426a&amp;uri=https://images.diginfra.net/iiif/NL-HaNA_1.01.02/3791/NL-HaNA_1.01.02_3791_0201.jpg", "prev_meeting_viewer_url")</f>
        <v/>
      </c>
      <c r="V161">
        <f>HYPERLINK("https://images.diginfra.net/iiif/NL-HaNA_1.01.02/3791/NL-HaNA_1.01.02_3791_0201.jpg/3384,2819,1001,570/full/0/default.jpg", "prev_meeting_iiif_url")</f>
        <v/>
      </c>
      <c r="W161" t="s">
        <v>29</v>
      </c>
      <c r="X161" t="s">
        <v>726</v>
      </c>
      <c r="Y161">
        <f>HYPERLINK("https://images.diginfra.net/framed3.html?imagesetuuid=e5198992-3bac-4cce-bc59-b70724ee426a&amp;uri=https://images.diginfra.net/iiif/NL-HaNA_1.01.02/3791/NL-HaNA_1.01.02_3791_0203.jpg", "next_meeting_viewer_url")</f>
        <v/>
      </c>
      <c r="Z161">
        <f>HYPERLINK("https://images.diginfra.net/iiif/NL-HaNA_1.01.02/3791/NL-HaNA_1.01.02_3791_0203.jpg/2402,1787,1082,1603/full/0/default.jpg", "next_meeting_iiif_url")</f>
        <v/>
      </c>
    </row>
    <row r="162" spans="1:26">
      <c r="A162" t="s">
        <v>727</v>
      </c>
      <c r="B162" t="s">
        <v>27</v>
      </c>
      <c r="D162" t="b">
        <v>1</v>
      </c>
      <c r="E162" t="b">
        <v>0</v>
      </c>
      <c r="Q162">
        <f>HYPERLINK("None", "viewer_url")</f>
        <v/>
      </c>
      <c r="R162">
        <f>HYPERLINK("None", "iiif_url")</f>
        <v/>
      </c>
      <c r="S162" t="s">
        <v>33</v>
      </c>
      <c r="U162">
        <f>HYPERLINK("https://images.diginfra.net/framed3.html?imagesetuuid=db7b00f7-0cd1-4078-9123-41ccf17bd821&amp;uri=https://images.diginfra.net/iiif/NL-HaNA_1.01.02/3787/NL-HaNA_1.01.02_3787_0087.jpg", "prev_meeting_viewer_url")</f>
        <v/>
      </c>
      <c r="V162">
        <f>HYPERLINK("https://images.diginfra.net/iiif/NL-HaNA_1.01.02/3787/NL-HaNA_1.01.02_3787_0087.jpg/2398,413,1082,3047/full/0/default.jpg", "prev_meeting_iiif_url")</f>
        <v/>
      </c>
      <c r="W162" t="s">
        <v>29</v>
      </c>
      <c r="X162" t="s">
        <v>728</v>
      </c>
      <c r="Y162">
        <f>HYPERLINK("https://images.diginfra.net/framed3.html?imagesetuuid=db7b00f7-0cd1-4078-9123-41ccf17bd821&amp;uri=https://images.diginfra.net/iiif/NL-HaNA_1.01.02/3787/NL-HaNA_1.01.02_3787_0090.jpg", "next_meeting_viewer_url")</f>
        <v/>
      </c>
      <c r="Z162">
        <f>HYPERLINK("https://images.diginfra.net/iiif/NL-HaNA_1.01.02/3787/NL-HaNA_1.01.02_3787_0090.jpg/289,338,1086,3111/full/0/default.jpg", "next_meeting_iiif_url")</f>
        <v/>
      </c>
    </row>
    <row r="163" spans="1:26">
      <c r="A163" t="s">
        <v>729</v>
      </c>
      <c r="B163" t="s">
        <v>27</v>
      </c>
      <c r="C163" t="s">
        <v>730</v>
      </c>
      <c r="D163" t="b">
        <v>1</v>
      </c>
      <c r="E163" t="b">
        <v>1</v>
      </c>
      <c r="I163" t="s">
        <v>731</v>
      </c>
      <c r="J163" t="n">
        <v>3771</v>
      </c>
      <c r="K163" t="n">
        <v>38</v>
      </c>
      <c r="L163" t="n">
        <v>75</v>
      </c>
      <c r="M163" t="n">
        <v>0</v>
      </c>
      <c r="N163" t="n">
        <v>1</v>
      </c>
      <c r="O163" t="n">
        <v>0</v>
      </c>
      <c r="P163" t="s">
        <v>29</v>
      </c>
      <c r="Q163">
        <f>HYPERLINK("https://images.diginfra.net/framed3.html?imagesetuuid=16b7bf4c-5e05-4e5e-b109-cf178ead6c3f&amp;uri=https://images.diginfra.net/iiif/NL-HaNA_1.01.02/3771/NL-HaNA_1.01.02_3771_0038.jpg", "viewer_url")</f>
        <v/>
      </c>
      <c r="R163">
        <f>HYPERLINK("https://images.diginfra.net/iiif/NL-HaNA_1.01.02/3771/NL-HaNA_1.01.02_3771_0038.jpg/2489,607,1095,2823/full/0/default.jpg", "iiif_url")</f>
        <v/>
      </c>
      <c r="S163" t="s">
        <v>29</v>
      </c>
      <c r="T163" t="s">
        <v>732</v>
      </c>
      <c r="U163">
        <f>HYPERLINK("https://images.diginfra.net/framed3.html?imagesetuuid=16b7bf4c-5e05-4e5e-b109-cf178ead6c3f&amp;uri=https://images.diginfra.net/iiif/NL-HaNA_1.01.02/3771/NL-HaNA_1.01.02_3771_0036.jpg", "prev_meeting_viewer_url")</f>
        <v/>
      </c>
      <c r="V163">
        <f>HYPERLINK("https://images.diginfra.net/iiif/NL-HaNA_1.01.02/3771/NL-HaNA_1.01.02_3771_0036.jpg/2549,2375,1048,1114/full/0/default.jpg", "prev_meeting_iiif_url")</f>
        <v/>
      </c>
      <c r="W163" t="s">
        <v>29</v>
      </c>
      <c r="X163" t="s">
        <v>733</v>
      </c>
      <c r="Y163">
        <f>HYPERLINK("https://images.diginfra.net/framed3.html?imagesetuuid=16b7bf4c-5e05-4e5e-b109-cf178ead6c3f&amp;uri=https://images.diginfra.net/iiif/NL-HaNA_1.01.02/3771/NL-HaNA_1.01.02_3771_0042.jpg", "next_meeting_viewer_url")</f>
        <v/>
      </c>
      <c r="Z163">
        <f>HYPERLINK("https://images.diginfra.net/iiif/NL-HaNA_1.01.02/3771/NL-HaNA_1.01.02_3771_0042.jpg/259,319,1086,3123/full/0/default.jpg", "next_meeting_iiif_url")</f>
        <v/>
      </c>
    </row>
    <row r="164" spans="1:26">
      <c r="A164" t="s">
        <v>734</v>
      </c>
      <c r="B164" t="s">
        <v>63</v>
      </c>
      <c r="C164" t="s">
        <v>735</v>
      </c>
      <c r="D164" t="b">
        <v>1</v>
      </c>
      <c r="E164" t="b">
        <v>1</v>
      </c>
      <c r="I164" t="s">
        <v>736</v>
      </c>
      <c r="J164" t="n">
        <v>3830</v>
      </c>
      <c r="K164" t="n">
        <v>201</v>
      </c>
      <c r="L164" t="n">
        <v>400</v>
      </c>
      <c r="M164" t="n">
        <v>0</v>
      </c>
      <c r="N164" t="n">
        <v>0</v>
      </c>
      <c r="O164" t="n">
        <v>20</v>
      </c>
      <c r="P164" t="s">
        <v>29</v>
      </c>
      <c r="Q164">
        <f>HYPERLINK("https://images.diginfra.net/framed3.html?imagesetuuid=c4957ef5-1023-495b-ad5d-bfab5967cb29&amp;uri=https://images.diginfra.net/iiif/NL-HaNA_1.01.02/3830/NL-HaNA_1.01.02_3830_0201.jpg", "viewer_url")</f>
        <v/>
      </c>
      <c r="R164">
        <f>HYPERLINK("https://images.diginfra.net/iiif/NL-HaNA_1.01.02/3830/NL-HaNA_1.01.02_3830_0201.jpg/260,959,1093,2395/full/0/default.jpg", "iiif_url")</f>
        <v/>
      </c>
      <c r="S164" t="s">
        <v>29</v>
      </c>
      <c r="T164" t="s">
        <v>737</v>
      </c>
      <c r="U164">
        <f>HYPERLINK("https://images.diginfra.net/framed3.html?imagesetuuid=c4957ef5-1023-495b-ad5d-bfab5967cb29&amp;uri=https://images.diginfra.net/iiif/NL-HaNA_1.01.02/3830/NL-HaNA_1.01.02_3830_0200.jpg", "prev_meeting_viewer_url")</f>
        <v/>
      </c>
      <c r="V164">
        <f>HYPERLINK("https://images.diginfra.net/iiif/NL-HaNA_1.01.02/3830/NL-HaNA_1.01.02_3830_0200.jpg/1230,837,1078,2394/full/0/default.jpg", "prev_meeting_iiif_url")</f>
        <v/>
      </c>
      <c r="W164" t="s">
        <v>33</v>
      </c>
      <c r="X164" t="s">
        <v>738</v>
      </c>
      <c r="Y164">
        <f>HYPERLINK("https://images.diginfra.net/framed3.html?imagesetuuid=c4957ef5-1023-495b-ad5d-bfab5967cb29&amp;uri=https://images.diginfra.net/iiif/NL-HaNA_1.01.02/3830/NL-HaNA_1.01.02_3830_0202.jpg", "next_meeting_viewer_url")</f>
        <v/>
      </c>
      <c r="Z164">
        <f>HYPERLINK("https://images.diginfra.net/iiif/NL-HaNA_1.01.02/3830/NL-HaNA_1.01.02_3830_0202.jpg/2414,1557,1073,1808/full/0/default.jpg", "next_meeting_iiif_url")</f>
        <v/>
      </c>
    </row>
    <row r="165" spans="1:26">
      <c r="A165" t="s">
        <v>739</v>
      </c>
      <c r="B165" t="s">
        <v>48</v>
      </c>
      <c r="D165" t="b">
        <v>0</v>
      </c>
      <c r="E165" t="b">
        <v>0</v>
      </c>
      <c r="Q165">
        <f>HYPERLINK("None", "viewer_url")</f>
        <v/>
      </c>
      <c r="R165">
        <f>HYPERLINK("None", "iiif_url")</f>
        <v/>
      </c>
      <c r="S165" t="s">
        <v>29</v>
      </c>
      <c r="T165" t="s">
        <v>740</v>
      </c>
      <c r="U165">
        <f>HYPERLINK("https://images.diginfra.net/framed3.html?imagesetuuid=1a032cf9-834a-4330-9619-23e00357d062&amp;uri=https://images.diginfra.net/iiif/NL-HaNA_1.01.02/3847/NL-HaNA_1.01.02_3847_0341.jpg", "prev_meeting_viewer_url")</f>
        <v/>
      </c>
      <c r="V165">
        <f>HYPERLINK("https://images.diginfra.net/iiif/NL-HaNA_1.01.02/3847/NL-HaNA_1.01.02_3847_0341.jpg/398,2636,1011,804/full/0/default.jpg", "prev_meeting_iiif_url")</f>
        <v/>
      </c>
    </row>
    <row r="166" spans="1:26">
      <c r="A166" t="s">
        <v>741</v>
      </c>
      <c r="B166" t="s">
        <v>48</v>
      </c>
      <c r="D166" t="b">
        <v>0</v>
      </c>
      <c r="E166" t="b">
        <v>0</v>
      </c>
      <c r="I166" t="s">
        <v>742</v>
      </c>
      <c r="J166" t="n">
        <v>3855</v>
      </c>
      <c r="K166" t="n">
        <v>222</v>
      </c>
      <c r="L166" t="n">
        <v>443</v>
      </c>
      <c r="M166" t="n">
        <v>0</v>
      </c>
      <c r="N166" t="n">
        <v>1</v>
      </c>
      <c r="O166" t="n">
        <v>0</v>
      </c>
      <c r="P166" t="s">
        <v>29</v>
      </c>
      <c r="Q166">
        <f>HYPERLINK("https://images.diginfra.net/framed3.html?imagesetuuid=5244deb9-8f97-4a39-89ba-6da1d308b8f5&amp;uri=https://images.diginfra.net/iiif/NL-HaNA_1.01.02/3855/NL-HaNA_1.01.02_3855_0222.jpg", "viewer_url")</f>
        <v/>
      </c>
      <c r="R166">
        <f>HYPERLINK("https://images.diginfra.net/iiif/NL-HaNA_1.01.02/3855/NL-HaNA_1.01.02_3855_0222.jpg/2426,1396,1061,2033/full/0/default.jpg", "iiif_url")</f>
        <v/>
      </c>
      <c r="S166" t="s">
        <v>29</v>
      </c>
      <c r="T166" t="s">
        <v>743</v>
      </c>
      <c r="U166">
        <f>HYPERLINK("https://images.diginfra.net/framed3.html?imagesetuuid=5244deb9-8f97-4a39-89ba-6da1d308b8f5&amp;uri=https://images.diginfra.net/iiif/NL-HaNA_1.01.02/3855/NL-HaNA_1.01.02_3855_0218.jpg", "prev_meeting_viewer_url")</f>
        <v/>
      </c>
      <c r="V166">
        <f>HYPERLINK("https://images.diginfra.net/iiif/NL-HaNA_1.01.02/3855/NL-HaNA_1.01.02_3855_0218.jpg/1286,2544,1026,802/full/0/default.jpg", "prev_meeting_iiif_url")</f>
        <v/>
      </c>
      <c r="W166" t="s">
        <v>29</v>
      </c>
      <c r="X166" t="s">
        <v>744</v>
      </c>
      <c r="Y166">
        <f>HYPERLINK("https://images.diginfra.net/framed3.html?imagesetuuid=5244deb9-8f97-4a39-89ba-6da1d308b8f5&amp;uri=https://images.diginfra.net/iiif/NL-HaNA_1.01.02/3855/NL-HaNA_1.01.02_3855_0222.jpg", "next_meeting_viewer_url")</f>
        <v/>
      </c>
      <c r="Z166">
        <f>HYPERLINK("https://images.diginfra.net/iiif/NL-HaNA_1.01.02/3855/NL-HaNA_1.01.02_3855_0222.jpg/2426,1396,1061,2033/full/0/default.jpg", "next_meeting_iiif_url")</f>
        <v/>
      </c>
    </row>
    <row r="167" spans="1:26">
      <c r="A167" t="s">
        <v>745</v>
      </c>
      <c r="B167" t="s">
        <v>37</v>
      </c>
      <c r="C167" t="s">
        <v>746</v>
      </c>
      <c r="D167" t="b">
        <v>1</v>
      </c>
      <c r="E167" t="b">
        <v>1</v>
      </c>
      <c r="I167" t="s">
        <v>747</v>
      </c>
      <c r="J167" t="n">
        <v>3801</v>
      </c>
      <c r="K167" t="n">
        <v>327</v>
      </c>
      <c r="L167" t="n">
        <v>652</v>
      </c>
      <c r="M167" t="n">
        <v>1</v>
      </c>
      <c r="N167" t="n">
        <v>2</v>
      </c>
      <c r="O167" t="n">
        <v>0</v>
      </c>
      <c r="P167" t="s">
        <v>29</v>
      </c>
      <c r="Q167">
        <f>HYPERLINK("https://images.diginfra.net/framed3.html?imagesetuuid=f36c8416-59a8-4b1a-a82a-ef225cbd1971&amp;uri=https://images.diginfra.net/iiif/NL-HaNA_1.01.02/3801/NL-HaNA_1.01.02_3801_0327.jpg", "viewer_url")</f>
        <v/>
      </c>
      <c r="R167">
        <f>HYPERLINK("https://images.diginfra.net/iiif/NL-HaNA_1.01.02/3801/NL-HaNA_1.01.02_3801_0327.jpg/1249,1677,1092,1663/full/0/default.jpg", "iiif_url")</f>
        <v/>
      </c>
      <c r="S167" t="s">
        <v>29</v>
      </c>
      <c r="T167" t="s">
        <v>748</v>
      </c>
      <c r="U167">
        <f>HYPERLINK("https://images.diginfra.net/framed3.html?imagesetuuid=f36c8416-59a8-4b1a-a82a-ef225cbd1971&amp;uri=https://images.diginfra.net/iiif/NL-HaNA_1.01.02/3801/NL-HaNA_1.01.02_3801_0324.jpg", "prev_meeting_viewer_url")</f>
        <v/>
      </c>
      <c r="V167">
        <f>HYPERLINK("https://images.diginfra.net/iiif/NL-HaNA_1.01.02/3801/NL-HaNA_1.01.02_3801_0324.jpg/1220,1223,1099,2145/full/0/default.jpg", "prev_meeting_iiif_url")</f>
        <v/>
      </c>
      <c r="W167" t="s">
        <v>29</v>
      </c>
      <c r="X167" t="s">
        <v>749</v>
      </c>
      <c r="Y167">
        <f>HYPERLINK("https://images.diginfra.net/framed3.html?imagesetuuid=f36c8416-59a8-4b1a-a82a-ef225cbd1971&amp;uri=https://images.diginfra.net/iiif/NL-HaNA_1.01.02/3801/NL-HaNA_1.01.02_3801_0328.jpg", "next_meeting_viewer_url")</f>
        <v/>
      </c>
      <c r="Z167">
        <f>HYPERLINK("https://images.diginfra.net/iiif/NL-HaNA_1.01.02/3801/NL-HaNA_1.01.02_3801_0328.jpg/350,2544,1027,779/full/0/default.jpg", "next_meeting_iiif_url")</f>
        <v/>
      </c>
    </row>
    <row r="168" spans="1:26">
      <c r="A168" t="s">
        <v>750</v>
      </c>
      <c r="B168" t="s">
        <v>63</v>
      </c>
      <c r="C168" t="s">
        <v>751</v>
      </c>
      <c r="D168" t="b">
        <v>1</v>
      </c>
      <c r="E168" t="b">
        <v>1</v>
      </c>
      <c r="I168" t="s">
        <v>752</v>
      </c>
      <c r="J168" t="n">
        <v>3833</v>
      </c>
      <c r="K168" t="n">
        <v>338</v>
      </c>
      <c r="L168" t="n">
        <v>675</v>
      </c>
      <c r="M168" t="n">
        <v>1</v>
      </c>
      <c r="N168" t="n">
        <v>1</v>
      </c>
      <c r="O168" t="n">
        <v>0</v>
      </c>
      <c r="P168" t="s">
        <v>29</v>
      </c>
      <c r="Q168">
        <f>HYPERLINK("https://images.diginfra.net/framed3.html?imagesetuuid=93b95c12-1805-42f5-98c6-c352681b46bb&amp;uri=https://images.diginfra.net/iiif/NL-HaNA_1.01.02/3833/NL-HaNA_1.01.02_3833_0338.jpg", "viewer_url")</f>
        <v/>
      </c>
      <c r="R168">
        <f>HYPERLINK("https://images.diginfra.net/iiif/NL-HaNA_1.01.02/3833/NL-HaNA_1.01.02_3833_0338.jpg/3287,859,1082,2493/full/0/default.jpg", "iiif_url")</f>
        <v/>
      </c>
      <c r="S168" t="s">
        <v>29</v>
      </c>
      <c r="T168" t="s">
        <v>753</v>
      </c>
      <c r="U168">
        <f>HYPERLINK("https://images.diginfra.net/framed3.html?imagesetuuid=93b95c12-1805-42f5-98c6-c352681b46bb&amp;uri=https://images.diginfra.net/iiif/NL-HaNA_1.01.02/3833/NL-HaNA_1.01.02_3833_0337.jpg", "prev_meeting_viewer_url")</f>
        <v/>
      </c>
      <c r="V168">
        <f>HYPERLINK("https://images.diginfra.net/iiif/NL-HaNA_1.01.02/3833/NL-HaNA_1.01.02_3833_0337.jpg/3351,2465,1027,834/full/0/default.jpg", "prev_meeting_iiif_url")</f>
        <v/>
      </c>
      <c r="W168" t="s">
        <v>33</v>
      </c>
      <c r="Y168">
        <f>HYPERLINK("https://images.diginfra.net/framed3.html?imagesetuuid=93b95c12-1805-42f5-98c6-c352681b46bb&amp;uri=https://images.diginfra.net/iiif/NL-HaNA_1.01.02/3833/NL-HaNA_1.01.02_3833_0341.jpg", "next_meeting_viewer_url")</f>
        <v/>
      </c>
      <c r="Z168">
        <f>HYPERLINK("https://images.diginfra.net/iiif/NL-HaNA_1.01.02/3833/NL-HaNA_1.01.02_3833_0341.jpg/2376,231,1090,3075/full/0/default.jpg", "next_meeting_iiif_url")</f>
        <v/>
      </c>
    </row>
    <row r="169" spans="1:26">
      <c r="A169" t="s">
        <v>754</v>
      </c>
      <c r="B169" t="s">
        <v>37</v>
      </c>
      <c r="D169" t="b">
        <v>1</v>
      </c>
      <c r="E169" t="b">
        <v>0</v>
      </c>
      <c r="Q169">
        <f>HYPERLINK("None", "viewer_url")</f>
        <v/>
      </c>
      <c r="R169">
        <f>HYPERLINK("None", "iiif_url")</f>
        <v/>
      </c>
      <c r="W169" t="s">
        <v>29</v>
      </c>
      <c r="X169" t="s">
        <v>755</v>
      </c>
      <c r="Y169">
        <f>HYPERLINK("https://images.diginfra.net/framed3.html?imagesetuuid=1c2c3458-ea9f-4ec5-811c-cef54972a496&amp;uri=https://images.diginfra.net/iiif/NL-HaNA_1.01.02/3816/NL-HaNA_1.01.02_3816_0320.jpg", "next_meeting_viewer_url")</f>
        <v/>
      </c>
      <c r="Z169">
        <f>HYPERLINK("https://images.diginfra.net/iiif/NL-HaNA_1.01.02/3816/NL-HaNA_1.01.02_3816_0320.jpg/2415,2410,1091,901/full/0/default.jpg", "next_meeting_iiif_url")</f>
        <v/>
      </c>
    </row>
    <row r="170" spans="1:26">
      <c r="A170" t="s">
        <v>756</v>
      </c>
      <c r="B170" t="s">
        <v>53</v>
      </c>
      <c r="C170" t="s">
        <v>757</v>
      </c>
      <c r="D170" t="b">
        <v>1</v>
      </c>
      <c r="E170" t="b">
        <v>1</v>
      </c>
      <c r="I170" t="s">
        <v>758</v>
      </c>
      <c r="J170" t="n">
        <v>3772</v>
      </c>
      <c r="K170" t="n">
        <v>102</v>
      </c>
      <c r="L170" t="n">
        <v>202</v>
      </c>
      <c r="M170" t="n">
        <v>0</v>
      </c>
      <c r="N170" t="n">
        <v>3</v>
      </c>
      <c r="O170" t="n">
        <v>0</v>
      </c>
      <c r="P170" t="s">
        <v>29</v>
      </c>
      <c r="Q170">
        <f>HYPERLINK("https://images.diginfra.net/framed3.html?imagesetuuid=7816564e-398d-48a2-b251-a02a50cc0b59&amp;uri=https://images.diginfra.net/iiif/NL-HaNA_1.01.02/3772/NL-HaNA_1.01.02_3772_0102.jpg", "viewer_url")</f>
        <v/>
      </c>
      <c r="R170">
        <f>HYPERLINK("https://images.diginfra.net/iiif/NL-HaNA_1.01.02/3772/NL-HaNA_1.01.02_3772_0102.jpg/310,2773,1010,675/full/0/default.jpg", "iiif_url")</f>
        <v/>
      </c>
      <c r="S170" t="s">
        <v>29</v>
      </c>
      <c r="T170" t="s">
        <v>759</v>
      </c>
      <c r="U170">
        <f>HYPERLINK("https://images.diginfra.net/framed3.html?imagesetuuid=7816564e-398d-48a2-b251-a02a50cc0b59&amp;uri=https://images.diginfra.net/iiif/NL-HaNA_1.01.02/3772/NL-HaNA_1.01.02_3772_0100.jpg", "prev_meeting_viewer_url")</f>
        <v/>
      </c>
      <c r="V170">
        <f>HYPERLINK("https://images.diginfra.net/iiif/NL-HaNA_1.01.02/3772/NL-HaNA_1.01.02_3772_0100.jpg/3446,1837,1031,1518/full/0/default.jpg", "prev_meeting_iiif_url")</f>
        <v/>
      </c>
      <c r="W170" t="s">
        <v>29</v>
      </c>
      <c r="X170" t="s">
        <v>760</v>
      </c>
      <c r="Y170">
        <f>HYPERLINK("https://images.diginfra.net/framed3.html?imagesetuuid=7816564e-398d-48a2-b251-a02a50cc0b59&amp;uri=https://images.diginfra.net/iiif/NL-HaNA_1.01.02/3772/NL-HaNA_1.01.02_3772_0102.jpg", "next_meeting_viewer_url")</f>
        <v/>
      </c>
      <c r="Z170">
        <f>HYPERLINK("https://images.diginfra.net/iiif/NL-HaNA_1.01.02/3772/NL-HaNA_1.01.02_3772_0102.jpg/2474,2746,1031,719/full/0/default.jpg", "next_meeting_iiif_url")</f>
        <v/>
      </c>
    </row>
    <row r="171" spans="1:26">
      <c r="A171" t="s">
        <v>761</v>
      </c>
      <c r="B171" t="s">
        <v>48</v>
      </c>
      <c r="D171" t="b">
        <v>0</v>
      </c>
      <c r="E171" t="b">
        <v>0</v>
      </c>
      <c r="I171" t="s">
        <v>762</v>
      </c>
      <c r="J171" t="n">
        <v>3772</v>
      </c>
      <c r="K171" t="n">
        <v>336</v>
      </c>
      <c r="L171" t="n">
        <v>670</v>
      </c>
      <c r="M171" t="n">
        <v>1</v>
      </c>
      <c r="N171" t="n">
        <v>3</v>
      </c>
      <c r="O171" t="n">
        <v>0</v>
      </c>
      <c r="P171" t="s">
        <v>29</v>
      </c>
      <c r="Q171">
        <f>HYPERLINK("https://images.diginfra.net/framed3.html?imagesetuuid=7816564e-398d-48a2-b251-a02a50cc0b59&amp;uri=https://images.diginfra.net/iiif/NL-HaNA_1.01.02/3772/NL-HaNA_1.01.02_3772_0336.jpg", "viewer_url")</f>
        <v/>
      </c>
      <c r="R171">
        <f>HYPERLINK("https://images.diginfra.net/iiif/NL-HaNA_1.01.02/3772/NL-HaNA_1.01.02_3772_0336.jpg/1250,1869,1089,1528/full/0/default.jpg", "iiif_url")</f>
        <v/>
      </c>
      <c r="S171" t="s">
        <v>29</v>
      </c>
      <c r="T171" t="s">
        <v>763</v>
      </c>
      <c r="U171">
        <f>HYPERLINK("https://images.diginfra.net/framed3.html?imagesetuuid=7816564e-398d-48a2-b251-a02a50cc0b59&amp;uri=https://images.diginfra.net/iiif/NL-HaNA_1.01.02/3772/NL-HaNA_1.01.02_3772_0333.jpg", "prev_meeting_viewer_url")</f>
        <v/>
      </c>
      <c r="V171">
        <f>HYPERLINK("https://images.diginfra.net/iiif/NL-HaNA_1.01.02/3772/NL-HaNA_1.01.02_3772_0333.jpg/3341,1320,1099,2097/full/0/default.jpg", "prev_meeting_iiif_url")</f>
        <v/>
      </c>
      <c r="W171" t="s">
        <v>29</v>
      </c>
      <c r="X171" t="s">
        <v>764</v>
      </c>
      <c r="Y171">
        <f>HYPERLINK("https://images.diginfra.net/framed3.html?imagesetuuid=7816564e-398d-48a2-b251-a02a50cc0b59&amp;uri=https://images.diginfra.net/iiif/NL-HaNA_1.01.02/3772/NL-HaNA_1.01.02_3772_0336.jpg", "next_meeting_viewer_url")</f>
        <v/>
      </c>
      <c r="Z171">
        <f>HYPERLINK("https://images.diginfra.net/iiif/NL-HaNA_1.01.02/3772/NL-HaNA_1.01.02_3772_0336.jpg/1250,1869,1089,1528/full/0/default.jpg", "next_meeting_iiif_url")</f>
        <v/>
      </c>
    </row>
    <row r="172" spans="1:26">
      <c r="A172" t="s">
        <v>765</v>
      </c>
      <c r="B172" t="s">
        <v>27</v>
      </c>
      <c r="C172" t="s">
        <v>766</v>
      </c>
      <c r="D172" t="b">
        <v>1</v>
      </c>
      <c r="E172" t="b">
        <v>1</v>
      </c>
      <c r="I172" t="s">
        <v>767</v>
      </c>
      <c r="J172" t="n">
        <v>3784</v>
      </c>
      <c r="K172" t="n">
        <v>348</v>
      </c>
      <c r="L172" t="n">
        <v>695</v>
      </c>
      <c r="M172" t="n">
        <v>1</v>
      </c>
      <c r="N172" t="n">
        <v>1</v>
      </c>
      <c r="O172" t="n">
        <v>0</v>
      </c>
      <c r="P172" t="s">
        <v>29</v>
      </c>
      <c r="Q172">
        <f>HYPERLINK("https://images.diginfra.net/framed3.html?imagesetuuid=cb2f6e2d-502d-41d8-a51c-455c64ed98c9&amp;uri=https://images.diginfra.net/iiif/NL-HaNA_1.01.02/3784/NL-HaNA_1.01.02_3784_0348.jpg", "viewer_url")</f>
        <v/>
      </c>
      <c r="R172">
        <f>HYPERLINK("https://images.diginfra.net/iiif/NL-HaNA_1.01.02/3784/NL-HaNA_1.01.02_3784_0348.jpg/3226,1665,1096,1778/full/0/default.jpg", "iiif_url")</f>
        <v/>
      </c>
      <c r="W172" t="s">
        <v>29</v>
      </c>
      <c r="X172" t="s">
        <v>768</v>
      </c>
      <c r="Y172">
        <f>HYPERLINK("https://images.diginfra.net/framed3.html?imagesetuuid=cb2f6e2d-502d-41d8-a51c-455c64ed98c9&amp;uri=https://images.diginfra.net/iiif/NL-HaNA_1.01.02/3784/NL-HaNA_1.01.02_3784_0349.jpg", "next_meeting_viewer_url")</f>
        <v/>
      </c>
      <c r="Z172">
        <f>HYPERLINK("https://images.diginfra.net/iiif/NL-HaNA_1.01.02/3784/NL-HaNA_1.01.02_3784_0349.jpg/2351,1833,1071,1536/full/0/default.jpg", "next_meeting_iiif_url")</f>
        <v/>
      </c>
    </row>
    <row r="173" spans="1:26">
      <c r="A173" t="s">
        <v>769</v>
      </c>
      <c r="B173" t="s">
        <v>48</v>
      </c>
      <c r="D173" t="b">
        <v>0</v>
      </c>
      <c r="E173" t="b">
        <v>0</v>
      </c>
      <c r="I173" t="s">
        <v>770</v>
      </c>
      <c r="J173" t="n">
        <v>3799</v>
      </c>
      <c r="K173" t="n">
        <v>94</v>
      </c>
      <c r="L173" t="n">
        <v>187</v>
      </c>
      <c r="M173" t="n">
        <v>0</v>
      </c>
      <c r="N173" t="n">
        <v>0</v>
      </c>
      <c r="O173" t="n">
        <v>0</v>
      </c>
      <c r="P173" t="s">
        <v>29</v>
      </c>
      <c r="Q173">
        <f>HYPERLINK("https://images.diginfra.net/framed3.html?imagesetuuid=4246d97e-5e7a-4171-b55e-14e0b73f61db&amp;uri=https://images.diginfra.net/iiif/NL-HaNA_1.01.02/3799/NL-HaNA_1.01.02_3799_0094.jpg", "viewer_url")</f>
        <v/>
      </c>
      <c r="R173">
        <f>HYPERLINK("https://images.diginfra.net/iiif/NL-HaNA_1.01.02/3799/NL-HaNA_1.01.02_3799_0094.jpg/2321,1041,1080,2360/full/0/default.jpg", "iiif_url")</f>
        <v/>
      </c>
      <c r="S173" t="s">
        <v>29</v>
      </c>
      <c r="T173" t="s">
        <v>771</v>
      </c>
      <c r="U173">
        <f>HYPERLINK("https://images.diginfra.net/framed3.html?imagesetuuid=4246d97e-5e7a-4171-b55e-14e0b73f61db&amp;uri=https://images.diginfra.net/iiif/NL-HaNA_1.01.02/3799/NL-HaNA_1.01.02_3799_0093.jpg", "prev_meeting_viewer_url")</f>
        <v/>
      </c>
      <c r="V173">
        <f>HYPERLINK("https://images.diginfra.net/iiif/NL-HaNA_1.01.02/3799/NL-HaNA_1.01.02_3799_0093.jpg/2317,1340,1077,2048/full/0/default.jpg", "prev_meeting_iiif_url")</f>
        <v/>
      </c>
      <c r="W173" t="s">
        <v>29</v>
      </c>
      <c r="X173" t="s">
        <v>772</v>
      </c>
      <c r="Y173">
        <f>HYPERLINK("https://images.diginfra.net/framed3.html?imagesetuuid=4246d97e-5e7a-4171-b55e-14e0b73f61db&amp;uri=https://images.diginfra.net/iiif/NL-HaNA_1.01.02/3799/NL-HaNA_1.01.02_3799_0094.jpg", "next_meeting_viewer_url")</f>
        <v/>
      </c>
      <c r="Z173">
        <f>HYPERLINK("https://images.diginfra.net/iiif/NL-HaNA_1.01.02/3799/NL-HaNA_1.01.02_3799_0094.jpg/2321,1041,1080,2360/full/0/default.jpg", "next_meeting_iiif_url")</f>
        <v/>
      </c>
    </row>
    <row r="174" spans="1:26">
      <c r="A174" t="s">
        <v>773</v>
      </c>
      <c r="B174" t="s">
        <v>42</v>
      </c>
      <c r="D174" t="b">
        <v>1</v>
      </c>
      <c r="E174" t="b">
        <v>0</v>
      </c>
      <c r="Q174">
        <f>HYPERLINK("None", "viewer_url")</f>
        <v/>
      </c>
      <c r="R174">
        <f>HYPERLINK("None", "iiif_url")</f>
        <v/>
      </c>
      <c r="S174" t="s">
        <v>33</v>
      </c>
      <c r="T174" t="s">
        <v>774</v>
      </c>
      <c r="U174">
        <f>HYPERLINK("https://images.diginfra.net/framed3.html?imagesetuuid=9e71b122-742f-4bfd-bebd-880415775331&amp;uri=https://images.diginfra.net/iiif/NL-HaNA_1.01.02/3826/NL-HaNA_1.01.02_3826_0177.jpg", "prev_meeting_viewer_url")</f>
        <v/>
      </c>
      <c r="V174">
        <f>HYPERLINK("https://images.diginfra.net/iiif/NL-HaNA_1.01.02/3826/NL-HaNA_1.01.02_3826_0177.jpg/3260,1319,1076,2146/full/0/default.jpg", "prev_meeting_iiif_url")</f>
        <v/>
      </c>
      <c r="W174" t="s">
        <v>29</v>
      </c>
      <c r="X174" t="s">
        <v>775</v>
      </c>
      <c r="Y174">
        <f>HYPERLINK("https://images.diginfra.net/framed3.html?imagesetuuid=9e71b122-742f-4bfd-bebd-880415775331&amp;uri=https://images.diginfra.net/iiif/NL-HaNA_1.01.02/3826/NL-HaNA_1.01.02_3826_0181.jpg", "next_meeting_viewer_url")</f>
        <v/>
      </c>
      <c r="Z174">
        <f>HYPERLINK("https://images.diginfra.net/iiif/NL-HaNA_1.01.02/3826/NL-HaNA_1.01.02_3826_0181.jpg/1252,1962,1035,1343/full/0/default.jpg", "next_meeting_iiif_url")</f>
        <v/>
      </c>
    </row>
    <row r="175" spans="1:26">
      <c r="A175" t="s">
        <v>776</v>
      </c>
      <c r="B175" t="s">
        <v>27</v>
      </c>
      <c r="D175" t="b">
        <v>0</v>
      </c>
      <c r="E175" t="b">
        <v>0</v>
      </c>
      <c r="I175" t="s">
        <v>777</v>
      </c>
      <c r="J175" t="n">
        <v>3855</v>
      </c>
      <c r="K175" t="n">
        <v>20</v>
      </c>
      <c r="L175" t="n">
        <v>38</v>
      </c>
      <c r="M175" t="n">
        <v>1</v>
      </c>
      <c r="N175" t="n">
        <v>1</v>
      </c>
      <c r="O175" t="n">
        <v>0</v>
      </c>
      <c r="P175" t="s">
        <v>29</v>
      </c>
      <c r="Q175">
        <f>HYPERLINK("https://images.diginfra.net/framed3.html?imagesetuuid=5244deb9-8f97-4a39-89ba-6da1d308b8f5&amp;uri=https://images.diginfra.net/iiif/NL-HaNA_1.01.02/3855/NL-HaNA_1.01.02_3855_0020.jpg", "viewer_url")</f>
        <v/>
      </c>
      <c r="R175">
        <f>HYPERLINK("https://images.diginfra.net/iiif/NL-HaNA_1.01.02/3855/NL-HaNA_1.01.02_3855_0020.jpg/1466,2852,753,498/full/0/default.jpg", "iiif_url")</f>
        <v/>
      </c>
      <c r="S175" t="s">
        <v>29</v>
      </c>
      <c r="T175" t="s">
        <v>778</v>
      </c>
      <c r="U175">
        <f>HYPERLINK("https://images.diginfra.net/framed3.html?imagesetuuid=5244deb9-8f97-4a39-89ba-6da1d308b8f5&amp;uri=https://images.diginfra.net/iiif/NL-HaNA_1.01.02/3855/NL-HaNA_1.01.02_3855_0018.jpg", "prev_meeting_viewer_url")</f>
        <v/>
      </c>
      <c r="V175">
        <f>HYPERLINK("https://images.diginfra.net/iiif/NL-HaNA_1.01.02/3855/NL-HaNA_1.01.02_3855_0018.jpg/3312,1457,1084,1967/full/0/default.jpg", "prev_meeting_iiif_url")</f>
        <v/>
      </c>
      <c r="W175" t="s">
        <v>29</v>
      </c>
      <c r="X175" t="s">
        <v>779</v>
      </c>
      <c r="Y175">
        <f>HYPERLINK("https://images.diginfra.net/framed3.html?imagesetuuid=5244deb9-8f97-4a39-89ba-6da1d308b8f5&amp;uri=https://images.diginfra.net/iiif/NL-HaNA_1.01.02/3855/NL-HaNA_1.01.02_3855_0020.jpg", "next_meeting_viewer_url")</f>
        <v/>
      </c>
      <c r="Z175">
        <f>HYPERLINK("https://images.diginfra.net/iiif/NL-HaNA_1.01.02/3855/NL-HaNA_1.01.02_3855_0020.jpg/1466,2852,753,498/full/0/default.jpg", "next_meeting_iiif_url")</f>
        <v/>
      </c>
    </row>
    <row r="176" spans="1:26">
      <c r="A176" t="s">
        <v>780</v>
      </c>
      <c r="B176" t="s">
        <v>76</v>
      </c>
      <c r="C176" t="s">
        <v>781</v>
      </c>
      <c r="D176" t="b">
        <v>1</v>
      </c>
      <c r="E176" t="b">
        <v>1</v>
      </c>
      <c r="I176" t="s">
        <v>782</v>
      </c>
      <c r="J176" t="n">
        <v>3820</v>
      </c>
      <c r="K176" t="n">
        <v>110</v>
      </c>
      <c r="L176" t="n">
        <v>218</v>
      </c>
      <c r="M176" t="n">
        <v>1</v>
      </c>
      <c r="N176" t="n">
        <v>0</v>
      </c>
      <c r="O176" t="n">
        <v>9</v>
      </c>
      <c r="P176" t="s">
        <v>29</v>
      </c>
      <c r="Q176">
        <f>HYPERLINK("https://images.diginfra.net/framed3.html?imagesetuuid=06387344-f6be-4f89-be7c-57105578c47e&amp;uri=https://images.diginfra.net/iiif/NL-HaNA_1.01.02/3820/NL-HaNA_1.01.02_3820_0110.jpg", "viewer_url")</f>
        <v/>
      </c>
      <c r="R176">
        <f>HYPERLINK("https://images.diginfra.net/iiif/NL-HaNA_1.01.02/3820/NL-HaNA_1.01.02_3820_0110.jpg/1198,722,1079,2662/full/0/default.jpg", "iiif_url")</f>
        <v/>
      </c>
      <c r="S176" t="s">
        <v>29</v>
      </c>
      <c r="T176" t="s">
        <v>783</v>
      </c>
      <c r="U176">
        <f>HYPERLINK("https://images.diginfra.net/framed3.html?imagesetuuid=06387344-f6be-4f89-be7c-57105578c47e&amp;uri=https://images.diginfra.net/iiif/NL-HaNA_1.01.02/3820/NL-HaNA_1.01.02_3820_0109.jpg", "prev_meeting_viewer_url")</f>
        <v/>
      </c>
      <c r="V176">
        <f>HYPERLINK("https://images.diginfra.net/iiif/NL-HaNA_1.01.02/3820/NL-HaNA_1.01.02_3820_0109.jpg/3319,1718,1045,1559/full/0/default.jpg", "prev_meeting_iiif_url")</f>
        <v/>
      </c>
      <c r="W176" t="s">
        <v>29</v>
      </c>
      <c r="X176" t="s">
        <v>784</v>
      </c>
      <c r="Y176">
        <f>HYPERLINK("https://images.diginfra.net/framed3.html?imagesetuuid=06387344-f6be-4f89-be7c-57105578c47e&amp;uri=https://images.diginfra.net/iiif/NL-HaNA_1.01.02/3820/NL-HaNA_1.01.02_3820_0111.jpg", "next_meeting_viewer_url")</f>
        <v/>
      </c>
      <c r="Z176">
        <f>HYPERLINK("https://images.diginfra.net/iiif/NL-HaNA_1.01.02/3820/NL-HaNA_1.01.02_3820_0111.jpg/3279,475,1085,2944/full/0/default.jpg", "next_meeting_iiif_url")</f>
        <v/>
      </c>
    </row>
    <row r="177" spans="1:26">
      <c r="A177" t="s">
        <v>785</v>
      </c>
      <c r="B177" t="s">
        <v>63</v>
      </c>
      <c r="C177" t="s">
        <v>786</v>
      </c>
      <c r="D177" t="b">
        <v>1</v>
      </c>
      <c r="E177" t="b">
        <v>1</v>
      </c>
      <c r="I177" t="s">
        <v>787</v>
      </c>
      <c r="J177" t="n">
        <v>3855</v>
      </c>
      <c r="K177" t="n">
        <v>95</v>
      </c>
      <c r="L177" t="n">
        <v>189</v>
      </c>
      <c r="M177" t="n">
        <v>0</v>
      </c>
      <c r="N177" t="n">
        <v>2</v>
      </c>
      <c r="O177" t="n">
        <v>0</v>
      </c>
      <c r="P177" t="s">
        <v>29</v>
      </c>
      <c r="Q177">
        <f>HYPERLINK("https://images.diginfra.net/framed3.html?imagesetuuid=5244deb9-8f97-4a39-89ba-6da1d308b8f5&amp;uri=https://images.diginfra.net/iiif/NL-HaNA_1.01.02/3855/NL-HaNA_1.01.02_3855_0095.jpg", "viewer_url")</f>
        <v/>
      </c>
      <c r="R177">
        <f>HYPERLINK("https://images.diginfra.net/iiif/NL-HaNA_1.01.02/3855/NL-HaNA_1.01.02_3855_0095.jpg/2451,2283,1014,1144/full/0/default.jpg", "iiif_url")</f>
        <v/>
      </c>
      <c r="S177" t="s">
        <v>29</v>
      </c>
      <c r="T177" t="s">
        <v>788</v>
      </c>
      <c r="U177">
        <f>HYPERLINK("https://images.diginfra.net/framed3.html?imagesetuuid=5244deb9-8f97-4a39-89ba-6da1d308b8f5&amp;uri=https://images.diginfra.net/iiif/NL-HaNA_1.01.02/3855/NL-HaNA_1.01.02_3855_0095.jpg", "prev_meeting_viewer_url")</f>
        <v/>
      </c>
      <c r="V177">
        <f>HYPERLINK("https://images.diginfra.net/iiif/NL-HaNA_1.01.02/3855/NL-HaNA_1.01.02_3855_0095.jpg/311,298,1075,3119/full/0/default.jpg", "prev_meeting_iiif_url")</f>
        <v/>
      </c>
      <c r="W177" t="s">
        <v>33</v>
      </c>
      <c r="X177" t="s">
        <v>789</v>
      </c>
      <c r="Y177">
        <f>HYPERLINK("https://images.diginfra.net/framed3.html?imagesetuuid=5244deb9-8f97-4a39-89ba-6da1d308b8f5&amp;uri=https://images.diginfra.net/iiif/NL-HaNA_1.01.02/3855/NL-HaNA_1.01.02_3855_0096.jpg", "next_meeting_viewer_url")</f>
        <v/>
      </c>
      <c r="Z177">
        <f>HYPERLINK("https://images.diginfra.net/iiif/NL-HaNA_1.01.02/3855/NL-HaNA_1.01.02_3855_0096.jpg/3319,1336,1067,2105/full/0/default.jpg", "next_meeting_iiif_url")</f>
        <v/>
      </c>
    </row>
    <row r="178" spans="1:26">
      <c r="A178" t="s">
        <v>790</v>
      </c>
      <c r="B178" t="s">
        <v>48</v>
      </c>
      <c r="D178" t="b">
        <v>0</v>
      </c>
      <c r="E178" t="b">
        <v>0</v>
      </c>
      <c r="I178" t="s">
        <v>791</v>
      </c>
      <c r="J178" t="n">
        <v>3771</v>
      </c>
      <c r="K178" t="n">
        <v>232</v>
      </c>
      <c r="L178" t="n">
        <v>463</v>
      </c>
      <c r="M178" t="n">
        <v>1</v>
      </c>
      <c r="N178" t="n">
        <v>1</v>
      </c>
      <c r="O178" t="n">
        <v>0</v>
      </c>
      <c r="P178" t="s">
        <v>29</v>
      </c>
      <c r="Q178">
        <f>HYPERLINK("https://images.diginfra.net/framed3.html?imagesetuuid=16b7bf4c-5e05-4e5e-b109-cf178ead6c3f&amp;uri=https://images.diginfra.net/iiif/NL-HaNA_1.01.02/3771/NL-HaNA_1.01.02_3771_0232.jpg", "viewer_url")</f>
        <v/>
      </c>
      <c r="R178">
        <f>HYPERLINK("https://images.diginfra.net/iiif/NL-HaNA_1.01.02/3771/NL-HaNA_1.01.02_3771_0232.jpg/3460,2151,1035,1252/full/0/default.jpg", "iiif_url")</f>
        <v/>
      </c>
      <c r="S178" t="s">
        <v>29</v>
      </c>
      <c r="T178" t="s">
        <v>792</v>
      </c>
      <c r="U178">
        <f>HYPERLINK("https://images.diginfra.net/framed3.html?imagesetuuid=16b7bf4c-5e05-4e5e-b109-cf178ead6c3f&amp;uri=https://images.diginfra.net/iiif/NL-HaNA_1.01.02/3771/NL-HaNA_1.01.02_3771_0231.jpg", "prev_meeting_viewer_url")</f>
        <v/>
      </c>
      <c r="V178">
        <f>HYPERLINK("https://images.diginfra.net/iiif/NL-HaNA_1.01.02/3771/NL-HaNA_1.01.02_3771_0231.jpg/1130,514,1116,2926/full/0/default.jpg", "prev_meeting_iiif_url")</f>
        <v/>
      </c>
      <c r="W178" t="s">
        <v>29</v>
      </c>
      <c r="X178" t="s">
        <v>793</v>
      </c>
      <c r="Y178">
        <f>HYPERLINK("https://images.diginfra.net/framed3.html?imagesetuuid=16b7bf4c-5e05-4e5e-b109-cf178ead6c3f&amp;uri=https://images.diginfra.net/iiif/NL-HaNA_1.01.02/3771/NL-HaNA_1.01.02_3771_0232.jpg", "next_meeting_viewer_url")</f>
        <v/>
      </c>
      <c r="Z178">
        <f>HYPERLINK("https://images.diginfra.net/iiif/NL-HaNA_1.01.02/3771/NL-HaNA_1.01.02_3771_0232.jpg/3460,2151,1035,1252/full/0/default.jpg", "next_meeting_iiif_url")</f>
        <v/>
      </c>
    </row>
    <row r="179" spans="1:26">
      <c r="A179" t="s">
        <v>794</v>
      </c>
      <c r="B179" t="s">
        <v>76</v>
      </c>
      <c r="C179" t="s">
        <v>795</v>
      </c>
      <c r="D179" t="b">
        <v>1</v>
      </c>
      <c r="E179" t="b">
        <v>1</v>
      </c>
      <c r="I179" t="s">
        <v>796</v>
      </c>
      <c r="J179" t="n">
        <v>3825</v>
      </c>
      <c r="K179" t="n">
        <v>374</v>
      </c>
      <c r="L179" t="n">
        <v>746</v>
      </c>
      <c r="M179" t="n">
        <v>0</v>
      </c>
      <c r="N179" t="n">
        <v>2</v>
      </c>
      <c r="O179" t="n">
        <v>0</v>
      </c>
      <c r="P179" t="s">
        <v>29</v>
      </c>
      <c r="Q179">
        <f>HYPERLINK("https://images.diginfra.net/framed3.html?imagesetuuid=3e55157c-ed48-4a0c-b4a9-bb205866d7cd&amp;uri=https://images.diginfra.net/iiif/NL-HaNA_1.01.02/3825/NL-HaNA_1.01.02_3825_0374.jpg", "viewer_url")</f>
        <v/>
      </c>
      <c r="R179">
        <f>HYPERLINK("https://images.diginfra.net/iiif/NL-HaNA_1.01.02/3825/NL-HaNA_1.01.02_3825_0374.jpg/455,2585,789,567/full/0/default.jpg", "iiif_url")</f>
        <v/>
      </c>
      <c r="S179" t="s">
        <v>29</v>
      </c>
      <c r="T179" t="s">
        <v>797</v>
      </c>
      <c r="U179">
        <f>HYPERLINK("https://images.diginfra.net/framed3.html?imagesetuuid=3e55157c-ed48-4a0c-b4a9-bb205866d7cd&amp;uri=https://images.diginfra.net/iiif/NL-HaNA_1.01.02/3825/NL-HaNA_1.01.02_3825_0372.jpg", "prev_meeting_viewer_url")</f>
        <v/>
      </c>
      <c r="V179">
        <f>HYPERLINK("https://images.diginfra.net/iiif/NL-HaNA_1.01.02/3825/NL-HaNA_1.01.02_3825_0372.jpg/1277,2085,1042,1082/full/0/default.jpg", "prev_meeting_iiif_url")</f>
        <v/>
      </c>
      <c r="W179" t="s">
        <v>29</v>
      </c>
      <c r="X179" t="s">
        <v>798</v>
      </c>
      <c r="Y179">
        <f>HYPERLINK("https://images.diginfra.net/framed3.html?imagesetuuid=3e55157c-ed48-4a0c-b4a9-bb205866d7cd&amp;uri=https://images.diginfra.net/iiif/NL-HaNA_1.01.02/3825/NL-HaNA_1.01.02_3825_0375.jpg", "next_meeting_viewer_url")</f>
        <v/>
      </c>
      <c r="Z179">
        <f>HYPERLINK("https://images.diginfra.net/iiif/NL-HaNA_1.01.02/3825/NL-HaNA_1.01.02_3825_0375.jpg/3385,2797,833,437/full/0/default.jpg", "next_meeting_iiif_url")</f>
        <v/>
      </c>
    </row>
    <row r="180" spans="1:26">
      <c r="A180" t="s">
        <v>799</v>
      </c>
      <c r="B180" t="s">
        <v>27</v>
      </c>
      <c r="D180" t="b">
        <v>0</v>
      </c>
      <c r="E180" t="b">
        <v>0</v>
      </c>
      <c r="Q180">
        <f>HYPERLINK("None", "viewer_url")</f>
        <v/>
      </c>
      <c r="R180">
        <f>HYPERLINK("None", "iiif_url")</f>
        <v/>
      </c>
      <c r="S180" t="s">
        <v>33</v>
      </c>
      <c r="T180" t="s">
        <v>800</v>
      </c>
      <c r="U180">
        <f>HYPERLINK("https://images.diginfra.net/framed3.html?imagesetuuid=4a630f3a-34aa-4b1a-92d1-c32d4455e96f&amp;uri=https://images.diginfra.net/iiif/NL-HaNA_1.01.02/3829/NL-HaNA_1.01.02_3829_0334.jpg", "prev_meeting_viewer_url")</f>
        <v/>
      </c>
      <c r="V180">
        <f>HYPERLINK("https://images.diginfra.net/iiif/NL-HaNA_1.01.02/3829/NL-HaNA_1.01.02_3829_0334.jpg/3269,1877,1080,1471/full/0/default.jpg", "prev_meeting_iiif_url")</f>
        <v/>
      </c>
    </row>
    <row r="181" spans="1:26">
      <c r="A181" t="s">
        <v>801</v>
      </c>
      <c r="B181" t="s">
        <v>27</v>
      </c>
      <c r="D181" t="b">
        <v>0</v>
      </c>
      <c r="E181" t="b">
        <v>0</v>
      </c>
      <c r="I181" t="s">
        <v>802</v>
      </c>
      <c r="J181" t="n">
        <v>3811</v>
      </c>
      <c r="K181" t="n">
        <v>409</v>
      </c>
      <c r="L181" t="n">
        <v>816</v>
      </c>
      <c r="M181" t="n">
        <v>0</v>
      </c>
      <c r="N181" t="n">
        <v>0</v>
      </c>
      <c r="O181" t="n">
        <v>32</v>
      </c>
      <c r="P181" t="s">
        <v>29</v>
      </c>
      <c r="Q181">
        <f>HYPERLINK("https://images.diginfra.net/framed3.html?imagesetuuid=f707f64c-15ec-4624-ba99-82cb83d16c2c&amp;uri=https://images.diginfra.net/iiif/NL-HaNA_1.01.02/3811/NL-HaNA_1.01.02_3811_0409.jpg", "viewer_url")</f>
        <v/>
      </c>
      <c r="R181">
        <f>HYPERLINK("https://images.diginfra.net/iiif/NL-HaNA_1.01.02/3811/NL-HaNA_1.01.02_3811_0409.jpg/251,1780,1096,1590/full/0/default.jpg", "iiif_url")</f>
        <v/>
      </c>
      <c r="W181" t="s">
        <v>29</v>
      </c>
      <c r="X181" t="s">
        <v>803</v>
      </c>
      <c r="Y181">
        <f>HYPERLINK("https://images.diginfra.net/framed3.html?imagesetuuid=f707f64c-15ec-4624-ba99-82cb83d16c2c&amp;uri=https://images.diginfra.net/iiif/NL-HaNA_1.01.02/3811/NL-HaNA_1.01.02_3811_0409.jpg", "next_meeting_viewer_url")</f>
        <v/>
      </c>
      <c r="Z181">
        <f>HYPERLINK("https://images.diginfra.net/iiif/NL-HaNA_1.01.02/3811/NL-HaNA_1.01.02_3811_0409.jpg/251,1780,1096,1590/full/0/default.jpg", "next_meeting_iiif_url")</f>
        <v/>
      </c>
    </row>
    <row r="182" spans="1:26">
      <c r="A182" t="s">
        <v>804</v>
      </c>
      <c r="B182" t="s">
        <v>76</v>
      </c>
      <c r="C182" t="s">
        <v>805</v>
      </c>
      <c r="D182" t="b">
        <v>1</v>
      </c>
      <c r="E182" t="b">
        <v>1</v>
      </c>
      <c r="I182" t="s">
        <v>806</v>
      </c>
      <c r="J182" t="n">
        <v>3773</v>
      </c>
      <c r="K182" t="n">
        <v>380</v>
      </c>
      <c r="L182" t="n">
        <v>758</v>
      </c>
      <c r="M182" t="n">
        <v>0</v>
      </c>
      <c r="N182" t="n">
        <v>1</v>
      </c>
      <c r="O182" t="n">
        <v>0</v>
      </c>
      <c r="P182" t="s">
        <v>29</v>
      </c>
      <c r="Q182">
        <f>HYPERLINK("https://images.diginfra.net/framed3.html?imagesetuuid=0d0ede5e-a7f6-4a03-b996-493e50528c24&amp;uri=https://images.diginfra.net/iiif/NL-HaNA_1.01.02/3773/NL-HaNA_1.01.02_3773_0380.jpg", "viewer_url")</f>
        <v/>
      </c>
      <c r="R182">
        <f>HYPERLINK("https://images.diginfra.net/iiif/NL-HaNA_1.01.02/3773/NL-HaNA_1.01.02_3773_0380.jpg/226,1101,1101,2312/full/0/default.jpg", "iiif_url")</f>
        <v/>
      </c>
      <c r="S182" t="s">
        <v>29</v>
      </c>
      <c r="U182">
        <f>HYPERLINK("https://images.diginfra.net/framed3.html?imagesetuuid=0d0ede5e-a7f6-4a03-b996-493e50528c24&amp;uri=https://images.diginfra.net/iiif/NL-HaNA_1.01.02/3773/NL-HaNA_1.01.02_3773_0377.jpg", "prev_meeting_viewer_url")</f>
        <v/>
      </c>
      <c r="V182">
        <f>HYPERLINK("https://images.diginfra.net/iiif/NL-HaNA_1.01.02/3773/NL-HaNA_1.01.02_3773_0377.jpg/2392,296,1096,3056/full/0/default.jpg", "prev_meeting_iiif_url")</f>
        <v/>
      </c>
      <c r="W182" t="s">
        <v>29</v>
      </c>
      <c r="X182" t="s">
        <v>807</v>
      </c>
      <c r="Y182">
        <f>HYPERLINK("https://images.diginfra.net/framed3.html?imagesetuuid=0d0ede5e-a7f6-4a03-b996-493e50528c24&amp;uri=https://images.diginfra.net/iiif/NL-HaNA_1.01.02/3773/NL-HaNA_1.01.02_3773_0381.jpg", "next_meeting_viewer_url")</f>
        <v/>
      </c>
      <c r="Z182">
        <f>HYPERLINK("https://images.diginfra.net/iiif/NL-HaNA_1.01.02/3773/NL-HaNA_1.01.02_3773_0381.jpg/3367,2648,1041,708/full/0/default.jpg", "next_meeting_iiif_url")</f>
        <v/>
      </c>
    </row>
    <row r="183" spans="1:26">
      <c r="A183" t="s">
        <v>808</v>
      </c>
      <c r="B183" t="s">
        <v>48</v>
      </c>
      <c r="D183" t="b">
        <v>0</v>
      </c>
      <c r="E183" t="b">
        <v>0</v>
      </c>
      <c r="I183" t="s">
        <v>809</v>
      </c>
      <c r="J183" t="n">
        <v>3829</v>
      </c>
      <c r="K183" t="n">
        <v>401</v>
      </c>
      <c r="L183" t="n">
        <v>801</v>
      </c>
      <c r="M183" t="n">
        <v>1</v>
      </c>
      <c r="N183" t="n">
        <v>4</v>
      </c>
      <c r="O183" t="n">
        <v>0</v>
      </c>
      <c r="P183" t="s">
        <v>29</v>
      </c>
      <c r="Q183">
        <f>HYPERLINK("https://images.diginfra.net/framed3.html?imagesetuuid=4a630f3a-34aa-4b1a-92d1-c32d4455e96f&amp;uri=https://images.diginfra.net/iiif/NL-HaNA_1.01.02/3829/NL-HaNA_1.01.02_3829_0401.jpg", "viewer_url")</f>
        <v/>
      </c>
      <c r="R183">
        <f>HYPERLINK("https://images.diginfra.net/iiif/NL-HaNA_1.01.02/3829/NL-HaNA_1.01.02_3829_0401.jpg/2444,2522,1067,837/full/0/default.jpg", "iiif_url")</f>
        <v/>
      </c>
      <c r="S183" t="s">
        <v>29</v>
      </c>
      <c r="T183" t="s">
        <v>810</v>
      </c>
      <c r="U183">
        <f>HYPERLINK("https://images.diginfra.net/framed3.html?imagesetuuid=4a630f3a-34aa-4b1a-92d1-c32d4455e96f&amp;uri=https://images.diginfra.net/iiif/NL-HaNA_1.01.02/3829/NL-HaNA_1.01.02_3829_0401.jpg", "prev_meeting_viewer_url")</f>
        <v/>
      </c>
      <c r="V183">
        <f>HYPERLINK("https://images.diginfra.net/iiif/NL-HaNA_1.01.02/3829/NL-HaNA_1.01.02_3829_0401.jpg/1234,587,1099,2702/full/0/default.jpg", "prev_meeting_iiif_url")</f>
        <v/>
      </c>
      <c r="W183" t="s">
        <v>29</v>
      </c>
      <c r="X183" t="s">
        <v>811</v>
      </c>
      <c r="Y183">
        <f>HYPERLINK("https://images.diginfra.net/framed3.html?imagesetuuid=4a630f3a-34aa-4b1a-92d1-c32d4455e96f&amp;uri=https://images.diginfra.net/iiif/NL-HaNA_1.01.02/3829/NL-HaNA_1.01.02_3829_0401.jpg", "next_meeting_viewer_url")</f>
        <v/>
      </c>
      <c r="Z183">
        <f>HYPERLINK("https://images.diginfra.net/iiif/NL-HaNA_1.01.02/3829/NL-HaNA_1.01.02_3829_0401.jpg/2444,2522,1067,837/full/0/default.jpg", "next_meeting_iiif_url")</f>
        <v/>
      </c>
    </row>
    <row r="184" spans="1:26">
      <c r="A184" t="s">
        <v>812</v>
      </c>
      <c r="B184" t="s">
        <v>76</v>
      </c>
      <c r="C184" t="s">
        <v>813</v>
      </c>
      <c r="D184" t="b">
        <v>1</v>
      </c>
      <c r="E184" t="b">
        <v>1</v>
      </c>
      <c r="I184" t="s">
        <v>814</v>
      </c>
      <c r="J184" t="n">
        <v>3807</v>
      </c>
      <c r="K184" t="n">
        <v>374</v>
      </c>
      <c r="L184" t="n">
        <v>747</v>
      </c>
      <c r="M184" t="n">
        <v>1</v>
      </c>
      <c r="N184" t="n">
        <v>0</v>
      </c>
      <c r="O184" t="n">
        <v>7</v>
      </c>
      <c r="P184" t="s">
        <v>29</v>
      </c>
      <c r="Q184">
        <f>HYPERLINK("https://images.diginfra.net/framed3.html?imagesetuuid=9cfa33f1-d711-4626-afe8-d82541dc4b2a&amp;uri=https://images.diginfra.net/iiif/NL-HaNA_1.01.02/3807/NL-HaNA_1.01.02_3807_0374.jpg", "viewer_url")</f>
        <v/>
      </c>
      <c r="R184">
        <f>HYPERLINK("https://images.diginfra.net/iiif/NL-HaNA_1.01.02/3807/NL-HaNA_1.01.02_3807_0374.jpg/3259,513,1097,2874/full/0/default.jpg", "iiif_url")</f>
        <v/>
      </c>
      <c r="S184" t="s">
        <v>29</v>
      </c>
      <c r="T184" t="s">
        <v>815</v>
      </c>
      <c r="U184">
        <f>HYPERLINK("https://images.diginfra.net/framed3.html?imagesetuuid=9cfa33f1-d711-4626-afe8-d82541dc4b2a&amp;uri=https://images.diginfra.net/iiif/NL-HaNA_1.01.02/3807/NL-HaNA_1.01.02_3807_0373.jpg", "prev_meeting_viewer_url")</f>
        <v/>
      </c>
      <c r="V184">
        <f>HYPERLINK("https://images.diginfra.net/iiif/NL-HaNA_1.01.02/3807/NL-HaNA_1.01.02_3807_0373.jpg/1115,2007,1112,1365/full/0/default.jpg", "prev_meeting_iiif_url")</f>
        <v/>
      </c>
      <c r="W184" t="s">
        <v>29</v>
      </c>
      <c r="X184" t="s">
        <v>816</v>
      </c>
      <c r="Y184">
        <f>HYPERLINK("https://images.diginfra.net/framed3.html?imagesetuuid=9cfa33f1-d711-4626-afe8-d82541dc4b2a&amp;uri=https://images.diginfra.net/iiif/NL-HaNA_1.01.02/3807/NL-HaNA_1.01.02_3807_0375.jpg", "next_meeting_viewer_url")</f>
        <v/>
      </c>
      <c r="Z184">
        <f>HYPERLINK("https://images.diginfra.net/iiif/NL-HaNA_1.01.02/3807/NL-HaNA_1.01.02_3807_0375.jpg/198,1532,1100,1886/full/0/default.jpg", "next_meeting_iiif_url")</f>
        <v/>
      </c>
    </row>
    <row r="185" spans="1:26">
      <c r="A185" t="s">
        <v>817</v>
      </c>
      <c r="B185" t="s">
        <v>37</v>
      </c>
      <c r="C185" t="s">
        <v>818</v>
      </c>
      <c r="D185" t="b">
        <v>1</v>
      </c>
      <c r="E185" t="b">
        <v>1</v>
      </c>
      <c r="I185" t="s">
        <v>819</v>
      </c>
      <c r="J185" t="n">
        <v>3800</v>
      </c>
      <c r="K185" t="n">
        <v>283</v>
      </c>
      <c r="L185" t="n">
        <v>564</v>
      </c>
      <c r="M185" t="n">
        <v>0</v>
      </c>
      <c r="N185" t="n">
        <v>1</v>
      </c>
      <c r="O185" t="n">
        <v>0</v>
      </c>
      <c r="P185" t="s">
        <v>29</v>
      </c>
      <c r="Q185">
        <f>HYPERLINK("https://images.diginfra.net/framed3.html?imagesetuuid=a9adb8ed-3212-4745-a472-51257845b9e2&amp;uri=https://images.diginfra.net/iiif/NL-HaNA_1.01.02/3800/NL-HaNA_1.01.02_3800_0283.jpg", "viewer_url")</f>
        <v/>
      </c>
      <c r="R185">
        <f>HYPERLINK("https://images.diginfra.net/iiif/NL-HaNA_1.01.02/3800/NL-HaNA_1.01.02_3800_0283.jpg/307,569,1101,2877/full/0/default.jpg", "iiif_url")</f>
        <v/>
      </c>
      <c r="S185" t="s">
        <v>29</v>
      </c>
      <c r="T185" t="s">
        <v>820</v>
      </c>
      <c r="U185">
        <f>HYPERLINK("https://images.diginfra.net/framed3.html?imagesetuuid=a9adb8ed-3212-4745-a472-51257845b9e2&amp;uri=https://images.diginfra.net/iiif/NL-HaNA_1.01.02/3800/NL-HaNA_1.01.02_3800_0282.jpg", "prev_meeting_viewer_url")</f>
        <v/>
      </c>
      <c r="V185">
        <f>HYPERLINK("https://images.diginfra.net/iiif/NL-HaNA_1.01.02/3800/NL-HaNA_1.01.02_3800_0282.jpg/2334,570,1103,2887/full/0/default.jpg", "prev_meeting_iiif_url")</f>
        <v/>
      </c>
      <c r="W185" t="s">
        <v>29</v>
      </c>
      <c r="X185" t="s">
        <v>821</v>
      </c>
      <c r="Y185">
        <f>HYPERLINK("https://images.diginfra.net/framed3.html?imagesetuuid=a9adb8ed-3212-4745-a472-51257845b9e2&amp;uri=https://images.diginfra.net/iiif/NL-HaNA_1.01.02/3800/NL-HaNA_1.01.02_3800_0284.jpg", "next_meeting_viewer_url")</f>
        <v/>
      </c>
      <c r="Z185">
        <f>HYPERLINK("https://images.diginfra.net/iiif/NL-HaNA_1.01.02/3800/NL-HaNA_1.01.02_3800_0284.jpg/1261,1275,1105,2140/full/0/default.jpg", "next_meeting_iiif_url")</f>
        <v/>
      </c>
    </row>
    <row r="186" spans="1:26">
      <c r="A186" t="s">
        <v>822</v>
      </c>
      <c r="B186" t="s">
        <v>48</v>
      </c>
      <c r="D186" t="b">
        <v>0</v>
      </c>
      <c r="E186" t="b">
        <v>0</v>
      </c>
      <c r="I186" t="s">
        <v>823</v>
      </c>
      <c r="J186" t="n">
        <v>3822</v>
      </c>
      <c r="K186" t="n">
        <v>211</v>
      </c>
      <c r="L186" t="n">
        <v>421</v>
      </c>
      <c r="M186" t="n">
        <v>1</v>
      </c>
      <c r="N186" t="n">
        <v>3</v>
      </c>
      <c r="O186" t="n">
        <v>0</v>
      </c>
      <c r="P186" t="s">
        <v>29</v>
      </c>
      <c r="Q186">
        <f>HYPERLINK("https://images.diginfra.net/framed3.html?imagesetuuid=e0965315-891d-46c1-9dac-fc6b729921cf&amp;uri=https://images.diginfra.net/iiif/NL-HaNA_1.01.02/3822/NL-HaNA_1.01.02_3822_0211.jpg", "viewer_url")</f>
        <v/>
      </c>
      <c r="R186">
        <f>HYPERLINK("https://images.diginfra.net/iiif/NL-HaNA_1.01.02/3822/NL-HaNA_1.01.02_3822_0211.jpg/3332,1220,1064,2148/full/0/default.jpg", "iiif_url")</f>
        <v/>
      </c>
      <c r="S186" t="s">
        <v>29</v>
      </c>
      <c r="T186" t="s">
        <v>236</v>
      </c>
      <c r="U186">
        <f>HYPERLINK("https://images.diginfra.net/framed3.html?imagesetuuid=e0965315-891d-46c1-9dac-fc6b729921cf&amp;uri=https://images.diginfra.net/iiif/NL-HaNA_1.01.02/3822/NL-HaNA_1.01.02_3822_0208.jpg", "prev_meeting_viewer_url")</f>
        <v/>
      </c>
      <c r="V186">
        <f>HYPERLINK("https://images.diginfra.net/iiif/NL-HaNA_1.01.02/3822/NL-HaNA_1.01.02_3822_0208.jpg/2422,2098,1006,1234/full/0/default.jpg", "prev_meeting_iiif_url")</f>
        <v/>
      </c>
      <c r="W186" t="s">
        <v>29</v>
      </c>
      <c r="X186" t="s">
        <v>824</v>
      </c>
      <c r="Y186">
        <f>HYPERLINK("https://images.diginfra.net/framed3.html?imagesetuuid=e0965315-891d-46c1-9dac-fc6b729921cf&amp;uri=https://images.diginfra.net/iiif/NL-HaNA_1.01.02/3822/NL-HaNA_1.01.02_3822_0211.jpg", "next_meeting_viewer_url")</f>
        <v/>
      </c>
      <c r="Z186">
        <f>HYPERLINK("https://images.diginfra.net/iiif/NL-HaNA_1.01.02/3822/NL-HaNA_1.01.02_3822_0211.jpg/3332,1220,1064,2148/full/0/default.jpg", "next_meeting_iiif_url")</f>
        <v/>
      </c>
    </row>
    <row r="187" spans="1:26">
      <c r="A187" t="s">
        <v>825</v>
      </c>
      <c r="B187" t="s">
        <v>76</v>
      </c>
      <c r="C187" t="s">
        <v>826</v>
      </c>
      <c r="D187" t="b">
        <v>1</v>
      </c>
      <c r="E187" t="b">
        <v>1</v>
      </c>
      <c r="I187" t="s">
        <v>827</v>
      </c>
      <c r="J187" t="n">
        <v>3823</v>
      </c>
      <c r="K187" t="n">
        <v>135</v>
      </c>
      <c r="L187" t="n">
        <v>268</v>
      </c>
      <c r="M187" t="n">
        <v>0</v>
      </c>
      <c r="N187" t="n">
        <v>1</v>
      </c>
      <c r="O187" t="n">
        <v>0</v>
      </c>
      <c r="P187" t="s">
        <v>29</v>
      </c>
      <c r="Q187">
        <f>HYPERLINK("https://images.diginfra.net/framed3.html?imagesetuuid=08f55768-66d4-4560-816c-70f4ea910842&amp;uri=https://images.diginfra.net/iiif/NL-HaNA_1.01.02/3823/NL-HaNA_1.01.02_3823_0135.jpg", "viewer_url")</f>
        <v/>
      </c>
      <c r="R187">
        <f>HYPERLINK("https://images.diginfra.net/iiif/NL-HaNA_1.01.02/3823/NL-HaNA_1.01.02_3823_0135.jpg/372,2035,1012,1331/full/0/default.jpg", "iiif_url")</f>
        <v/>
      </c>
      <c r="S187" t="s">
        <v>29</v>
      </c>
      <c r="T187" t="s">
        <v>828</v>
      </c>
      <c r="U187">
        <f>HYPERLINK("https://images.diginfra.net/framed3.html?imagesetuuid=08f55768-66d4-4560-816c-70f4ea910842&amp;uri=https://images.diginfra.net/iiif/NL-HaNA_1.01.02/3823/NL-HaNA_1.01.02_3823_0134.jpg", "prev_meeting_viewer_url")</f>
        <v/>
      </c>
      <c r="V187">
        <f>HYPERLINK("https://images.diginfra.net/iiif/NL-HaNA_1.01.02/3823/NL-HaNA_1.01.02_3823_0134.jpg/1312,2324,1013,984/full/0/default.jpg", "prev_meeting_iiif_url")</f>
        <v/>
      </c>
      <c r="W187" t="s">
        <v>29</v>
      </c>
      <c r="X187" t="s">
        <v>366</v>
      </c>
      <c r="Y187">
        <f>HYPERLINK("https://images.diginfra.net/framed3.html?imagesetuuid=08f55768-66d4-4560-816c-70f4ea910842&amp;uri=https://images.diginfra.net/iiif/NL-HaNA_1.01.02/3823/NL-HaNA_1.01.02_3823_0136.jpg", "next_meeting_viewer_url")</f>
        <v/>
      </c>
      <c r="Z187">
        <f>HYPERLINK("https://images.diginfra.net/iiif/NL-HaNA_1.01.02/3823/NL-HaNA_1.01.02_3823_0136.jpg/3361,1442,1065,1964/full/0/default.jpg", "next_meeting_iiif_url")</f>
        <v/>
      </c>
    </row>
    <row r="188" spans="1:26">
      <c r="A188" t="s">
        <v>829</v>
      </c>
      <c r="B188" t="s">
        <v>37</v>
      </c>
      <c r="C188" t="s">
        <v>830</v>
      </c>
      <c r="D188" t="b">
        <v>1</v>
      </c>
      <c r="E188" t="b">
        <v>1</v>
      </c>
      <c r="I188" t="s">
        <v>831</v>
      </c>
      <c r="J188" t="n">
        <v>3799</v>
      </c>
      <c r="K188" t="n">
        <v>70</v>
      </c>
      <c r="L188" t="n">
        <v>139</v>
      </c>
      <c r="M188" t="n">
        <v>0</v>
      </c>
      <c r="N188" t="n">
        <v>0</v>
      </c>
      <c r="O188" t="n">
        <v>0</v>
      </c>
      <c r="P188" t="s">
        <v>29</v>
      </c>
      <c r="Q188">
        <f>HYPERLINK("https://images.diginfra.net/framed3.html?imagesetuuid=4246d97e-5e7a-4171-b55e-14e0b73f61db&amp;uri=https://images.diginfra.net/iiif/NL-HaNA_1.01.02/3799/NL-HaNA_1.01.02_3799_0070.jpg", "viewer_url")</f>
        <v/>
      </c>
      <c r="R188">
        <f>HYPERLINK("https://images.diginfra.net/iiif/NL-HaNA_1.01.02/3799/NL-HaNA_1.01.02_3799_0070.jpg/2379,338,1078,3122/full/0/default.jpg", "iiif_url")</f>
        <v/>
      </c>
      <c r="S188" t="s">
        <v>29</v>
      </c>
      <c r="T188" t="s">
        <v>832</v>
      </c>
      <c r="U188">
        <f>HYPERLINK("https://images.diginfra.net/framed3.html?imagesetuuid=4246d97e-5e7a-4171-b55e-14e0b73f61db&amp;uri=https://images.diginfra.net/iiif/NL-HaNA_1.01.02/3799/NL-HaNA_1.01.02_3799_0069.jpg", "prev_meeting_viewer_url")</f>
        <v/>
      </c>
      <c r="V188">
        <f>HYPERLINK("https://images.diginfra.net/iiif/NL-HaNA_1.01.02/3799/NL-HaNA_1.01.02_3799_0069.jpg/3320,1587,1092,1810/full/0/default.jpg", "prev_meeting_iiif_url")</f>
        <v/>
      </c>
      <c r="W188" t="s">
        <v>29</v>
      </c>
      <c r="X188" t="s">
        <v>833</v>
      </c>
      <c r="Y188">
        <f>HYPERLINK("https://images.diginfra.net/framed3.html?imagesetuuid=4246d97e-5e7a-4171-b55e-14e0b73f61db&amp;uri=https://images.diginfra.net/iiif/NL-HaNA_1.01.02/3799/NL-HaNA_1.01.02_3799_0071.jpg", "next_meeting_viewer_url")</f>
        <v/>
      </c>
      <c r="Z188">
        <f>HYPERLINK("https://images.diginfra.net/iiif/NL-HaNA_1.01.02/3799/NL-HaNA_1.01.02_3799_0071.jpg/421,1055,1095,2418/full/0/default.jpg", "next_meeting_iiif_url")</f>
        <v/>
      </c>
    </row>
    <row r="189" spans="1:26">
      <c r="A189" t="s">
        <v>834</v>
      </c>
      <c r="B189" t="s">
        <v>42</v>
      </c>
      <c r="C189" t="s">
        <v>835</v>
      </c>
      <c r="D189" t="b">
        <v>1</v>
      </c>
      <c r="E189" t="b">
        <v>1</v>
      </c>
      <c r="I189" t="s">
        <v>836</v>
      </c>
      <c r="J189" t="n">
        <v>3768</v>
      </c>
      <c r="K189" t="n">
        <v>696</v>
      </c>
      <c r="L189" t="n">
        <v>1390</v>
      </c>
      <c r="M189" t="n">
        <v>2</v>
      </c>
      <c r="N189" t="n">
        <v>1</v>
      </c>
      <c r="O189" t="n">
        <v>0</v>
      </c>
      <c r="P189" t="s">
        <v>29</v>
      </c>
      <c r="Q189">
        <f>HYPERLINK("https://images.diginfra.net/framed3.html?imagesetuuid=1acf58b1-bf15-476d-be78-c088e43e81b9&amp;uri=https://images.diginfra.net/iiif/NL-HaNA_1.01.02/3768/NL-HaNA_1.01.02_3768_0696.jpg", "viewer_url")</f>
        <v/>
      </c>
      <c r="R189">
        <f>HYPERLINK("https://images.diginfra.net/iiif/NL-HaNA_1.01.02/3768/NL-HaNA_1.01.02_3768_0696.jpg/1150,429,1116,2956/full/0/default.jpg", "iiif_url")</f>
        <v/>
      </c>
      <c r="S189" t="s">
        <v>29</v>
      </c>
      <c r="T189" t="s">
        <v>837</v>
      </c>
      <c r="U189">
        <f>HYPERLINK("https://images.diginfra.net/framed3.html?imagesetuuid=1acf58b1-bf15-476d-be78-c088e43e81b9&amp;uri=https://images.diginfra.net/iiif/NL-HaNA_1.01.02/3768/NL-HaNA_1.01.02_3768_0693.jpg", "prev_meeting_viewer_url")</f>
        <v/>
      </c>
      <c r="V189">
        <f>HYPERLINK("https://images.diginfra.net/iiif/NL-HaNA_1.01.02/3768/NL-HaNA_1.01.02_3768_0693.jpg/365,2540,1046,790/full/0/default.jpg", "prev_meeting_iiif_url")</f>
        <v/>
      </c>
      <c r="W189" t="s">
        <v>29</v>
      </c>
      <c r="X189" t="s">
        <v>838</v>
      </c>
      <c r="Y189">
        <f>HYPERLINK("https://images.diginfra.net/framed3.html?imagesetuuid=1acf58b1-bf15-476d-be78-c088e43e81b9&amp;uri=https://images.diginfra.net/iiif/NL-HaNA_1.01.02/3768/NL-HaNA_1.01.02_3768_0697.jpg", "next_meeting_viewer_url")</f>
        <v/>
      </c>
      <c r="Z189">
        <f>HYPERLINK("https://images.diginfra.net/iiif/NL-HaNA_1.01.02/3768/NL-HaNA_1.01.02_3768_0697.jpg/1267,2805,1044,555/full/0/default.jpg", "next_meeting_iiif_url")</f>
        <v/>
      </c>
    </row>
    <row r="190" spans="1:26">
      <c r="A190" t="s">
        <v>839</v>
      </c>
      <c r="B190" t="s">
        <v>53</v>
      </c>
      <c r="C190" t="s">
        <v>840</v>
      </c>
      <c r="D190" t="b">
        <v>1</v>
      </c>
      <c r="E190" t="b">
        <v>1</v>
      </c>
      <c r="I190" t="s">
        <v>841</v>
      </c>
      <c r="J190" t="n">
        <v>3839</v>
      </c>
      <c r="K190" t="n">
        <v>54</v>
      </c>
      <c r="L190" t="n">
        <v>107</v>
      </c>
      <c r="M190" t="n">
        <v>1</v>
      </c>
      <c r="N190" t="n">
        <v>2</v>
      </c>
      <c r="O190" t="n">
        <v>0</v>
      </c>
      <c r="P190" t="s">
        <v>29</v>
      </c>
      <c r="Q190">
        <f>HYPERLINK("https://images.diginfra.net/framed3.html?imagesetuuid=bd074b51-3206-4dd9-b65b-2a404481d480&amp;uri=https://images.diginfra.net/iiif/NL-HaNA_1.01.02/3839/NL-HaNA_1.01.02_3839_0054.jpg", "viewer_url")</f>
        <v/>
      </c>
      <c r="R190">
        <f>HYPERLINK("https://images.diginfra.net/iiif/NL-HaNA_1.01.02/3839/NL-HaNA_1.01.02_3839_0054.jpg/3322,1349,1085,2086/full/0/default.jpg", "iiif_url")</f>
        <v/>
      </c>
      <c r="S190" t="s">
        <v>29</v>
      </c>
      <c r="T190" t="s">
        <v>842</v>
      </c>
      <c r="U190">
        <f>HYPERLINK("https://images.diginfra.net/framed3.html?imagesetuuid=bd074b51-3206-4dd9-b65b-2a404481d480&amp;uri=https://images.diginfra.net/iiif/NL-HaNA_1.01.02/3839/NL-HaNA_1.01.02_3839_0053.jpg", "prev_meeting_viewer_url")</f>
        <v/>
      </c>
      <c r="V190">
        <f>HYPERLINK("https://images.diginfra.net/iiif/NL-HaNA_1.01.02/3839/NL-HaNA_1.01.02_3839_0053.jpg/2430,2893,1013,550/full/0/default.jpg", "prev_meeting_iiif_url")</f>
        <v/>
      </c>
      <c r="W190" t="s">
        <v>29</v>
      </c>
      <c r="X190" t="s">
        <v>843</v>
      </c>
      <c r="Y190">
        <f>HYPERLINK("https://images.diginfra.net/framed3.html?imagesetuuid=bd074b51-3206-4dd9-b65b-2a404481d480&amp;uri=https://images.diginfra.net/iiif/NL-HaNA_1.01.02/3839/NL-HaNA_1.01.02_3839_0060.jpg", "next_meeting_viewer_url")</f>
        <v/>
      </c>
      <c r="Z190">
        <f>HYPERLINK("https://images.diginfra.net/iiif/NL-HaNA_1.01.02/3839/NL-HaNA_1.01.02_3839_0060.jpg/3281,1033,1079,2374/full/0/default.jpg", "next_meeting_iiif_url")</f>
        <v/>
      </c>
    </row>
    <row r="191" spans="1:26">
      <c r="A191" t="s">
        <v>844</v>
      </c>
      <c r="B191" t="s">
        <v>27</v>
      </c>
      <c r="C191" t="s">
        <v>845</v>
      </c>
      <c r="D191" t="b">
        <v>1</v>
      </c>
      <c r="E191" t="b">
        <v>1</v>
      </c>
      <c r="I191" t="s">
        <v>846</v>
      </c>
      <c r="J191" t="n">
        <v>3797</v>
      </c>
      <c r="K191" t="n">
        <v>103</v>
      </c>
      <c r="L191" t="n">
        <v>205</v>
      </c>
      <c r="M191" t="n">
        <v>1</v>
      </c>
      <c r="N191" t="n">
        <v>1</v>
      </c>
      <c r="O191" t="n">
        <v>0</v>
      </c>
      <c r="P191" t="s">
        <v>29</v>
      </c>
      <c r="Q191">
        <f>HYPERLINK("https://images.diginfra.net/framed3.html?imagesetuuid=02516f87-475f-4001-a332-8d96f5aecb93&amp;uri=https://images.diginfra.net/iiif/NL-HaNA_1.01.02/3797/NL-HaNA_1.01.02_3797_0103.jpg", "viewer_url")</f>
        <v/>
      </c>
      <c r="R191">
        <f>HYPERLINK("https://images.diginfra.net/iiif/NL-HaNA_1.01.02/3797/NL-HaNA_1.01.02_3797_0103.jpg/3462,629,1117,2797/full/0/default.jpg", "iiif_url")</f>
        <v/>
      </c>
      <c r="S191" t="s">
        <v>29</v>
      </c>
      <c r="T191" t="s">
        <v>211</v>
      </c>
      <c r="U191">
        <f>HYPERLINK("https://images.diginfra.net/framed3.html?imagesetuuid=02516f87-475f-4001-a332-8d96f5aecb93&amp;uri=https://images.diginfra.net/iiif/NL-HaNA_1.01.02/3797/NL-HaNA_1.01.02_3797_0103.jpg", "prev_meeting_viewer_url")</f>
        <v/>
      </c>
      <c r="V191">
        <f>HYPERLINK("https://images.diginfra.net/iiif/NL-HaNA_1.01.02/3797/NL-HaNA_1.01.02_3797_0103.jpg/416,1787,1076,1596/full/0/default.jpg", "prev_meeting_iiif_url")</f>
        <v/>
      </c>
      <c r="W191" t="s">
        <v>29</v>
      </c>
      <c r="X191" t="s">
        <v>209</v>
      </c>
      <c r="Y191">
        <f>HYPERLINK("https://images.diginfra.net/framed3.html?imagesetuuid=02516f87-475f-4001-a332-8d96f5aecb93&amp;uri=https://images.diginfra.net/iiif/NL-HaNA_1.01.02/3797/NL-HaNA_1.01.02_3797_0105.jpg", "next_meeting_viewer_url")</f>
        <v/>
      </c>
      <c r="Z191">
        <f>HYPERLINK("https://images.diginfra.net/iiif/NL-HaNA_1.01.02/3797/NL-HaNA_1.01.02_3797_0105.jpg/2543,812,1101,2640/full/0/default.jpg", "next_meeting_iiif_url")</f>
        <v/>
      </c>
    </row>
    <row r="192" spans="1:26">
      <c r="A192" t="s">
        <v>847</v>
      </c>
      <c r="B192" t="s">
        <v>37</v>
      </c>
      <c r="C192" t="s">
        <v>848</v>
      </c>
      <c r="D192" t="b">
        <v>1</v>
      </c>
      <c r="E192" t="b">
        <v>1</v>
      </c>
      <c r="I192" t="s">
        <v>849</v>
      </c>
      <c r="J192" t="n">
        <v>3796</v>
      </c>
      <c r="K192" t="n">
        <v>486</v>
      </c>
      <c r="L192" t="n">
        <v>971</v>
      </c>
      <c r="M192" t="n">
        <v>0</v>
      </c>
      <c r="N192" t="n">
        <v>3</v>
      </c>
      <c r="O192" t="n">
        <v>0</v>
      </c>
      <c r="P192" t="s">
        <v>29</v>
      </c>
      <c r="Q192">
        <f>HYPERLINK("https://images.diginfra.net/framed3.html?imagesetuuid=ece8f80b-0549-4e73-82ff-af47ed8525ac&amp;uri=https://images.diginfra.net/iiif/NL-HaNA_1.01.02/3796/NL-HaNA_1.01.02_3796_0486.jpg", "viewer_url")</f>
        <v/>
      </c>
      <c r="R192">
        <f>HYPERLINK("https://images.diginfra.net/iiif/NL-HaNA_1.01.02/3796/NL-HaNA_1.01.02_3796_0486.jpg/2589,2882,884,504/full/0/default.jpg", "iiif_url")</f>
        <v/>
      </c>
      <c r="W192" t="s">
        <v>29</v>
      </c>
      <c r="X192" t="s">
        <v>850</v>
      </c>
      <c r="Y192">
        <f>HYPERLINK("https://images.diginfra.net/framed3.html?imagesetuuid=ece8f80b-0549-4e73-82ff-af47ed8525ac&amp;uri=https://images.diginfra.net/iiif/NL-HaNA_1.01.02/3796/NL-HaNA_1.01.02_3796_0495.jpg", "next_meeting_viewer_url")</f>
        <v/>
      </c>
      <c r="Z192">
        <f>HYPERLINK("https://images.diginfra.net/iiif/NL-HaNA_1.01.02/3796/NL-HaNA_1.01.02_3796_0495.jpg/3446,1324,1212,2054/full/0/default.jpg", "next_meeting_iiif_url")</f>
        <v/>
      </c>
    </row>
    <row r="193" spans="1:26">
      <c r="A193" t="s">
        <v>851</v>
      </c>
      <c r="B193" t="s">
        <v>63</v>
      </c>
      <c r="C193" t="s">
        <v>852</v>
      </c>
      <c r="D193" t="b">
        <v>1</v>
      </c>
      <c r="E193" t="b">
        <v>1</v>
      </c>
      <c r="I193" t="s">
        <v>853</v>
      </c>
      <c r="J193" t="n">
        <v>3819</v>
      </c>
      <c r="K193" t="n">
        <v>107</v>
      </c>
      <c r="L193" t="n">
        <v>212</v>
      </c>
      <c r="M193" t="n">
        <v>0</v>
      </c>
      <c r="N193" t="n">
        <v>1</v>
      </c>
      <c r="O193" t="n">
        <v>0</v>
      </c>
      <c r="P193" t="s">
        <v>29</v>
      </c>
      <c r="Q193">
        <f>HYPERLINK("https://images.diginfra.net/framed3.html?imagesetuuid=711b4f86-3dbd-47ca-af9d-52eb1c30bc58&amp;uri=https://images.diginfra.net/iiif/NL-HaNA_1.01.02/3819/NL-HaNA_1.01.02_3819_0107.jpg", "viewer_url")</f>
        <v/>
      </c>
      <c r="R193">
        <f>HYPERLINK("https://images.diginfra.net/iiif/NL-HaNA_1.01.02/3819/NL-HaNA_1.01.02_3819_0107.jpg/248,1163,1090,2209/full/0/default.jpg", "iiif_url")</f>
        <v/>
      </c>
      <c r="S193" t="s">
        <v>29</v>
      </c>
      <c r="T193" t="s">
        <v>854</v>
      </c>
      <c r="U193">
        <f>HYPERLINK("https://images.diginfra.net/framed3.html?imagesetuuid=711b4f86-3dbd-47ca-af9d-52eb1c30bc58&amp;uri=https://images.diginfra.net/iiif/NL-HaNA_1.01.02/3819/NL-HaNA_1.01.02_3819_0105.jpg", "prev_meeting_viewer_url")</f>
        <v/>
      </c>
      <c r="V193">
        <f>HYPERLINK("https://images.diginfra.net/iiif/NL-HaNA_1.01.02/3819/NL-HaNA_1.01.02_3819_0105.jpg/3450,3087,875,318/full/0/default.jpg", "prev_meeting_iiif_url")</f>
        <v/>
      </c>
      <c r="W193" t="s">
        <v>29</v>
      </c>
      <c r="X193" t="s">
        <v>855</v>
      </c>
      <c r="Y193">
        <f>HYPERLINK("https://images.diginfra.net/framed3.html?imagesetuuid=711b4f86-3dbd-47ca-af9d-52eb1c30bc58&amp;uri=https://images.diginfra.net/iiif/NL-HaNA_1.01.02/3819/NL-HaNA_1.01.02_3819_0107.jpg", "next_meeting_viewer_url")</f>
        <v/>
      </c>
      <c r="Z193">
        <f>HYPERLINK("https://images.diginfra.net/iiif/NL-HaNA_1.01.02/3819/NL-HaNA_1.01.02_3819_0107.jpg/3331,1662,1099,1642/full/0/default.jpg", "next_meeting_iiif_url")</f>
        <v/>
      </c>
    </row>
    <row r="194" spans="1:26">
      <c r="A194" t="s">
        <v>856</v>
      </c>
      <c r="B194" t="s">
        <v>48</v>
      </c>
      <c r="D194" t="b">
        <v>0</v>
      </c>
      <c r="E194" t="b">
        <v>0</v>
      </c>
      <c r="I194" t="s">
        <v>857</v>
      </c>
      <c r="J194" t="n">
        <v>3784</v>
      </c>
      <c r="K194" t="n">
        <v>45</v>
      </c>
      <c r="L194" t="n">
        <v>89</v>
      </c>
      <c r="M194" t="n">
        <v>0</v>
      </c>
      <c r="N194" t="n">
        <v>0</v>
      </c>
      <c r="O194" t="n">
        <v>0</v>
      </c>
      <c r="P194" t="s">
        <v>29</v>
      </c>
      <c r="Q194">
        <f>HYPERLINK("https://images.diginfra.net/framed3.html?imagesetuuid=cb2f6e2d-502d-41d8-a51c-455c64ed98c9&amp;uri=https://images.diginfra.net/iiif/NL-HaNA_1.01.02/3784/NL-HaNA_1.01.02_3784_0045.jpg", "viewer_url")</f>
        <v/>
      </c>
      <c r="R194">
        <f>HYPERLINK("https://images.diginfra.net/iiif/NL-HaNA_1.01.02/3784/NL-HaNA_1.01.02_3784_0045.jpg/2477,1548,1066,1875/full/0/default.jpg", "iiif_url")</f>
        <v/>
      </c>
      <c r="W194" t="s">
        <v>29</v>
      </c>
      <c r="X194" t="s">
        <v>858</v>
      </c>
      <c r="Y194">
        <f>HYPERLINK("https://images.diginfra.net/framed3.html?imagesetuuid=cb2f6e2d-502d-41d8-a51c-455c64ed98c9&amp;uri=https://images.diginfra.net/iiif/NL-HaNA_1.01.02/3784/NL-HaNA_1.01.02_3784_0045.jpg", "next_meeting_viewer_url")</f>
        <v/>
      </c>
      <c r="Z194">
        <f>HYPERLINK("https://images.diginfra.net/iiif/NL-HaNA_1.01.02/3784/NL-HaNA_1.01.02_3784_0045.jpg/2477,1548,1066,1875/full/0/default.jpg", "next_meeting_iiif_url")</f>
        <v/>
      </c>
    </row>
    <row r="195" spans="1:26">
      <c r="A195" t="s">
        <v>859</v>
      </c>
      <c r="B195" t="s">
        <v>76</v>
      </c>
      <c r="C195" t="s">
        <v>860</v>
      </c>
      <c r="D195" t="b">
        <v>1</v>
      </c>
      <c r="E195" t="b">
        <v>1</v>
      </c>
      <c r="I195" t="s">
        <v>861</v>
      </c>
      <c r="J195" t="n">
        <v>3763</v>
      </c>
      <c r="K195" t="n">
        <v>385</v>
      </c>
      <c r="L195" t="n">
        <v>769</v>
      </c>
      <c r="M195" t="n">
        <v>0</v>
      </c>
      <c r="N195" t="n">
        <v>1</v>
      </c>
      <c r="O195" t="n">
        <v>0</v>
      </c>
      <c r="P195" t="s">
        <v>29</v>
      </c>
      <c r="Q195">
        <f>HYPERLINK("https://images.diginfra.net/framed3.html?imagesetuuid=168ac05c-00de-43e1-bb35-d8e406b92363&amp;uri=https://images.diginfra.net/iiif/NL-HaNA_1.01.02/3763/NL-HaNA_1.01.02_3763_0385.jpg", "viewer_url")</f>
        <v/>
      </c>
      <c r="R195">
        <f>HYPERLINK("https://images.diginfra.net/iiif/NL-HaNA_1.01.02/3763/NL-HaNA_1.01.02_3763_0385.jpg/2364,457,1093,2910/full/0/default.jpg", "iiif_url")</f>
        <v/>
      </c>
      <c r="S195" t="s">
        <v>29</v>
      </c>
      <c r="T195" t="s">
        <v>862</v>
      </c>
      <c r="U195">
        <f>HYPERLINK("https://images.diginfra.net/framed3.html?imagesetuuid=168ac05c-00de-43e1-bb35-d8e406b92363&amp;uri=https://images.diginfra.net/iiif/NL-HaNA_1.01.02/3763/NL-HaNA_1.01.02_3763_0384.jpg", "prev_meeting_viewer_url")</f>
        <v/>
      </c>
      <c r="V195">
        <f>HYPERLINK("https://images.diginfra.net/iiif/NL-HaNA_1.01.02/3763/NL-HaNA_1.01.02_3763_0384.jpg/245,2541,1029,788/full/0/default.jpg", "prev_meeting_iiif_url")</f>
        <v/>
      </c>
      <c r="W195" t="s">
        <v>29</v>
      </c>
      <c r="X195" t="s">
        <v>863</v>
      </c>
      <c r="Y195">
        <f>HYPERLINK("https://images.diginfra.net/framed3.html?imagesetuuid=168ac05c-00de-43e1-bb35-d8e406b92363&amp;uri=https://images.diginfra.net/iiif/NL-HaNA_1.01.02/3763/NL-HaNA_1.01.02_3763_0387.jpg", "next_meeting_viewer_url")</f>
        <v/>
      </c>
      <c r="Z195">
        <f>HYPERLINK("https://images.diginfra.net/iiif/NL-HaNA_1.01.02/3763/NL-HaNA_1.01.02_3763_0387.jpg/1186,703,1118,2663/full/0/default.jpg", "next_meeting_iiif_url")</f>
        <v/>
      </c>
    </row>
    <row r="196" spans="1:26">
      <c r="A196" t="s">
        <v>864</v>
      </c>
      <c r="B196" t="s">
        <v>27</v>
      </c>
      <c r="C196" t="s">
        <v>865</v>
      </c>
      <c r="D196" t="b">
        <v>1</v>
      </c>
      <c r="E196" t="b">
        <v>1</v>
      </c>
      <c r="I196" t="s">
        <v>866</v>
      </c>
      <c r="J196" t="n">
        <v>3794</v>
      </c>
      <c r="K196" t="n">
        <v>144</v>
      </c>
      <c r="L196" t="n">
        <v>287</v>
      </c>
      <c r="M196" t="n">
        <v>0</v>
      </c>
      <c r="N196" t="n">
        <v>1</v>
      </c>
      <c r="O196" t="n">
        <v>0</v>
      </c>
      <c r="P196" t="s">
        <v>29</v>
      </c>
      <c r="Q196">
        <f>HYPERLINK("https://images.diginfra.net/framed3.html?imagesetuuid=5debb5c6-ae39-480e-845e-6e10690f8984&amp;uri=https://images.diginfra.net/iiif/NL-HaNA_1.01.02/3794/NL-HaNA_1.01.02_3794_0144.jpg", "viewer_url")</f>
        <v/>
      </c>
      <c r="R196">
        <f>HYPERLINK("https://images.diginfra.net/iiif/NL-HaNA_1.01.02/3794/NL-HaNA_1.01.02_3794_0144.jpg/2438,508,1082,2934/full/0/default.jpg", "iiif_url")</f>
        <v/>
      </c>
      <c r="S196" t="s">
        <v>29</v>
      </c>
      <c r="T196" t="s">
        <v>867</v>
      </c>
      <c r="U196">
        <f>HYPERLINK("https://images.diginfra.net/framed3.html?imagesetuuid=5debb5c6-ae39-480e-845e-6e10690f8984&amp;uri=https://images.diginfra.net/iiif/NL-HaNA_1.01.02/3794/NL-HaNA_1.01.02_3794_0143.jpg", "prev_meeting_viewer_url")</f>
        <v/>
      </c>
      <c r="V196">
        <f>HYPERLINK("https://images.diginfra.net/iiif/NL-HaNA_1.01.02/3794/NL-HaNA_1.01.02_3794_0143.jpg/2419,749,1082,2566/full/0/default.jpg", "prev_meeting_iiif_url")</f>
        <v/>
      </c>
      <c r="W196" t="s">
        <v>29</v>
      </c>
      <c r="X196" t="s">
        <v>868</v>
      </c>
      <c r="Y196">
        <f>HYPERLINK("https://images.diginfra.net/framed3.html?imagesetuuid=5debb5c6-ae39-480e-845e-6e10690f8984&amp;uri=https://images.diginfra.net/iiif/NL-HaNA_1.01.02/3794/NL-HaNA_1.01.02_3794_0144.jpg", "next_meeting_viewer_url")</f>
        <v/>
      </c>
      <c r="Z196">
        <f>HYPERLINK("https://images.diginfra.net/iiif/NL-HaNA_1.01.02/3794/NL-HaNA_1.01.02_3794_0144.jpg/3374,1846,1077,1542/full/0/default.jpg", "next_meeting_iiif_url")</f>
        <v/>
      </c>
    </row>
    <row r="197" spans="1:26">
      <c r="A197" t="s">
        <v>869</v>
      </c>
      <c r="B197" t="s">
        <v>76</v>
      </c>
      <c r="C197" t="s">
        <v>811</v>
      </c>
      <c r="D197" t="b">
        <v>1</v>
      </c>
      <c r="E197" t="b">
        <v>1</v>
      </c>
      <c r="I197" t="s">
        <v>809</v>
      </c>
      <c r="J197" t="n">
        <v>3829</v>
      </c>
      <c r="K197" t="n">
        <v>401</v>
      </c>
      <c r="L197" t="n">
        <v>801</v>
      </c>
      <c r="M197" t="n">
        <v>1</v>
      </c>
      <c r="N197" t="n">
        <v>4</v>
      </c>
      <c r="O197" t="n">
        <v>0</v>
      </c>
      <c r="P197" t="s">
        <v>29</v>
      </c>
      <c r="Q197">
        <f>HYPERLINK("https://images.diginfra.net/framed3.html?imagesetuuid=4a630f3a-34aa-4b1a-92d1-c32d4455e96f&amp;uri=https://images.diginfra.net/iiif/NL-HaNA_1.01.02/3829/NL-HaNA_1.01.02_3829_0401.jpg", "viewer_url")</f>
        <v/>
      </c>
      <c r="R197">
        <f>HYPERLINK("https://images.diginfra.net/iiif/NL-HaNA_1.01.02/3829/NL-HaNA_1.01.02_3829_0401.jpg/2444,2522,1067,837/full/0/default.jpg", "iiif_url")</f>
        <v/>
      </c>
      <c r="S197" t="s">
        <v>29</v>
      </c>
      <c r="T197" t="s">
        <v>810</v>
      </c>
      <c r="U197">
        <f>HYPERLINK("https://images.diginfra.net/framed3.html?imagesetuuid=4a630f3a-34aa-4b1a-92d1-c32d4455e96f&amp;uri=https://images.diginfra.net/iiif/NL-HaNA_1.01.02/3829/NL-HaNA_1.01.02_3829_0401.jpg", "prev_meeting_viewer_url")</f>
        <v/>
      </c>
      <c r="V197">
        <f>HYPERLINK("https://images.diginfra.net/iiif/NL-HaNA_1.01.02/3829/NL-HaNA_1.01.02_3829_0401.jpg/1234,587,1099,2702/full/0/default.jpg", "prev_meeting_iiif_url")</f>
        <v/>
      </c>
      <c r="W197" t="s">
        <v>29</v>
      </c>
      <c r="X197" t="s">
        <v>870</v>
      </c>
      <c r="Y197">
        <f>HYPERLINK("https://images.diginfra.net/framed3.html?imagesetuuid=4a630f3a-34aa-4b1a-92d1-c32d4455e96f&amp;uri=https://images.diginfra.net/iiif/NL-HaNA_1.01.02/3829/NL-HaNA_1.01.02_3829_0402.jpg", "next_meeting_viewer_url")</f>
        <v/>
      </c>
      <c r="Z197">
        <f>HYPERLINK("https://images.diginfra.net/iiif/NL-HaNA_1.01.02/3829/NL-HaNA_1.01.02_3829_0402.jpg/2402,1828,1077,1423/full/0/default.jpg", "next_meeting_iiif_url")</f>
        <v/>
      </c>
    </row>
    <row r="198" spans="1:26">
      <c r="A198" t="s">
        <v>871</v>
      </c>
      <c r="B198" t="s">
        <v>37</v>
      </c>
      <c r="C198" t="s">
        <v>431</v>
      </c>
      <c r="D198" t="b">
        <v>1</v>
      </c>
      <c r="E198" t="b">
        <v>1</v>
      </c>
      <c r="I198" t="s">
        <v>872</v>
      </c>
      <c r="J198" t="n">
        <v>3814</v>
      </c>
      <c r="K198" t="n">
        <v>193</v>
      </c>
      <c r="L198" t="n">
        <v>384</v>
      </c>
      <c r="M198" t="n">
        <v>0</v>
      </c>
      <c r="N198" t="n">
        <v>0</v>
      </c>
      <c r="O198" t="n">
        <v>0</v>
      </c>
      <c r="P198" t="s">
        <v>29</v>
      </c>
      <c r="Q198">
        <f>HYPERLINK("https://images.diginfra.net/framed3.html?imagesetuuid=a95427fd-d131-4f1b-a2ee-069d038f458a&amp;uri=https://images.diginfra.net/iiif/NL-HaNA_1.01.02/3814/NL-HaNA_1.01.02_3814_0193.jpg", "viewer_url")</f>
        <v/>
      </c>
      <c r="R198">
        <f>HYPERLINK("https://images.diginfra.net/iiif/NL-HaNA_1.01.02/3814/NL-HaNA_1.01.02_3814_0193.jpg/340,307,1092,3099/full/0/default.jpg", "iiif_url")</f>
        <v/>
      </c>
      <c r="S198" t="s">
        <v>29</v>
      </c>
      <c r="T198" t="s">
        <v>873</v>
      </c>
      <c r="U198">
        <f>HYPERLINK("https://images.diginfra.net/framed3.html?imagesetuuid=a95427fd-d131-4f1b-a2ee-069d038f458a&amp;uri=https://images.diginfra.net/iiif/NL-HaNA_1.01.02/3814/NL-HaNA_1.01.02_3814_0191.jpg", "prev_meeting_viewer_url")</f>
        <v/>
      </c>
      <c r="V198">
        <f>HYPERLINK("https://images.diginfra.net/iiif/NL-HaNA_1.01.02/3814/NL-HaNA_1.01.02_3814_0191.jpg/2435,1483,1087,1978/full/0/default.jpg", "prev_meeting_iiif_url")</f>
        <v/>
      </c>
      <c r="W198" t="s">
        <v>29</v>
      </c>
      <c r="X198" t="s">
        <v>429</v>
      </c>
      <c r="Y198">
        <f>HYPERLINK("https://images.diginfra.net/framed3.html?imagesetuuid=a95427fd-d131-4f1b-a2ee-069d038f458a&amp;uri=https://images.diginfra.net/iiif/NL-HaNA_1.01.02/3814/NL-HaNA_1.01.02_3814_0195.jpg", "next_meeting_viewer_url")</f>
        <v/>
      </c>
      <c r="Z198">
        <f>HYPERLINK("https://images.diginfra.net/iiif/NL-HaNA_1.01.02/3814/NL-HaNA_1.01.02_3814_0195.jpg/2425,841,1095,2592/full/0/default.jpg", "next_meeting_iiif_url")</f>
        <v/>
      </c>
    </row>
    <row r="199" spans="1:26">
      <c r="A199" t="s">
        <v>874</v>
      </c>
      <c r="B199" t="s">
        <v>37</v>
      </c>
      <c r="C199" t="s">
        <v>875</v>
      </c>
      <c r="D199" t="b">
        <v>1</v>
      </c>
      <c r="E199" t="b">
        <v>1</v>
      </c>
      <c r="I199" t="s">
        <v>876</v>
      </c>
      <c r="J199" t="n">
        <v>3796</v>
      </c>
      <c r="K199" t="n">
        <v>232</v>
      </c>
      <c r="L199" t="n">
        <v>463</v>
      </c>
      <c r="M199" t="n">
        <v>0</v>
      </c>
      <c r="N199" t="n">
        <v>1</v>
      </c>
      <c r="O199" t="n">
        <v>0</v>
      </c>
      <c r="P199" t="s">
        <v>29</v>
      </c>
      <c r="Q199">
        <f>HYPERLINK("https://images.diginfra.net/framed3.html?imagesetuuid=ece8f80b-0549-4e73-82ff-af47ed8525ac&amp;uri=https://images.diginfra.net/iiif/NL-HaNA_1.01.02/3796/NL-HaNA_1.01.02_3796_0232.jpg", "viewer_url")</f>
        <v/>
      </c>
      <c r="R199">
        <f>HYPERLINK("https://images.diginfra.net/iiif/NL-HaNA_1.01.02/3796/NL-HaNA_1.01.02_3796_0232.jpg/2399,1672,1091,1762/full/0/default.jpg", "iiif_url")</f>
        <v/>
      </c>
      <c r="S199" t="s">
        <v>29</v>
      </c>
      <c r="T199" t="s">
        <v>877</v>
      </c>
      <c r="U199">
        <f>HYPERLINK("https://images.diginfra.net/framed3.html?imagesetuuid=ece8f80b-0549-4e73-82ff-af47ed8525ac&amp;uri=https://images.diginfra.net/iiif/NL-HaNA_1.01.02/3796/NL-HaNA_1.01.02_3796_0231.jpg", "prev_meeting_viewer_url")</f>
        <v/>
      </c>
      <c r="V199">
        <f>HYPERLINK("https://images.diginfra.net/iiif/NL-HaNA_1.01.02/3796/NL-HaNA_1.01.02_3796_0231.jpg/3499,3075,660,321/full/0/default.jpg", "prev_meeting_iiif_url")</f>
        <v/>
      </c>
      <c r="W199" t="s">
        <v>29</v>
      </c>
      <c r="X199" t="s">
        <v>878</v>
      </c>
      <c r="Y199">
        <f>HYPERLINK("https://images.diginfra.net/framed3.html?imagesetuuid=ece8f80b-0549-4e73-82ff-af47ed8525ac&amp;uri=https://images.diginfra.net/iiif/NL-HaNA_1.01.02/3796/NL-HaNA_1.01.02_3796_0234.jpg", "next_meeting_viewer_url")</f>
        <v/>
      </c>
      <c r="Z199">
        <f>HYPERLINK("https://images.diginfra.net/iiif/NL-HaNA_1.01.02/3796/NL-HaNA_1.01.02_3796_0234.jpg/3388,2755,1020,632/full/0/default.jpg", "next_meeting_iiif_url")</f>
        <v/>
      </c>
    </row>
    <row r="200" spans="1:26">
      <c r="A200" t="s">
        <v>879</v>
      </c>
      <c r="B200" t="s">
        <v>42</v>
      </c>
      <c r="C200" t="s">
        <v>880</v>
      </c>
      <c r="D200" t="b">
        <v>1</v>
      </c>
      <c r="E200" t="b">
        <v>1</v>
      </c>
      <c r="I200" t="s">
        <v>881</v>
      </c>
      <c r="J200" t="n">
        <v>3832</v>
      </c>
      <c r="K200" t="n">
        <v>462</v>
      </c>
      <c r="L200" t="n">
        <v>923</v>
      </c>
      <c r="M200" t="n">
        <v>0</v>
      </c>
      <c r="N200" t="n">
        <v>2</v>
      </c>
      <c r="O200" t="n">
        <v>0</v>
      </c>
      <c r="P200" t="s">
        <v>29</v>
      </c>
      <c r="Q200">
        <f>HYPERLINK("https://images.diginfra.net/framed3.html?imagesetuuid=e4d299a2-71b5-40fc-b329-60132fadd11f&amp;uri=https://images.diginfra.net/iiif/NL-HaNA_1.01.02/3832/NL-HaNA_1.01.02_3832_0462.jpg", "viewer_url")</f>
        <v/>
      </c>
      <c r="R200">
        <f>HYPERLINK("https://images.diginfra.net/iiif/NL-HaNA_1.01.02/3832/NL-HaNA_1.01.02_3832_0462.jpg/3200,771,1110,2606/full/0/default.jpg", "iiif_url")</f>
        <v/>
      </c>
      <c r="S200" t="s">
        <v>29</v>
      </c>
      <c r="T200" t="s">
        <v>882</v>
      </c>
      <c r="U200">
        <f>HYPERLINK("https://images.diginfra.net/framed3.html?imagesetuuid=e4d299a2-71b5-40fc-b329-60132fadd11f&amp;uri=https://images.diginfra.net/iiif/NL-HaNA_1.01.02/3832/NL-HaNA_1.01.02_3832_0460.jpg", "prev_meeting_viewer_url")</f>
        <v/>
      </c>
      <c r="V200">
        <f>HYPERLINK("https://images.diginfra.net/iiif/NL-HaNA_1.01.02/3832/NL-HaNA_1.01.02_3832_0460.jpg/3234,565,1092,2842/full/0/default.jpg", "prev_meeting_iiif_url")</f>
        <v/>
      </c>
      <c r="W200" t="s">
        <v>29</v>
      </c>
      <c r="X200" t="s">
        <v>883</v>
      </c>
      <c r="Y200">
        <f>HYPERLINK("https://images.diginfra.net/framed3.html?imagesetuuid=e4d299a2-71b5-40fc-b329-60132fadd11f&amp;uri=https://images.diginfra.net/iiif/NL-HaNA_1.01.02/3832/NL-HaNA_1.01.02_3832_0464.jpg", "next_meeting_viewer_url")</f>
        <v/>
      </c>
      <c r="Z200">
        <f>HYPERLINK("https://images.diginfra.net/iiif/NL-HaNA_1.01.02/3832/NL-HaNA_1.01.02_3832_0464.jpg/1212,1164,1073,2204/full/0/default.jpg", "next_meeting_iiif_url")</f>
        <v/>
      </c>
    </row>
    <row r="201" spans="1:26">
      <c r="A201" t="s">
        <v>884</v>
      </c>
      <c r="B201" t="s">
        <v>42</v>
      </c>
      <c r="C201" t="s">
        <v>885</v>
      </c>
      <c r="D201" t="b">
        <v>1</v>
      </c>
      <c r="E201" t="b">
        <v>1</v>
      </c>
      <c r="I201" t="s">
        <v>886</v>
      </c>
      <c r="J201" t="n">
        <v>3864</v>
      </c>
      <c r="K201" t="n">
        <v>318</v>
      </c>
      <c r="L201" t="n">
        <v>634</v>
      </c>
      <c r="M201" t="n">
        <v>1</v>
      </c>
      <c r="N201" t="n">
        <v>2</v>
      </c>
      <c r="O201" t="n">
        <v>3</v>
      </c>
      <c r="P201" t="s">
        <v>29</v>
      </c>
      <c r="Q201">
        <f>HYPERLINK("https://images.diginfra.net/framed3.html?imagesetuuid=4b21e7ce-04d7-429b-9edd-e191341917f4&amp;uri=https://images.diginfra.net/iiif/NL-HaNA_1.01.02/3864/NL-HaNA_1.01.02_3864_0318.jpg", "viewer_url")</f>
        <v/>
      </c>
      <c r="R201">
        <f>HYPERLINK("https://images.diginfra.net/iiif/NL-HaNA_1.01.02/3864/NL-HaNA_1.01.02_3864_0318.jpg/1151,1997,1031,1390/full/0/default.jpg", "iiif_url")</f>
        <v/>
      </c>
      <c r="S201" t="s">
        <v>29</v>
      </c>
      <c r="T201" t="s">
        <v>887</v>
      </c>
      <c r="U201">
        <f>HYPERLINK("https://images.diginfra.net/framed3.html?imagesetuuid=4b21e7ce-04d7-429b-9edd-e191341917f4&amp;uri=https://images.diginfra.net/iiif/NL-HaNA_1.01.02/3864/NL-HaNA_1.01.02_3864_0312.jpg", "prev_meeting_viewer_url")</f>
        <v/>
      </c>
      <c r="V201">
        <f>HYPERLINK("https://images.diginfra.net/iiif/NL-HaNA_1.01.02/3864/NL-HaNA_1.01.02_3864_0312.jpg/2364,2110,1026,1282/full/0/default.jpg", "prev_meeting_iiif_url")</f>
        <v/>
      </c>
      <c r="W201" t="s">
        <v>29</v>
      </c>
      <c r="X201" t="s">
        <v>888</v>
      </c>
      <c r="Y201">
        <f>HYPERLINK("https://images.diginfra.net/framed3.html?imagesetuuid=4b21e7ce-04d7-429b-9edd-e191341917f4&amp;uri=https://images.diginfra.net/iiif/NL-HaNA_1.01.02/3864/NL-HaNA_1.01.02_3864_0321.jpg", "next_meeting_viewer_url")</f>
        <v/>
      </c>
      <c r="Z201">
        <f>HYPERLINK("https://images.diginfra.net/iiif/NL-HaNA_1.01.02/3864/NL-HaNA_1.01.02_3864_0321.jpg/3231,602,1075,2757/full/0/default.jpg", "next_meeting_iiif_url")</f>
        <v/>
      </c>
    </row>
    <row r="202" spans="1:26">
      <c r="A202" t="s">
        <v>889</v>
      </c>
      <c r="B202" t="s">
        <v>63</v>
      </c>
      <c r="C202" t="s">
        <v>890</v>
      </c>
      <c r="D202" t="b">
        <v>1</v>
      </c>
      <c r="E202" t="b">
        <v>1</v>
      </c>
      <c r="I202" t="s">
        <v>891</v>
      </c>
      <c r="J202" t="n">
        <v>3829</v>
      </c>
      <c r="K202" t="n">
        <v>352</v>
      </c>
      <c r="L202" t="n">
        <v>703</v>
      </c>
      <c r="M202" t="n">
        <v>1</v>
      </c>
      <c r="N202" t="n">
        <v>2</v>
      </c>
      <c r="O202" t="n">
        <v>0</v>
      </c>
      <c r="P202" t="s">
        <v>29</v>
      </c>
      <c r="Q202">
        <f>HYPERLINK("https://images.diginfra.net/framed3.html?imagesetuuid=4a630f3a-34aa-4b1a-92d1-c32d4455e96f&amp;uri=https://images.diginfra.net/iiif/NL-HaNA_1.01.02/3829/NL-HaNA_1.01.02_3829_0352.jpg", "viewer_url")</f>
        <v/>
      </c>
      <c r="R202">
        <f>HYPERLINK("https://images.diginfra.net/iiif/NL-HaNA_1.01.02/3829/NL-HaNA_1.01.02_3829_0352.jpg/3292,1759,1060,1456/full/0/default.jpg", "iiif_url")</f>
        <v/>
      </c>
      <c r="S202" t="s">
        <v>29</v>
      </c>
      <c r="T202" t="s">
        <v>892</v>
      </c>
      <c r="U202">
        <f>HYPERLINK("https://images.diginfra.net/framed3.html?imagesetuuid=4a630f3a-34aa-4b1a-92d1-c32d4455e96f&amp;uri=https://images.diginfra.net/iiif/NL-HaNA_1.01.02/3829/NL-HaNA_1.01.02_3829_0352.jpg", "prev_meeting_viewer_url")</f>
        <v/>
      </c>
      <c r="V202">
        <f>HYPERLINK("https://images.diginfra.net/iiif/NL-HaNA_1.01.02/3829/NL-HaNA_1.01.02_3829_0352.jpg/279,2084,1014,1177/full/0/default.jpg", "prev_meeting_iiif_url")</f>
        <v/>
      </c>
      <c r="W202" t="s">
        <v>29</v>
      </c>
      <c r="Y202">
        <f>HYPERLINK("https://images.diginfra.net/framed3.html?imagesetuuid=4a630f3a-34aa-4b1a-92d1-c32d4455e96f&amp;uri=https://images.diginfra.net/iiif/NL-HaNA_1.01.02/3829/NL-HaNA_1.01.02_3829_0353.jpg", "next_meeting_viewer_url")</f>
        <v/>
      </c>
      <c r="Z202">
        <f>HYPERLINK("https://images.diginfra.net/iiif/NL-HaNA_1.01.02/3829/NL-HaNA_1.01.02_3829_0353.jpg/2355,1176,1073,2120/full/0/default.jpg", "next_meeting_iiif_url")</f>
        <v/>
      </c>
    </row>
    <row r="203" spans="1:26">
      <c r="A203" t="s">
        <v>893</v>
      </c>
      <c r="B203" t="s">
        <v>27</v>
      </c>
      <c r="D203" t="b">
        <v>0</v>
      </c>
      <c r="E203" t="b">
        <v>0</v>
      </c>
      <c r="I203" t="s">
        <v>894</v>
      </c>
      <c r="J203" t="n">
        <v>3810</v>
      </c>
      <c r="K203" t="n">
        <v>375</v>
      </c>
      <c r="L203" t="n">
        <v>749</v>
      </c>
      <c r="M203" t="n">
        <v>0</v>
      </c>
      <c r="N203" t="n">
        <v>2</v>
      </c>
      <c r="O203" t="n">
        <v>0</v>
      </c>
      <c r="P203" t="s">
        <v>29</v>
      </c>
      <c r="Q203">
        <f>HYPERLINK("https://images.diginfra.net/framed3.html?imagesetuuid=c09819be-7a72-4ff1-ad38-883712386d5f&amp;uri=https://images.diginfra.net/iiif/NL-HaNA_1.01.02/3810/NL-HaNA_1.01.02_3810_0375.jpg", "viewer_url")</f>
        <v/>
      </c>
      <c r="R203">
        <f>HYPERLINK("https://images.diginfra.net/iiif/NL-HaNA_1.01.02/3810/NL-HaNA_1.01.02_3810_0375.jpg/2310,1438,1073,1292/full/0/default.jpg", "iiif_url")</f>
        <v/>
      </c>
      <c r="S203" t="s">
        <v>29</v>
      </c>
      <c r="T203" t="s">
        <v>895</v>
      </c>
      <c r="U203">
        <f>HYPERLINK("https://images.diginfra.net/framed3.html?imagesetuuid=c09819be-7a72-4ff1-ad38-883712386d5f&amp;uri=https://images.diginfra.net/iiif/NL-HaNA_1.01.02/3810/NL-HaNA_1.01.02_3810_0374.jpg", "prev_meeting_viewer_url")</f>
        <v/>
      </c>
      <c r="V203">
        <f>HYPERLINK("https://images.diginfra.net/iiif/NL-HaNA_1.01.02/3810/NL-HaNA_1.01.02_3810_0374.jpg/2313,948,1090,2408/full/0/default.jpg", "prev_meeting_iiif_url")</f>
        <v/>
      </c>
      <c r="W203" t="s">
        <v>29</v>
      </c>
      <c r="X203" t="s">
        <v>896</v>
      </c>
      <c r="Y203">
        <f>HYPERLINK("https://images.diginfra.net/framed3.html?imagesetuuid=c09819be-7a72-4ff1-ad38-883712386d5f&amp;uri=https://images.diginfra.net/iiif/NL-HaNA_1.01.02/3810/NL-HaNA_1.01.02_3810_0375.jpg", "next_meeting_viewer_url")</f>
        <v/>
      </c>
      <c r="Z203">
        <f>HYPERLINK("https://images.diginfra.net/iiif/NL-HaNA_1.01.02/3810/NL-HaNA_1.01.02_3810_0375.jpg/2310,1438,1073,1292/full/0/default.jpg", "next_meeting_iiif_url")</f>
        <v/>
      </c>
    </row>
    <row r="204" spans="1:26">
      <c r="A204" t="s">
        <v>897</v>
      </c>
      <c r="B204" t="s">
        <v>48</v>
      </c>
      <c r="D204" t="b">
        <v>0</v>
      </c>
      <c r="E204" t="b">
        <v>0</v>
      </c>
      <c r="I204" t="s">
        <v>898</v>
      </c>
      <c r="J204" t="n">
        <v>3786</v>
      </c>
      <c r="K204" t="n">
        <v>82</v>
      </c>
      <c r="L204" t="n">
        <v>162</v>
      </c>
      <c r="M204" t="n">
        <v>1</v>
      </c>
      <c r="N204" t="n">
        <v>2</v>
      </c>
      <c r="O204" t="n">
        <v>0</v>
      </c>
      <c r="P204" t="s">
        <v>29</v>
      </c>
      <c r="Q204">
        <f>HYPERLINK("https://images.diginfra.net/framed3.html?imagesetuuid=508661ee-474e-44be-a74a-8aac34348aeb&amp;uri=https://images.diginfra.net/iiif/NL-HaNA_1.01.02/3786/NL-HaNA_1.01.02_3786_0082.jpg", "viewer_url")</f>
        <v/>
      </c>
      <c r="R204">
        <f>HYPERLINK("https://images.diginfra.net/iiif/NL-HaNA_1.01.02/3786/NL-HaNA_1.01.02_3786_0082.jpg/1211,1493,1107,1855/full/0/default.jpg", "iiif_url")</f>
        <v/>
      </c>
      <c r="S204" t="s">
        <v>29</v>
      </c>
      <c r="T204" t="s">
        <v>899</v>
      </c>
      <c r="U204">
        <f>HYPERLINK("https://images.diginfra.net/framed3.html?imagesetuuid=508661ee-474e-44be-a74a-8aac34348aeb&amp;uri=https://images.diginfra.net/iiif/NL-HaNA_1.01.02/3786/NL-HaNA_1.01.02_3786_0082.jpg", "prev_meeting_viewer_url")</f>
        <v/>
      </c>
      <c r="V204">
        <f>HYPERLINK("https://images.diginfra.net/iiif/NL-HaNA_1.01.02/3786/NL-HaNA_1.01.02_3786_0082.jpg/278,1525,1105,1911/full/0/default.jpg", "prev_meeting_iiif_url")</f>
        <v/>
      </c>
      <c r="W204" t="s">
        <v>29</v>
      </c>
      <c r="X204" t="s">
        <v>900</v>
      </c>
      <c r="Y204">
        <f>HYPERLINK("https://images.diginfra.net/framed3.html?imagesetuuid=508661ee-474e-44be-a74a-8aac34348aeb&amp;uri=https://images.diginfra.net/iiif/NL-HaNA_1.01.02/3786/NL-HaNA_1.01.02_3786_0082.jpg", "next_meeting_viewer_url")</f>
        <v/>
      </c>
      <c r="Z204">
        <f>HYPERLINK("https://images.diginfra.net/iiif/NL-HaNA_1.01.02/3786/NL-HaNA_1.01.02_3786_0082.jpg/1211,1493,1107,1855/full/0/default.jpg", "next_meeting_iiif_url")</f>
        <v/>
      </c>
    </row>
    <row r="205" spans="1:26">
      <c r="A205" t="s">
        <v>901</v>
      </c>
      <c r="B205" t="s">
        <v>27</v>
      </c>
      <c r="D205" t="b">
        <v>0</v>
      </c>
      <c r="E205" t="b">
        <v>0</v>
      </c>
      <c r="I205" t="s">
        <v>902</v>
      </c>
      <c r="J205" t="n">
        <v>3821</v>
      </c>
      <c r="K205" t="n">
        <v>336</v>
      </c>
      <c r="L205" t="n">
        <v>670</v>
      </c>
      <c r="M205" t="n">
        <v>1</v>
      </c>
      <c r="N205" t="n">
        <v>2</v>
      </c>
      <c r="O205" t="n">
        <v>0</v>
      </c>
      <c r="P205" t="s">
        <v>29</v>
      </c>
      <c r="Q205">
        <f>HYPERLINK("https://images.diginfra.net/framed3.html?imagesetuuid=d2997452-8788-4796-912c-2151f3b459f9&amp;uri=https://images.diginfra.net/iiif/NL-HaNA_1.01.02/3821/NL-HaNA_1.01.02_3821_0336.jpg", "viewer_url")</f>
        <v/>
      </c>
      <c r="R205">
        <f>HYPERLINK("https://images.diginfra.net/iiif/NL-HaNA_1.01.02/3821/NL-HaNA_1.01.02_3821_0336.jpg/1167,1053,1090,2346/full/0/default.jpg", "iiif_url")</f>
        <v/>
      </c>
      <c r="S205" t="s">
        <v>29</v>
      </c>
      <c r="T205" t="s">
        <v>903</v>
      </c>
      <c r="U205">
        <f>HYPERLINK("https://images.diginfra.net/framed3.html?imagesetuuid=d2997452-8788-4796-912c-2151f3b459f9&amp;uri=https://images.diginfra.net/iiif/NL-HaNA_1.01.02/3821/NL-HaNA_1.01.02_3821_0335.jpg", "prev_meeting_viewer_url")</f>
        <v/>
      </c>
      <c r="V205">
        <f>HYPERLINK("https://images.diginfra.net/iiif/NL-HaNA_1.01.02/3821/NL-HaNA_1.01.02_3821_0335.jpg/3253,550,1084,2860/full/0/default.jpg", "prev_meeting_iiif_url")</f>
        <v/>
      </c>
      <c r="W205" t="s">
        <v>29</v>
      </c>
      <c r="X205" t="s">
        <v>904</v>
      </c>
      <c r="Y205">
        <f>HYPERLINK("https://images.diginfra.net/framed3.html?imagesetuuid=d2997452-8788-4796-912c-2151f3b459f9&amp;uri=https://images.diginfra.net/iiif/NL-HaNA_1.01.02/3821/NL-HaNA_1.01.02_3821_0336.jpg", "next_meeting_viewer_url")</f>
        <v/>
      </c>
      <c r="Z205">
        <f>HYPERLINK("https://images.diginfra.net/iiif/NL-HaNA_1.01.02/3821/NL-HaNA_1.01.02_3821_0336.jpg/1167,1053,1090,2346/full/0/default.jpg", "next_meeting_iiif_url")</f>
        <v/>
      </c>
    </row>
    <row r="206" spans="1:26">
      <c r="A206" t="s">
        <v>905</v>
      </c>
      <c r="B206" t="s">
        <v>53</v>
      </c>
      <c r="C206" t="s">
        <v>906</v>
      </c>
      <c r="D206" t="b">
        <v>1</v>
      </c>
      <c r="E206" t="b">
        <v>1</v>
      </c>
      <c r="I206" t="s">
        <v>907</v>
      </c>
      <c r="J206" t="n">
        <v>3794</v>
      </c>
      <c r="K206" t="n">
        <v>135</v>
      </c>
      <c r="L206" t="n">
        <v>269</v>
      </c>
      <c r="M206" t="n">
        <v>1</v>
      </c>
      <c r="N206" t="n">
        <v>3</v>
      </c>
      <c r="O206" t="n">
        <v>0</v>
      </c>
      <c r="P206" t="s">
        <v>29</v>
      </c>
      <c r="Q206">
        <f>HYPERLINK("https://images.diginfra.net/framed3.html?imagesetuuid=5debb5c6-ae39-480e-845e-6e10690f8984&amp;uri=https://images.diginfra.net/iiif/NL-HaNA_1.01.02/3794/NL-HaNA_1.01.02_3794_0135.jpg", "viewer_url")</f>
        <v/>
      </c>
      <c r="R206">
        <f>HYPERLINK("https://images.diginfra.net/iiif/NL-HaNA_1.01.02/3794/NL-HaNA_1.01.02_3794_0135.jpg/3322,1957,1085,1407/full/0/default.jpg", "iiif_url")</f>
        <v/>
      </c>
      <c r="S206" t="s">
        <v>29</v>
      </c>
      <c r="U206">
        <f>HYPERLINK("https://images.diginfra.net/framed3.html?imagesetuuid=5debb5c6-ae39-480e-845e-6e10690f8984&amp;uri=https://images.diginfra.net/iiif/NL-HaNA_1.01.02/3794/NL-HaNA_1.01.02_3794_0135.jpg", "prev_meeting_viewer_url")</f>
        <v/>
      </c>
      <c r="V206">
        <f>HYPERLINK("https://images.diginfra.net/iiif/NL-HaNA_1.01.02/3794/NL-HaNA_1.01.02_3794_0135.jpg/1197,381,1097,3019/full/0/default.jpg", "prev_meeting_iiif_url")</f>
        <v/>
      </c>
      <c r="W206" t="s">
        <v>29</v>
      </c>
      <c r="X206" t="s">
        <v>908</v>
      </c>
      <c r="Y206">
        <f>HYPERLINK("https://images.diginfra.net/framed3.html?imagesetuuid=5debb5c6-ae39-480e-845e-6e10690f8984&amp;uri=https://images.diginfra.net/iiif/NL-HaNA_1.01.02/3794/NL-HaNA_1.01.02_3794_0136.jpg", "next_meeting_viewer_url")</f>
        <v/>
      </c>
      <c r="Z206">
        <f>HYPERLINK("https://images.diginfra.net/iiif/NL-HaNA_1.01.02/3794/NL-HaNA_1.01.02_3794_0136.jpg/1267,2637,1028,743/full/0/default.jpg", "next_meeting_iiif_url")</f>
        <v/>
      </c>
    </row>
    <row r="207" spans="1:26">
      <c r="A207" t="s">
        <v>909</v>
      </c>
      <c r="B207" t="s">
        <v>37</v>
      </c>
      <c r="C207" t="s">
        <v>910</v>
      </c>
      <c r="D207" t="b">
        <v>1</v>
      </c>
      <c r="E207" t="b">
        <v>1</v>
      </c>
      <c r="I207" t="s">
        <v>911</v>
      </c>
      <c r="J207" t="n">
        <v>3775</v>
      </c>
      <c r="K207" t="n">
        <v>75</v>
      </c>
      <c r="L207" t="n">
        <v>149</v>
      </c>
      <c r="M207" t="n">
        <v>1</v>
      </c>
      <c r="N207" t="n">
        <v>0</v>
      </c>
      <c r="O207" t="n">
        <v>0</v>
      </c>
      <c r="P207" t="s">
        <v>29</v>
      </c>
      <c r="Q207">
        <f>HYPERLINK("https://images.diginfra.net/framed3.html?imagesetuuid=e344f420-8808-4cb9-bb8a-07944ccb8c18&amp;uri=https://images.diginfra.net/iiif/NL-HaNA_1.01.02/3775/NL-HaNA_1.01.02_3775_0075.jpg", "viewer_url")</f>
        <v/>
      </c>
      <c r="R207">
        <f>HYPERLINK("https://images.diginfra.net/iiif/NL-HaNA_1.01.02/3775/NL-HaNA_1.01.02_3775_0075.jpg/3259,283,1128,3097/full/0/default.jpg", "iiif_url")</f>
        <v/>
      </c>
      <c r="S207" t="s">
        <v>29</v>
      </c>
      <c r="T207" t="s">
        <v>912</v>
      </c>
      <c r="U207">
        <f>HYPERLINK("https://images.diginfra.net/framed3.html?imagesetuuid=e344f420-8808-4cb9-bb8a-07944ccb8c18&amp;uri=https://images.diginfra.net/iiif/NL-HaNA_1.01.02/3775/NL-HaNA_1.01.02_3775_0074.jpg", "prev_meeting_viewer_url")</f>
        <v/>
      </c>
      <c r="V207">
        <f>HYPERLINK("https://images.diginfra.net/iiif/NL-HaNA_1.01.02/3775/NL-HaNA_1.01.02_3775_0074.jpg/251,2050,1082,1282/full/0/default.jpg", "prev_meeting_iiif_url")</f>
        <v/>
      </c>
      <c r="W207" t="s">
        <v>29</v>
      </c>
      <c r="X207" t="s">
        <v>913</v>
      </c>
      <c r="Y207">
        <f>HYPERLINK("https://images.diginfra.net/framed3.html?imagesetuuid=e344f420-8808-4cb9-bb8a-07944ccb8c18&amp;uri=https://images.diginfra.net/iiif/NL-HaNA_1.01.02/3775/NL-HaNA_1.01.02_3775_0076.jpg", "next_meeting_viewer_url")</f>
        <v/>
      </c>
      <c r="Z207">
        <f>HYPERLINK("https://images.diginfra.net/iiif/NL-HaNA_1.01.02/3775/NL-HaNA_1.01.02_3775_0076.jpg/2307,1786,1075,1605/full/0/default.jpg", "next_meeting_iiif_url")</f>
        <v/>
      </c>
    </row>
    <row r="208" spans="1:26">
      <c r="A208" t="s">
        <v>914</v>
      </c>
      <c r="B208" t="s">
        <v>63</v>
      </c>
      <c r="C208" t="s">
        <v>915</v>
      </c>
      <c r="D208" t="b">
        <v>1</v>
      </c>
      <c r="E208" t="b">
        <v>1</v>
      </c>
      <c r="I208" t="s">
        <v>916</v>
      </c>
      <c r="J208" t="n">
        <v>3794</v>
      </c>
      <c r="K208" t="n">
        <v>173</v>
      </c>
      <c r="L208" t="n">
        <v>344</v>
      </c>
      <c r="M208" t="n">
        <v>0</v>
      </c>
      <c r="N208" t="n">
        <v>1</v>
      </c>
      <c r="O208" t="n">
        <v>0</v>
      </c>
      <c r="P208" t="s">
        <v>29</v>
      </c>
      <c r="Q208">
        <f>HYPERLINK("https://images.diginfra.net/framed3.html?imagesetuuid=5debb5c6-ae39-480e-845e-6e10690f8984&amp;uri=https://images.diginfra.net/iiif/NL-HaNA_1.01.02/3794/NL-HaNA_1.01.02_3794_0173.jpg", "viewer_url")</f>
        <v/>
      </c>
      <c r="R208">
        <f>HYPERLINK("https://images.diginfra.net/iiif/NL-HaNA_1.01.02/3794/NL-HaNA_1.01.02_3794_0173.jpg/313,524,1083,2886/full/0/default.jpg", "iiif_url")</f>
        <v/>
      </c>
      <c r="S208" t="s">
        <v>29</v>
      </c>
      <c r="T208" t="s">
        <v>917</v>
      </c>
      <c r="U208">
        <f>HYPERLINK("https://images.diginfra.net/framed3.html?imagesetuuid=5debb5c6-ae39-480e-845e-6e10690f8984&amp;uri=https://images.diginfra.net/iiif/NL-HaNA_1.01.02/3794/NL-HaNA_1.01.02_3794_0172.jpg", "prev_meeting_viewer_url")</f>
        <v/>
      </c>
      <c r="V208">
        <f>HYPERLINK("https://images.diginfra.net/iiif/NL-HaNA_1.01.02/3794/NL-HaNA_1.01.02_3794_0172.jpg/1243,1284,1073,2123/full/0/default.jpg", "prev_meeting_iiif_url")</f>
        <v/>
      </c>
      <c r="W208" t="s">
        <v>29</v>
      </c>
      <c r="Y208">
        <f>HYPERLINK("https://images.diginfra.net/framed3.html?imagesetuuid=5debb5c6-ae39-480e-845e-6e10690f8984&amp;uri=https://images.diginfra.net/iiif/NL-HaNA_1.01.02/3794/NL-HaNA_1.01.02_3794_0174.jpg", "next_meeting_viewer_url")</f>
        <v/>
      </c>
      <c r="Z208">
        <f>HYPERLINK("https://images.diginfra.net/iiif/NL-HaNA_1.01.02/3794/NL-HaNA_1.01.02_3794_0174.jpg/3244,349,1121,3087/full/0/default.jpg", "next_meeting_iiif_url")</f>
        <v/>
      </c>
    </row>
    <row r="209" spans="1:26">
      <c r="A209" t="s">
        <v>918</v>
      </c>
      <c r="B209" t="s">
        <v>76</v>
      </c>
      <c r="C209" t="s">
        <v>919</v>
      </c>
      <c r="D209" t="b">
        <v>1</v>
      </c>
      <c r="E209" t="b">
        <v>1</v>
      </c>
      <c r="I209" t="s">
        <v>920</v>
      </c>
      <c r="J209" t="n">
        <v>3812</v>
      </c>
      <c r="K209" t="n">
        <v>234</v>
      </c>
      <c r="L209" t="n">
        <v>467</v>
      </c>
      <c r="M209" t="n">
        <v>2</v>
      </c>
      <c r="N209" t="n">
        <v>1</v>
      </c>
      <c r="O209" t="n">
        <v>0</v>
      </c>
      <c r="P209" t="s">
        <v>29</v>
      </c>
      <c r="Q209">
        <f>HYPERLINK("https://images.diginfra.net/framed3.html?imagesetuuid=2068053a-a1c4-40f9-a503-3778784a1420&amp;uri=https://images.diginfra.net/iiif/NL-HaNA_1.01.02/3812/NL-HaNA_1.01.02_3812_0234.jpg", "viewer_url")</f>
        <v/>
      </c>
      <c r="R209">
        <f>HYPERLINK("https://images.diginfra.net/iiif/NL-HaNA_1.01.02/3812/NL-HaNA_1.01.02_3812_0234.jpg/3328,1358,1096,2006/full/0/default.jpg", "iiif_url")</f>
        <v/>
      </c>
      <c r="S209" t="s">
        <v>29</v>
      </c>
      <c r="T209" t="s">
        <v>921</v>
      </c>
      <c r="U209">
        <f>HYPERLINK("https://images.diginfra.net/framed3.html?imagesetuuid=2068053a-a1c4-40f9-a503-3778784a1420&amp;uri=https://images.diginfra.net/iiif/NL-HaNA_1.01.02/3812/NL-HaNA_1.01.02_3812_0233.jpg", "prev_meeting_viewer_url")</f>
        <v/>
      </c>
      <c r="V209">
        <f>HYPERLINK("https://images.diginfra.net/iiif/NL-HaNA_1.01.02/3812/NL-HaNA_1.01.02_3812_0233.jpg/1246,649,1100,2648/full/0/default.jpg", "prev_meeting_iiif_url")</f>
        <v/>
      </c>
      <c r="W209" t="s">
        <v>29</v>
      </c>
      <c r="X209" t="s">
        <v>922</v>
      </c>
      <c r="Y209">
        <f>HYPERLINK("https://images.diginfra.net/framed3.html?imagesetuuid=2068053a-a1c4-40f9-a503-3778784a1420&amp;uri=https://images.diginfra.net/iiif/NL-HaNA_1.01.02/3812/NL-HaNA_1.01.02_3812_0238.jpg", "next_meeting_viewer_url")</f>
        <v/>
      </c>
      <c r="Z209">
        <f>HYPERLINK("https://images.diginfra.net/iiif/NL-HaNA_1.01.02/3812/NL-HaNA_1.01.02_3812_0238.jpg/206,2154,1117,1219/full/0/default.jpg", "next_meeting_iiif_url")</f>
        <v/>
      </c>
    </row>
    <row r="210" spans="1:26">
      <c r="A210" t="s">
        <v>923</v>
      </c>
      <c r="B210" t="s">
        <v>48</v>
      </c>
      <c r="D210" t="b">
        <v>0</v>
      </c>
      <c r="E210" t="b">
        <v>0</v>
      </c>
      <c r="I210" t="s">
        <v>924</v>
      </c>
      <c r="J210" t="n">
        <v>3798</v>
      </c>
      <c r="K210" t="n">
        <v>335</v>
      </c>
      <c r="L210" t="n">
        <v>668</v>
      </c>
      <c r="M210" t="n">
        <v>0</v>
      </c>
      <c r="N210" t="n">
        <v>3</v>
      </c>
      <c r="O210" t="n">
        <v>0</v>
      </c>
      <c r="P210" t="s">
        <v>29</v>
      </c>
      <c r="Q210">
        <f>HYPERLINK("https://images.diginfra.net/framed3.html?imagesetuuid=c3e98c27-09b5-46e4-b19a-b811d240b059&amp;uri=https://images.diginfra.net/iiif/NL-HaNA_1.01.02/3798/NL-HaNA_1.01.02_3798_0335.jpg", "viewer_url")</f>
        <v/>
      </c>
      <c r="R210">
        <f>HYPERLINK("https://images.diginfra.net/iiif/NL-HaNA_1.01.02/3798/NL-HaNA_1.01.02_3798_0335.jpg/385,2462,1030,982/full/0/default.jpg", "iiif_url")</f>
        <v/>
      </c>
      <c r="S210" t="s">
        <v>29</v>
      </c>
      <c r="T210" t="s">
        <v>925</v>
      </c>
      <c r="U210">
        <f>HYPERLINK("https://images.diginfra.net/framed3.html?imagesetuuid=c3e98c27-09b5-46e4-b19a-b811d240b059&amp;uri=https://images.diginfra.net/iiif/NL-HaNA_1.01.02/3798/NL-HaNA_1.01.02_3798_0334.jpg", "prev_meeting_viewer_url")</f>
        <v/>
      </c>
      <c r="V210">
        <f>HYPERLINK("https://images.diginfra.net/iiif/NL-HaNA_1.01.02/3798/NL-HaNA_1.01.02_3798_0334.jpg/2503,2227,1042,1200/full/0/default.jpg", "prev_meeting_iiif_url")</f>
        <v/>
      </c>
      <c r="W210" t="s">
        <v>29</v>
      </c>
      <c r="X210" t="s">
        <v>926</v>
      </c>
      <c r="Y210">
        <f>HYPERLINK("https://images.diginfra.net/framed3.html?imagesetuuid=c3e98c27-09b5-46e4-b19a-b811d240b059&amp;uri=https://images.diginfra.net/iiif/NL-HaNA_1.01.02/3798/NL-HaNA_1.01.02_3798_0335.jpg", "next_meeting_viewer_url")</f>
        <v/>
      </c>
      <c r="Z210">
        <f>HYPERLINK("https://images.diginfra.net/iiif/NL-HaNA_1.01.02/3798/NL-HaNA_1.01.02_3798_0335.jpg/385,2462,1030,982/full/0/default.jpg", "next_meeting_iiif_url")</f>
        <v/>
      </c>
    </row>
    <row r="211" spans="1:26">
      <c r="A211" t="s">
        <v>927</v>
      </c>
      <c r="B211" t="s">
        <v>42</v>
      </c>
      <c r="C211" t="s">
        <v>43</v>
      </c>
      <c r="D211" t="b">
        <v>1</v>
      </c>
      <c r="E211" t="b">
        <v>1</v>
      </c>
      <c r="I211" t="s">
        <v>928</v>
      </c>
      <c r="J211" t="n">
        <v>3825</v>
      </c>
      <c r="K211" t="n">
        <v>150</v>
      </c>
      <c r="L211" t="n">
        <v>299</v>
      </c>
      <c r="M211" t="n">
        <v>0</v>
      </c>
      <c r="N211" t="n">
        <v>0</v>
      </c>
      <c r="O211" t="n">
        <v>26</v>
      </c>
      <c r="P211" t="s">
        <v>29</v>
      </c>
      <c r="Q211">
        <f>HYPERLINK("https://images.diginfra.net/framed3.html?imagesetuuid=3e55157c-ed48-4a0c-b4a9-bb205866d7cd&amp;uri=https://images.diginfra.net/iiif/NL-HaNA_1.01.02/3825/NL-HaNA_1.01.02_3825_0150.jpg", "viewer_url")</f>
        <v/>
      </c>
      <c r="R211">
        <f>HYPERLINK("https://images.diginfra.net/iiif/NL-HaNA_1.01.02/3825/NL-HaNA_1.01.02_3825_0150.jpg/2329,1336,1076,1968/full/0/default.jpg", "iiif_url")</f>
        <v/>
      </c>
      <c r="S211" t="s">
        <v>29</v>
      </c>
      <c r="T211" t="s">
        <v>929</v>
      </c>
      <c r="U211">
        <f>HYPERLINK("https://images.diginfra.net/framed3.html?imagesetuuid=3e55157c-ed48-4a0c-b4a9-bb205866d7cd&amp;uri=https://images.diginfra.net/iiif/NL-HaNA_1.01.02/3825/NL-HaNA_1.01.02_3825_0148.jpg", "prev_meeting_viewer_url")</f>
        <v/>
      </c>
      <c r="V211">
        <f>HYPERLINK("https://images.diginfra.net/iiif/NL-HaNA_1.01.02/3825/NL-HaNA_1.01.02_3825_0148.jpg/1198,518,1090,2837/full/0/default.jpg", "prev_meeting_iiif_url")</f>
        <v/>
      </c>
      <c r="W211" t="s">
        <v>29</v>
      </c>
      <c r="X211" t="s">
        <v>46</v>
      </c>
      <c r="Y211">
        <f>HYPERLINK("https://images.diginfra.net/framed3.html?imagesetuuid=3e55157c-ed48-4a0c-b4a9-bb205866d7cd&amp;uri=https://images.diginfra.net/iiif/NL-HaNA_1.01.02/3825/NL-HaNA_1.01.02_3825_0151.jpg", "next_meeting_viewer_url")</f>
        <v/>
      </c>
      <c r="Z211">
        <f>HYPERLINK("https://images.diginfra.net/iiif/NL-HaNA_1.01.02/3825/NL-HaNA_1.01.02_3825_0151.jpg/3329,2374,1087,921/full/0/default.jpg", "next_meeting_iiif_url")</f>
        <v/>
      </c>
    </row>
    <row r="212" spans="1:26">
      <c r="A212" t="s">
        <v>930</v>
      </c>
      <c r="B212" t="s">
        <v>27</v>
      </c>
      <c r="C212" t="s">
        <v>931</v>
      </c>
      <c r="D212" t="b">
        <v>1</v>
      </c>
      <c r="E212" t="b">
        <v>1</v>
      </c>
      <c r="I212" t="s">
        <v>932</v>
      </c>
      <c r="J212" t="n">
        <v>3804</v>
      </c>
      <c r="K212" t="n">
        <v>336</v>
      </c>
      <c r="L212" t="n">
        <v>671</v>
      </c>
      <c r="M212" t="n">
        <v>0</v>
      </c>
      <c r="N212" t="n">
        <v>1</v>
      </c>
      <c r="O212" t="n">
        <v>0</v>
      </c>
      <c r="P212" t="s">
        <v>29</v>
      </c>
      <c r="Q212">
        <f>HYPERLINK("https://images.diginfra.net/framed3.html?imagesetuuid=278358e3-85df-45df-a4c3-0043ae8e62fa&amp;uri=https://images.diginfra.net/iiif/NL-HaNA_1.01.02/3804/NL-HaNA_1.01.02_3804_0336.jpg", "viewer_url")</f>
        <v/>
      </c>
      <c r="R212">
        <f>HYPERLINK("https://images.diginfra.net/iiif/NL-HaNA_1.01.02/3804/NL-HaNA_1.01.02_3804_0336.jpg/2378,1745,1092,1616/full/0/default.jpg", "iiif_url")</f>
        <v/>
      </c>
      <c r="S212" t="s">
        <v>29</v>
      </c>
      <c r="T212" t="s">
        <v>933</v>
      </c>
      <c r="U212">
        <f>HYPERLINK("https://images.diginfra.net/framed3.html?imagesetuuid=278358e3-85df-45df-a4c3-0043ae8e62fa&amp;uri=https://images.diginfra.net/iiif/NL-HaNA_1.01.02/3804/NL-HaNA_1.01.02_3804_0335.jpg", "prev_meeting_viewer_url")</f>
        <v/>
      </c>
      <c r="V212">
        <f>HYPERLINK("https://images.diginfra.net/iiif/NL-HaNA_1.01.02/3804/NL-HaNA_1.01.02_3804_0335.jpg/1211,498,1116,2871/full/0/default.jpg", "prev_meeting_iiif_url")</f>
        <v/>
      </c>
      <c r="W212" t="s">
        <v>29</v>
      </c>
      <c r="X212" t="s">
        <v>934</v>
      </c>
      <c r="Y212">
        <f>HYPERLINK("https://images.diginfra.net/framed3.html?imagesetuuid=278358e3-85df-45df-a4c3-0043ae8e62fa&amp;uri=https://images.diginfra.net/iiif/NL-HaNA_1.01.02/3804/NL-HaNA_1.01.02_3804_0337.jpg", "next_meeting_viewer_url")</f>
        <v/>
      </c>
      <c r="Z212">
        <f>HYPERLINK("https://images.diginfra.net/iiif/NL-HaNA_1.01.02/3804/NL-HaNA_1.01.02_3804_0337.jpg/2367,651,1106,2733/full/0/default.jpg", "next_meeting_iiif_url")</f>
        <v/>
      </c>
    </row>
    <row r="213" spans="1:26">
      <c r="A213" t="s">
        <v>935</v>
      </c>
      <c r="B213" t="s">
        <v>48</v>
      </c>
      <c r="D213" t="b">
        <v>0</v>
      </c>
      <c r="E213" t="b">
        <v>0</v>
      </c>
      <c r="I213" t="s">
        <v>936</v>
      </c>
      <c r="J213" t="n">
        <v>3847</v>
      </c>
      <c r="K213" t="n">
        <v>246</v>
      </c>
      <c r="L213" t="n">
        <v>490</v>
      </c>
      <c r="M213" t="n">
        <v>0</v>
      </c>
      <c r="N213" t="n">
        <v>1</v>
      </c>
      <c r="O213" t="n">
        <v>0</v>
      </c>
      <c r="P213" t="s">
        <v>29</v>
      </c>
      <c r="Q213">
        <f>HYPERLINK("https://images.diginfra.net/framed3.html?imagesetuuid=1a032cf9-834a-4330-9619-23e00357d062&amp;uri=https://images.diginfra.net/iiif/NL-HaNA_1.01.02/3847/NL-HaNA_1.01.02_3847_0246.jpg", "viewer_url")</f>
        <v/>
      </c>
      <c r="R213">
        <f>HYPERLINK("https://images.diginfra.net/iiif/NL-HaNA_1.01.02/3847/NL-HaNA_1.01.02_3847_0246.jpg/368,3076,872,318/full/0/default.jpg", "iiif_url")</f>
        <v/>
      </c>
      <c r="S213" t="s">
        <v>29</v>
      </c>
      <c r="T213" t="s">
        <v>937</v>
      </c>
      <c r="U213">
        <f>HYPERLINK("https://images.diginfra.net/framed3.html?imagesetuuid=1a032cf9-834a-4330-9619-23e00357d062&amp;uri=https://images.diginfra.net/iiif/NL-HaNA_1.01.02/3847/NL-HaNA_1.01.02_3847_0238.jpg", "prev_meeting_viewer_url")</f>
        <v/>
      </c>
      <c r="V213">
        <f>HYPERLINK("https://images.diginfra.net/iiif/NL-HaNA_1.01.02/3847/NL-HaNA_1.01.02_3847_0238.jpg/3410,2151,1018,1199/full/0/default.jpg", "prev_meeting_iiif_url")</f>
        <v/>
      </c>
      <c r="W213" t="s">
        <v>29</v>
      </c>
      <c r="X213" t="s">
        <v>435</v>
      </c>
      <c r="Y213">
        <f>HYPERLINK("https://images.diginfra.net/framed3.html?imagesetuuid=1a032cf9-834a-4330-9619-23e00357d062&amp;uri=https://images.diginfra.net/iiif/NL-HaNA_1.01.02/3847/NL-HaNA_1.01.02_3847_0246.jpg", "next_meeting_viewer_url")</f>
        <v/>
      </c>
      <c r="Z213">
        <f>HYPERLINK("https://images.diginfra.net/iiif/NL-HaNA_1.01.02/3847/NL-HaNA_1.01.02_3847_0246.jpg/368,3076,872,318/full/0/default.jpg", "next_meeting_iiif_url")</f>
        <v/>
      </c>
    </row>
    <row r="214" spans="1:26">
      <c r="A214" t="s">
        <v>938</v>
      </c>
      <c r="B214" t="s">
        <v>76</v>
      </c>
      <c r="D214" t="b">
        <v>0</v>
      </c>
      <c r="E214" t="b">
        <v>0</v>
      </c>
      <c r="I214" t="s">
        <v>939</v>
      </c>
      <c r="J214" t="n">
        <v>3847</v>
      </c>
      <c r="K214" t="n">
        <v>333</v>
      </c>
      <c r="L214" t="n">
        <v>665</v>
      </c>
      <c r="M214" t="n">
        <v>0</v>
      </c>
      <c r="N214" t="n">
        <v>1</v>
      </c>
      <c r="O214" t="n">
        <v>0</v>
      </c>
      <c r="P214" t="s">
        <v>29</v>
      </c>
      <c r="Q214">
        <f>HYPERLINK("https://images.diginfra.net/framed3.html?imagesetuuid=1a032cf9-834a-4330-9619-23e00357d062&amp;uri=https://images.diginfra.net/iiif/NL-HaNA_1.01.02/3847/NL-HaNA_1.01.02_3847_0333.jpg", "viewer_url")</f>
        <v/>
      </c>
      <c r="R214">
        <f>HYPERLINK("https://images.diginfra.net/iiif/NL-HaNA_1.01.02/3847/NL-HaNA_1.01.02_3847_0333.jpg/2512,2358,861,1049/full/0/default.jpg", "iiif_url")</f>
        <v/>
      </c>
      <c r="W214" t="s">
        <v>29</v>
      </c>
      <c r="X214" t="s">
        <v>940</v>
      </c>
      <c r="Y214">
        <f>HYPERLINK("https://images.diginfra.net/framed3.html?imagesetuuid=1a032cf9-834a-4330-9619-23e00357d062&amp;uri=https://images.diginfra.net/iiif/NL-HaNA_1.01.02/3847/NL-HaNA_1.01.02_3847_0333.jpg", "next_meeting_viewer_url")</f>
        <v/>
      </c>
      <c r="Z214">
        <f>HYPERLINK("https://images.diginfra.net/iiif/NL-HaNA_1.01.02/3847/NL-HaNA_1.01.02_3847_0333.jpg/2512,2358,861,1049/full/0/default.jpg", "next_meeting_iiif_url")</f>
        <v/>
      </c>
    </row>
    <row r="215" spans="1:26">
      <c r="A215" t="s">
        <v>941</v>
      </c>
      <c r="B215" t="s">
        <v>76</v>
      </c>
      <c r="D215" t="b">
        <v>1</v>
      </c>
      <c r="E215" t="b">
        <v>0</v>
      </c>
      <c r="Q215">
        <f>HYPERLINK("None", "viewer_url")</f>
        <v/>
      </c>
      <c r="R215">
        <f>HYPERLINK("None", "iiif_url")</f>
        <v/>
      </c>
      <c r="S215" t="s">
        <v>33</v>
      </c>
      <c r="T215" t="s">
        <v>942</v>
      </c>
      <c r="U215">
        <f>HYPERLINK("https://images.diginfra.net/framed3.html?imagesetuuid=c4957ef5-1023-495b-ad5d-bfab5967cb29&amp;uri=https://images.diginfra.net/iiif/NL-HaNA_1.01.02/3830/NL-HaNA_1.01.02_3830_0288.jpg", "prev_meeting_viewer_url")</f>
        <v/>
      </c>
      <c r="V215">
        <f>HYPERLINK("https://images.diginfra.net/iiif/NL-HaNA_1.01.02/3830/NL-HaNA_1.01.02_3830_0288.jpg/2379,2180,1087,1186/full/0/default.jpg", "prev_meeting_iiif_url")</f>
        <v/>
      </c>
      <c r="W215" t="s">
        <v>29</v>
      </c>
      <c r="X215" t="s">
        <v>943</v>
      </c>
      <c r="Y215">
        <f>HYPERLINK("https://images.diginfra.net/framed3.html?imagesetuuid=c4957ef5-1023-495b-ad5d-bfab5967cb29&amp;uri=https://images.diginfra.net/iiif/NL-HaNA_1.01.02/3830/NL-HaNA_1.01.02_3830_0291.jpg", "next_meeting_viewer_url")</f>
        <v/>
      </c>
      <c r="Z215">
        <f>HYPERLINK("https://images.diginfra.net/iiif/NL-HaNA_1.01.02/3830/NL-HaNA_1.01.02_3830_0291.jpg/3321,457,1144,2945/full/0/default.jpg", "next_meeting_iiif_url")</f>
        <v/>
      </c>
    </row>
    <row r="216" spans="1:26">
      <c r="A216" t="s">
        <v>944</v>
      </c>
      <c r="B216" t="s">
        <v>48</v>
      </c>
      <c r="D216" t="b">
        <v>0</v>
      </c>
      <c r="E216" t="b">
        <v>0</v>
      </c>
      <c r="I216" t="s">
        <v>945</v>
      </c>
      <c r="J216" t="n">
        <v>3817</v>
      </c>
      <c r="K216" t="n">
        <v>513</v>
      </c>
      <c r="L216" t="n">
        <v>1025</v>
      </c>
      <c r="M216" t="n">
        <v>0</v>
      </c>
      <c r="N216" t="n">
        <v>0</v>
      </c>
      <c r="O216" t="n">
        <v>24</v>
      </c>
      <c r="P216" t="s">
        <v>29</v>
      </c>
      <c r="Q216">
        <f>HYPERLINK("https://images.diginfra.net/framed3.html?imagesetuuid=c13c7ed6-75ba-4433-9b44-0db683995fb3&amp;uri=https://images.diginfra.net/iiif/NL-HaNA_1.01.02/3817/NL-HaNA_1.01.02_3817_0513.jpg", "viewer_url")</f>
        <v/>
      </c>
      <c r="R216">
        <f>HYPERLINK("https://images.diginfra.net/iiif/NL-HaNA_1.01.02/3817/NL-HaNA_1.01.02_3817_0513.jpg/2324,1289,1114,2115/full/0/default.jpg", "iiif_url")</f>
        <v/>
      </c>
      <c r="S216" t="s">
        <v>29</v>
      </c>
      <c r="T216" t="s">
        <v>946</v>
      </c>
      <c r="U216">
        <f>HYPERLINK("https://images.diginfra.net/framed3.html?imagesetuuid=c13c7ed6-75ba-4433-9b44-0db683995fb3&amp;uri=https://images.diginfra.net/iiif/NL-HaNA_1.01.02/3817/NL-HaNA_1.01.02_3817_0511.jpg", "prev_meeting_viewer_url")</f>
        <v/>
      </c>
      <c r="V216">
        <f>HYPERLINK("https://images.diginfra.net/iiif/NL-HaNA_1.01.02/3817/NL-HaNA_1.01.02_3817_0511.jpg/3294,1366,1110,1863/full/0/default.jpg", "prev_meeting_iiif_url")</f>
        <v/>
      </c>
      <c r="W216" t="s">
        <v>29</v>
      </c>
      <c r="X216" t="s">
        <v>947</v>
      </c>
      <c r="Y216">
        <f>HYPERLINK("https://images.diginfra.net/framed3.html?imagesetuuid=c13c7ed6-75ba-4433-9b44-0db683995fb3&amp;uri=https://images.diginfra.net/iiif/NL-HaNA_1.01.02/3817/NL-HaNA_1.01.02_3817_0513.jpg", "next_meeting_viewer_url")</f>
        <v/>
      </c>
      <c r="Z216">
        <f>HYPERLINK("https://images.diginfra.net/iiif/NL-HaNA_1.01.02/3817/NL-HaNA_1.01.02_3817_0513.jpg/2324,1289,1114,2115/full/0/default.jpg", "next_meeting_iiif_url")</f>
        <v/>
      </c>
    </row>
    <row r="217" spans="1:26">
      <c r="A217" t="s">
        <v>948</v>
      </c>
      <c r="B217" t="s">
        <v>37</v>
      </c>
      <c r="C217" t="s">
        <v>949</v>
      </c>
      <c r="D217" t="b">
        <v>1</v>
      </c>
      <c r="E217" t="b">
        <v>1</v>
      </c>
      <c r="I217" t="s">
        <v>950</v>
      </c>
      <c r="J217" t="n">
        <v>3807</v>
      </c>
      <c r="K217" t="n">
        <v>355</v>
      </c>
      <c r="L217" t="n">
        <v>708</v>
      </c>
      <c r="M217" t="n">
        <v>1</v>
      </c>
      <c r="N217" t="n">
        <v>0</v>
      </c>
      <c r="O217" t="n">
        <v>37</v>
      </c>
      <c r="P217" t="s">
        <v>29</v>
      </c>
      <c r="Q217">
        <f>HYPERLINK("https://images.diginfra.net/framed3.html?imagesetuuid=9cfa33f1-d711-4626-afe8-d82541dc4b2a&amp;uri=https://images.diginfra.net/iiif/NL-HaNA_1.01.02/3807/NL-HaNA_1.01.02_3807_0355.jpg", "viewer_url")</f>
        <v/>
      </c>
      <c r="R217">
        <f>HYPERLINK("https://images.diginfra.net/iiif/NL-HaNA_1.01.02/3807/NL-HaNA_1.01.02_3807_0355.jpg/1222,1791,1094,1508/full/0/default.jpg", "iiif_url")</f>
        <v/>
      </c>
      <c r="S217" t="s">
        <v>29</v>
      </c>
      <c r="T217" t="s">
        <v>951</v>
      </c>
      <c r="U217">
        <f>HYPERLINK("https://images.diginfra.net/framed3.html?imagesetuuid=9cfa33f1-d711-4626-afe8-d82541dc4b2a&amp;uri=https://images.diginfra.net/iiif/NL-HaNA_1.01.02/3807/NL-HaNA_1.01.02_3807_0354.jpg", "prev_meeting_viewer_url")</f>
        <v/>
      </c>
      <c r="V217">
        <f>HYPERLINK("https://images.diginfra.net/iiif/NL-HaNA_1.01.02/3807/NL-HaNA_1.01.02_3807_0354.jpg/2380,626,1083,2748/full/0/default.jpg", "prev_meeting_iiif_url")</f>
        <v/>
      </c>
      <c r="W217" t="s">
        <v>29</v>
      </c>
      <c r="X217" t="s">
        <v>952</v>
      </c>
      <c r="Y217">
        <f>HYPERLINK("https://images.diginfra.net/framed3.html?imagesetuuid=9cfa33f1-d711-4626-afe8-d82541dc4b2a&amp;uri=https://images.diginfra.net/iiif/NL-HaNA_1.01.02/3807/NL-HaNA_1.01.02_3807_0356.jpg", "next_meeting_viewer_url")</f>
        <v/>
      </c>
      <c r="Z217">
        <f>HYPERLINK("https://images.diginfra.net/iiif/NL-HaNA_1.01.02/3807/NL-HaNA_1.01.02_3807_0356.jpg/2363,516,1096,2857/full/0/default.jpg", "next_meeting_iiif_url")</f>
        <v/>
      </c>
    </row>
    <row r="218" spans="1:26">
      <c r="A218" t="s">
        <v>953</v>
      </c>
      <c r="B218" t="s">
        <v>63</v>
      </c>
      <c r="C218" t="s">
        <v>954</v>
      </c>
      <c r="D218" t="b">
        <v>1</v>
      </c>
      <c r="E218" t="b">
        <v>1</v>
      </c>
      <c r="I218" t="s">
        <v>955</v>
      </c>
      <c r="J218" t="n">
        <v>3773</v>
      </c>
      <c r="K218" t="n">
        <v>531</v>
      </c>
      <c r="L218" t="n">
        <v>1060</v>
      </c>
      <c r="M218" t="n">
        <v>0</v>
      </c>
      <c r="N218" t="n">
        <v>4</v>
      </c>
      <c r="O218" t="n">
        <v>0</v>
      </c>
      <c r="P218" t="s">
        <v>29</v>
      </c>
      <c r="Q218">
        <f>HYPERLINK("https://images.diginfra.net/framed3.html?imagesetuuid=0d0ede5e-a7f6-4a03-b996-493e50528c24&amp;uri=https://images.diginfra.net/iiif/NL-HaNA_1.01.02/3773/NL-HaNA_1.01.02_3773_0531.jpg", "viewer_url")</f>
        <v/>
      </c>
      <c r="R218">
        <f>HYPERLINK("https://images.diginfra.net/iiif/NL-HaNA_1.01.02/3773/NL-HaNA_1.01.02_3773_0531.jpg/254,1449,1092,1947/full/0/default.jpg", "iiif_url")</f>
        <v/>
      </c>
      <c r="S218" t="s">
        <v>29</v>
      </c>
      <c r="T218" t="s">
        <v>956</v>
      </c>
      <c r="U218">
        <f>HYPERLINK("https://images.diginfra.net/framed3.html?imagesetuuid=0d0ede5e-a7f6-4a03-b996-493e50528c24&amp;uri=https://images.diginfra.net/iiif/NL-HaNA_1.01.02/3773/NL-HaNA_1.01.02_3773_0525.jpg", "prev_meeting_viewer_url")</f>
        <v/>
      </c>
      <c r="V218">
        <f>HYPERLINK("https://images.diginfra.net/iiif/NL-HaNA_1.01.02/3773/NL-HaNA_1.01.02_3773_0525.jpg/3427,1199,1090,2115/full/0/default.jpg", "prev_meeting_iiif_url")</f>
        <v/>
      </c>
      <c r="W218" t="s">
        <v>29</v>
      </c>
      <c r="X218" t="s">
        <v>957</v>
      </c>
      <c r="Y218">
        <f>HYPERLINK("https://images.diginfra.net/framed3.html?imagesetuuid=0d0ede5e-a7f6-4a03-b996-493e50528c24&amp;uri=https://images.diginfra.net/iiif/NL-HaNA_1.01.02/3773/NL-HaNA_1.01.02_3773_0532.jpg", "next_meeting_viewer_url")</f>
        <v/>
      </c>
      <c r="Z218">
        <f>HYPERLINK("https://images.diginfra.net/iiif/NL-HaNA_1.01.02/3773/NL-HaNA_1.01.02_3773_0532.jpg/264,1968,1092,1385/full/0/default.jpg", "next_meeting_iiif_url")</f>
        <v/>
      </c>
    </row>
    <row r="219" spans="1:26">
      <c r="A219" t="s">
        <v>958</v>
      </c>
      <c r="B219" t="s">
        <v>76</v>
      </c>
      <c r="C219" t="s">
        <v>959</v>
      </c>
      <c r="D219" t="b">
        <v>1</v>
      </c>
      <c r="E219" t="b">
        <v>1</v>
      </c>
      <c r="I219" t="s">
        <v>960</v>
      </c>
      <c r="J219" t="n">
        <v>3857</v>
      </c>
      <c r="K219" t="n">
        <v>53</v>
      </c>
      <c r="L219" t="n">
        <v>105</v>
      </c>
      <c r="M219" t="n">
        <v>0</v>
      </c>
      <c r="N219" t="n">
        <v>1</v>
      </c>
      <c r="O219" t="n">
        <v>0</v>
      </c>
      <c r="P219" t="s">
        <v>29</v>
      </c>
      <c r="Q219">
        <f>HYPERLINK("https://images.diginfra.net/framed3.html?imagesetuuid=bdc1056d-db1f-4bb6-bf02-36bea1fa2f06&amp;uri=https://images.diginfra.net/iiif/NL-HaNA_1.01.02/3857/NL-HaNA_1.01.02_3857_0053.jpg", "viewer_url")</f>
        <v/>
      </c>
      <c r="R219">
        <f>HYPERLINK("https://images.diginfra.net/iiif/NL-HaNA_1.01.02/3857/NL-HaNA_1.01.02_3857_0053.jpg/2318,572,1055,2815/full/0/default.jpg", "iiif_url")</f>
        <v/>
      </c>
      <c r="S219" t="s">
        <v>29</v>
      </c>
      <c r="T219" t="s">
        <v>961</v>
      </c>
      <c r="U219">
        <f>HYPERLINK("https://images.diginfra.net/framed3.html?imagesetuuid=bdc1056d-db1f-4bb6-bf02-36bea1fa2f06&amp;uri=https://images.diginfra.net/iiif/NL-HaNA_1.01.02/3857/NL-HaNA_1.01.02_3857_0052.jpg", "prev_meeting_viewer_url")</f>
        <v/>
      </c>
      <c r="V219">
        <f>HYPERLINK("https://images.diginfra.net/iiif/NL-HaNA_1.01.02/3857/NL-HaNA_1.01.02_3857_0052.jpg/3250,1006,1062,2317/full/0/default.jpg", "prev_meeting_iiif_url")</f>
        <v/>
      </c>
      <c r="W219" t="s">
        <v>29</v>
      </c>
      <c r="X219" t="s">
        <v>962</v>
      </c>
      <c r="Y219">
        <f>HYPERLINK("https://images.diginfra.net/framed3.html?imagesetuuid=bdc1056d-db1f-4bb6-bf02-36bea1fa2f06&amp;uri=https://images.diginfra.net/iiif/NL-HaNA_1.01.02/3857/NL-HaNA_1.01.02_3857_0055.jpg", "next_meeting_viewer_url")</f>
        <v/>
      </c>
      <c r="Z219">
        <f>HYPERLINK("https://images.diginfra.net/iiif/NL-HaNA_1.01.02/3857/NL-HaNA_1.01.02_3857_0055.jpg/272,1102,1076,2332/full/0/default.jpg", "next_meeting_iiif_url")</f>
        <v/>
      </c>
    </row>
    <row r="220" spans="1:26">
      <c r="A220" t="s">
        <v>963</v>
      </c>
      <c r="B220" t="s">
        <v>53</v>
      </c>
      <c r="C220" t="s">
        <v>964</v>
      </c>
      <c r="D220" t="b">
        <v>1</v>
      </c>
      <c r="E220" t="b">
        <v>1</v>
      </c>
      <c r="I220" t="s">
        <v>965</v>
      </c>
      <c r="J220" t="n">
        <v>3761</v>
      </c>
      <c r="K220" t="n">
        <v>141</v>
      </c>
      <c r="L220" t="n">
        <v>281</v>
      </c>
      <c r="M220" t="n">
        <v>1</v>
      </c>
      <c r="N220" t="n">
        <v>1</v>
      </c>
      <c r="O220" t="n">
        <v>1</v>
      </c>
      <c r="P220" t="s">
        <v>29</v>
      </c>
      <c r="Q220">
        <f>HYPERLINK("https://images.diginfra.net/framed3.html?imagesetuuid=e6c3b32f-6683-4b16-9444-37e515e232e1&amp;uri=https://images.diginfra.net/iiif/NL-HaNA_1.01.02/3761/NL-HaNA_1.01.02_3761_0141.jpg", "viewer_url")</f>
        <v/>
      </c>
      <c r="R220">
        <f>HYPERLINK("https://images.diginfra.net/iiif/NL-HaNA_1.01.02/3761/NL-HaNA_1.01.02_3761_0141.jpg/3364,1952,1093,1459/full/0/default.jpg", "iiif_url")</f>
        <v/>
      </c>
      <c r="S220" t="s">
        <v>29</v>
      </c>
      <c r="T220" t="s">
        <v>966</v>
      </c>
      <c r="U220">
        <f>HYPERLINK("https://images.diginfra.net/framed3.html?imagesetuuid=e6c3b32f-6683-4b16-9444-37e515e232e1&amp;uri=https://images.diginfra.net/iiif/NL-HaNA_1.01.02/3761/NL-HaNA_1.01.02_3761_0139.jpg", "prev_meeting_viewer_url")</f>
        <v/>
      </c>
      <c r="V220">
        <f>HYPERLINK("https://images.diginfra.net/iiif/NL-HaNA_1.01.02/3761/NL-HaNA_1.01.02_3761_0139.jpg/327,975,1100,2531/full/0/default.jpg", "prev_meeting_iiif_url")</f>
        <v/>
      </c>
      <c r="W220" t="s">
        <v>33</v>
      </c>
      <c r="X220" t="s">
        <v>967</v>
      </c>
      <c r="Y220">
        <f>HYPERLINK("https://images.diginfra.net/framed3.html?imagesetuuid=e6c3b32f-6683-4b16-9444-37e515e232e1&amp;uri=https://images.diginfra.net/iiif/NL-HaNA_1.01.02/3761/NL-HaNA_1.01.02_3761_0144.jpg", "next_meeting_viewer_url")</f>
        <v/>
      </c>
      <c r="Z220">
        <f>HYPERLINK("https://images.diginfra.net/iiif/NL-HaNA_1.01.02/3761/NL-HaNA_1.01.02_3761_0144.jpg/1265,2149,1094,1264/full/0/default.jpg", "next_meeting_iiif_url")</f>
        <v/>
      </c>
    </row>
    <row r="221" spans="1:26">
      <c r="A221" t="s">
        <v>968</v>
      </c>
      <c r="B221" t="s">
        <v>42</v>
      </c>
      <c r="C221" t="s">
        <v>969</v>
      </c>
      <c r="D221" t="b">
        <v>1</v>
      </c>
      <c r="E221" t="b">
        <v>1</v>
      </c>
      <c r="I221" t="s">
        <v>970</v>
      </c>
      <c r="J221" t="n">
        <v>3808</v>
      </c>
      <c r="K221" t="n">
        <v>211</v>
      </c>
      <c r="L221" t="n">
        <v>420</v>
      </c>
      <c r="M221" t="n">
        <v>1</v>
      </c>
      <c r="N221" t="n">
        <v>2</v>
      </c>
      <c r="O221" t="n">
        <v>1</v>
      </c>
      <c r="P221" t="s">
        <v>29</v>
      </c>
      <c r="Q221">
        <f>HYPERLINK("https://images.diginfra.net/framed3.html?imagesetuuid=d7b14369-fedc-4c2f-b4ba-0014f4e297b6&amp;uri=https://images.diginfra.net/iiif/NL-HaNA_1.01.02/3808/NL-HaNA_1.01.02_3808_0211.jpg", "viewer_url")</f>
        <v/>
      </c>
      <c r="R221">
        <f>HYPERLINK("https://images.diginfra.net/iiif/NL-HaNA_1.01.02/3808/NL-HaNA_1.01.02_3808_0211.jpg/1220,1553,1091,1860/full/0/default.jpg", "iiif_url")</f>
        <v/>
      </c>
      <c r="S221" t="s">
        <v>29</v>
      </c>
      <c r="T221" t="s">
        <v>971</v>
      </c>
      <c r="U221">
        <f>HYPERLINK("https://images.diginfra.net/framed3.html?imagesetuuid=d7b14369-fedc-4c2f-b4ba-0014f4e297b6&amp;uri=https://images.diginfra.net/iiif/NL-HaNA_1.01.02/3808/NL-HaNA_1.01.02_3808_0209.jpg", "prev_meeting_viewer_url")</f>
        <v/>
      </c>
      <c r="V221">
        <f>HYPERLINK("https://images.diginfra.net/iiif/NL-HaNA_1.01.02/3808/NL-HaNA_1.01.02_3808_0209.jpg/3247,852,1123,2590/full/0/default.jpg", "prev_meeting_iiif_url")</f>
        <v/>
      </c>
      <c r="W221" t="s">
        <v>29</v>
      </c>
      <c r="X221" t="s">
        <v>972</v>
      </c>
      <c r="Y221">
        <f>HYPERLINK("https://images.diginfra.net/framed3.html?imagesetuuid=d7b14369-fedc-4c2f-b4ba-0014f4e297b6&amp;uri=https://images.diginfra.net/iiif/NL-HaNA_1.01.02/3808/NL-HaNA_1.01.02_3808_0214.jpg", "next_meeting_viewer_url")</f>
        <v/>
      </c>
      <c r="Z221">
        <f>HYPERLINK("https://images.diginfra.net/iiif/NL-HaNA_1.01.02/3808/NL-HaNA_1.01.02_3808_0214.jpg/241,1697,1092,1704/full/0/default.jpg", "next_meeting_iiif_url")</f>
        <v/>
      </c>
    </row>
    <row r="222" spans="1:26">
      <c r="A222" t="s">
        <v>973</v>
      </c>
      <c r="B222" t="s">
        <v>63</v>
      </c>
      <c r="D222" t="b">
        <v>1</v>
      </c>
      <c r="E222" t="b">
        <v>0</v>
      </c>
      <c r="Q222">
        <f>HYPERLINK("None", "viewer_url")</f>
        <v/>
      </c>
      <c r="R222">
        <f>HYPERLINK("None", "iiif_url")</f>
        <v/>
      </c>
      <c r="S222" t="s">
        <v>33</v>
      </c>
      <c r="T222" t="s">
        <v>974</v>
      </c>
      <c r="U222">
        <f>HYPERLINK("https://images.diginfra.net/framed3.html?imagesetuuid=e344f420-8808-4cb9-bb8a-07944ccb8c18&amp;uri=https://images.diginfra.net/iiif/NL-HaNA_1.01.02/3775/NL-HaNA_1.01.02_3775_0435.jpg", "prev_meeting_viewer_url")</f>
        <v/>
      </c>
      <c r="V222">
        <f>HYPERLINK("https://images.diginfra.net/iiif/NL-HaNA_1.01.02/3775/NL-HaNA_1.01.02_3775_0435.jpg/2305,1791,1063,1652/full/0/default.jpg", "prev_meeting_iiif_url")</f>
        <v/>
      </c>
      <c r="W222" t="s">
        <v>29</v>
      </c>
      <c r="X222" t="s">
        <v>975</v>
      </c>
      <c r="Y222">
        <f>HYPERLINK("https://images.diginfra.net/framed3.html?imagesetuuid=e344f420-8808-4cb9-bb8a-07944ccb8c18&amp;uri=https://images.diginfra.net/iiif/NL-HaNA_1.01.02/3775/NL-HaNA_1.01.02_3775_0439.jpg", "next_meeting_viewer_url")</f>
        <v/>
      </c>
      <c r="Z222">
        <f>HYPERLINK("https://images.diginfra.net/iiif/NL-HaNA_1.01.02/3775/NL-HaNA_1.01.02_3775_0439.jpg/346,2544,1045,849/full/0/default.jpg", "next_meeting_iiif_url")</f>
        <v/>
      </c>
    </row>
    <row r="223" spans="1:26">
      <c r="A223" t="s">
        <v>976</v>
      </c>
      <c r="B223" t="s">
        <v>76</v>
      </c>
      <c r="C223" t="s">
        <v>977</v>
      </c>
      <c r="D223" t="b">
        <v>1</v>
      </c>
      <c r="E223" t="b">
        <v>1</v>
      </c>
      <c r="I223" t="s">
        <v>978</v>
      </c>
      <c r="J223" t="n">
        <v>3775</v>
      </c>
      <c r="K223" t="n">
        <v>114</v>
      </c>
      <c r="L223" t="n">
        <v>226</v>
      </c>
      <c r="M223" t="n">
        <v>1</v>
      </c>
      <c r="N223" t="n">
        <v>1</v>
      </c>
      <c r="O223" t="n">
        <v>0</v>
      </c>
      <c r="P223" t="s">
        <v>29</v>
      </c>
      <c r="Q223">
        <f>HYPERLINK("https://images.diginfra.net/framed3.html?imagesetuuid=e344f420-8808-4cb9-bb8a-07944ccb8c18&amp;uri=https://images.diginfra.net/iiif/NL-HaNA_1.01.02/3775/NL-HaNA_1.01.02_3775_0114.jpg", "viewer_url")</f>
        <v/>
      </c>
      <c r="R223">
        <f>HYPERLINK("https://images.diginfra.net/iiif/NL-HaNA_1.01.02/3775/NL-HaNA_1.01.02_3775_0114.jpg/1287,1781,1081,1633/full/0/default.jpg", "iiif_url")</f>
        <v/>
      </c>
      <c r="S223" t="s">
        <v>29</v>
      </c>
      <c r="T223" t="s">
        <v>979</v>
      </c>
      <c r="U223">
        <f>HYPERLINK("https://images.diginfra.net/framed3.html?imagesetuuid=e344f420-8808-4cb9-bb8a-07944ccb8c18&amp;uri=https://images.diginfra.net/iiif/NL-HaNA_1.01.02/3775/NL-HaNA_1.01.02_3775_0111.jpg", "prev_meeting_viewer_url")</f>
        <v/>
      </c>
      <c r="V223">
        <f>HYPERLINK("https://images.diginfra.net/iiif/NL-HaNA_1.01.02/3775/NL-HaNA_1.01.02_3775_0111.jpg/1238,544,1088,2917/full/0/default.jpg", "prev_meeting_iiif_url")</f>
        <v/>
      </c>
      <c r="W223" t="s">
        <v>29</v>
      </c>
      <c r="X223" t="s">
        <v>980</v>
      </c>
      <c r="Y223">
        <f>HYPERLINK("https://images.diginfra.net/framed3.html?imagesetuuid=e344f420-8808-4cb9-bb8a-07944ccb8c18&amp;uri=https://images.diginfra.net/iiif/NL-HaNA_1.01.02/3775/NL-HaNA_1.01.02_3775_0114.jpg", "next_meeting_viewer_url")</f>
        <v/>
      </c>
      <c r="Z223">
        <f>HYPERLINK("https://images.diginfra.net/iiif/NL-HaNA_1.01.02/3775/NL-HaNA_1.01.02_3775_0114.jpg/3251,700,1103,2685/full/0/default.jpg", "next_meeting_iiif_url")</f>
        <v/>
      </c>
    </row>
    <row r="224" spans="1:26">
      <c r="A224" t="s">
        <v>981</v>
      </c>
      <c r="B224" t="s">
        <v>48</v>
      </c>
      <c r="D224" t="b">
        <v>0</v>
      </c>
      <c r="E224" t="b">
        <v>0</v>
      </c>
      <c r="I224" t="s">
        <v>982</v>
      </c>
      <c r="J224" t="n">
        <v>3835</v>
      </c>
      <c r="K224" t="n">
        <v>404</v>
      </c>
      <c r="L224" t="n">
        <v>806</v>
      </c>
      <c r="M224" t="n">
        <v>1</v>
      </c>
      <c r="N224" t="n">
        <v>1</v>
      </c>
      <c r="O224" t="n">
        <v>0</v>
      </c>
      <c r="P224" t="s">
        <v>29</v>
      </c>
      <c r="Q224">
        <f>HYPERLINK("https://images.diginfra.net/framed3.html?imagesetuuid=473594ee-2ab0-4fbf-9da7-0e9d12acef41&amp;uri=https://images.diginfra.net/iiif/NL-HaNA_1.01.02/3835/NL-HaNA_1.01.02_3835_0404.jpg", "viewer_url")</f>
        <v/>
      </c>
      <c r="R224">
        <f>HYPERLINK("https://images.diginfra.net/iiif/NL-HaNA_1.01.02/3835/NL-HaNA_1.01.02_3835_0404.jpg/1252,1493,1088,1942/full/0/default.jpg", "iiif_url")</f>
        <v/>
      </c>
      <c r="S224" t="s">
        <v>29</v>
      </c>
      <c r="T224" t="s">
        <v>983</v>
      </c>
      <c r="U224">
        <f>HYPERLINK("https://images.diginfra.net/framed3.html?imagesetuuid=473594ee-2ab0-4fbf-9da7-0e9d12acef41&amp;uri=https://images.diginfra.net/iiif/NL-HaNA_1.01.02/3835/NL-HaNA_1.01.02_3835_0400.jpg", "prev_meeting_viewer_url")</f>
        <v/>
      </c>
      <c r="V224">
        <f>HYPERLINK("https://images.diginfra.net/iiif/NL-HaNA_1.01.02/3835/NL-HaNA_1.01.02_3835_0400.jpg/3313,2700,1027,738/full/0/default.jpg", "prev_meeting_iiif_url")</f>
        <v/>
      </c>
      <c r="W224" t="s">
        <v>29</v>
      </c>
      <c r="X224" t="s">
        <v>984</v>
      </c>
      <c r="Y224">
        <f>HYPERLINK("https://images.diginfra.net/framed3.html?imagesetuuid=473594ee-2ab0-4fbf-9da7-0e9d12acef41&amp;uri=https://images.diginfra.net/iiif/NL-HaNA_1.01.02/3835/NL-HaNA_1.01.02_3835_0404.jpg", "next_meeting_viewer_url")</f>
        <v/>
      </c>
      <c r="Z224">
        <f>HYPERLINK("https://images.diginfra.net/iiif/NL-HaNA_1.01.02/3835/NL-HaNA_1.01.02_3835_0404.jpg/1252,1493,1088,1942/full/0/default.jpg", "next_meeting_iiif_url")</f>
        <v/>
      </c>
    </row>
    <row r="225" spans="1:26">
      <c r="A225" t="s">
        <v>985</v>
      </c>
      <c r="B225" t="s">
        <v>27</v>
      </c>
      <c r="D225" t="b">
        <v>0</v>
      </c>
      <c r="E225" t="b">
        <v>0</v>
      </c>
      <c r="I225" t="s">
        <v>986</v>
      </c>
      <c r="J225" t="n">
        <v>3850</v>
      </c>
      <c r="K225" t="n">
        <v>315</v>
      </c>
      <c r="L225" t="n">
        <v>628</v>
      </c>
      <c r="M225" t="n">
        <v>1</v>
      </c>
      <c r="N225" t="n">
        <v>1</v>
      </c>
      <c r="O225" t="n">
        <v>0</v>
      </c>
      <c r="P225" t="s">
        <v>29</v>
      </c>
      <c r="Q225">
        <f>HYPERLINK("https://images.diginfra.net/framed3.html?imagesetuuid=c85930a5-cbb7-4080-aa48-a5bcfddd21f7&amp;uri=https://images.diginfra.net/iiif/NL-HaNA_1.01.02/3850/NL-HaNA_1.01.02_3850_0315.jpg", "viewer_url")</f>
        <v/>
      </c>
      <c r="R225">
        <f>HYPERLINK("https://images.diginfra.net/iiif/NL-HaNA_1.01.02/3850/NL-HaNA_1.01.02_3850_0315.jpg/1180,473,1094,2984/full/0/default.jpg", "iiif_url")</f>
        <v/>
      </c>
      <c r="S225" t="s">
        <v>29</v>
      </c>
      <c r="T225" t="s">
        <v>987</v>
      </c>
      <c r="U225">
        <f>HYPERLINK("https://images.diginfra.net/framed3.html?imagesetuuid=c85930a5-cbb7-4080-aa48-a5bcfddd21f7&amp;uri=https://images.diginfra.net/iiif/NL-HaNA_1.01.02/3850/NL-HaNA_1.01.02_3850_0311.jpg", "prev_meeting_viewer_url")</f>
        <v/>
      </c>
      <c r="V225">
        <f>HYPERLINK("https://images.diginfra.net/iiif/NL-HaNA_1.01.02/3850/NL-HaNA_1.01.02_3850_0311.jpg/1209,2595,1024,858/full/0/default.jpg", "prev_meeting_iiif_url")</f>
        <v/>
      </c>
      <c r="W225" t="s">
        <v>29</v>
      </c>
      <c r="X225" t="s">
        <v>988</v>
      </c>
      <c r="Y225">
        <f>HYPERLINK("https://images.diginfra.net/framed3.html?imagesetuuid=c85930a5-cbb7-4080-aa48-a5bcfddd21f7&amp;uri=https://images.diginfra.net/iiif/NL-HaNA_1.01.02/3850/NL-HaNA_1.01.02_3850_0315.jpg", "next_meeting_viewer_url")</f>
        <v/>
      </c>
      <c r="Z225">
        <f>HYPERLINK("https://images.diginfra.net/iiif/NL-HaNA_1.01.02/3850/NL-HaNA_1.01.02_3850_0315.jpg/1180,473,1094,2984/full/0/default.jpg", "next_meeting_iiif_url")</f>
        <v/>
      </c>
    </row>
    <row r="226" spans="1:26">
      <c r="A226" t="s">
        <v>989</v>
      </c>
      <c r="B226" t="s">
        <v>37</v>
      </c>
      <c r="C226" t="s">
        <v>990</v>
      </c>
      <c r="D226" t="b">
        <v>1</v>
      </c>
      <c r="E226" t="b">
        <v>1</v>
      </c>
      <c r="I226" t="s">
        <v>991</v>
      </c>
      <c r="J226" t="n">
        <v>3819</v>
      </c>
      <c r="K226" t="n">
        <v>311</v>
      </c>
      <c r="L226" t="n">
        <v>620</v>
      </c>
      <c r="M226" t="n">
        <v>0</v>
      </c>
      <c r="N226" t="n">
        <v>2</v>
      </c>
      <c r="O226" t="n">
        <v>0</v>
      </c>
      <c r="P226" t="s">
        <v>29</v>
      </c>
      <c r="Q226">
        <f>HYPERLINK("https://images.diginfra.net/framed3.html?imagesetuuid=711b4f86-3dbd-47ca-af9d-52eb1c30bc58&amp;uri=https://images.diginfra.net/iiif/NL-HaNA_1.01.02/3819/NL-HaNA_1.01.02_3819_0311.jpg", "viewer_url")</f>
        <v/>
      </c>
      <c r="R226">
        <f>HYPERLINK("https://images.diginfra.net/iiif/NL-HaNA_1.01.02/3819/NL-HaNA_1.01.02_3819_0311.jpg/342,2302,1045,1056/full/0/default.jpg", "iiif_url")</f>
        <v/>
      </c>
      <c r="S226" t="s">
        <v>29</v>
      </c>
      <c r="T226" t="s">
        <v>992</v>
      </c>
      <c r="U226">
        <f>HYPERLINK("https://images.diginfra.net/framed3.html?imagesetuuid=711b4f86-3dbd-47ca-af9d-52eb1c30bc58&amp;uri=https://images.diginfra.net/iiif/NL-HaNA_1.01.02/3819/NL-HaNA_1.01.02_3819_0309.jpg", "prev_meeting_viewer_url")</f>
        <v/>
      </c>
      <c r="V226">
        <f>HYPERLINK("https://images.diginfra.net/iiif/NL-HaNA_1.01.02/3819/NL-HaNA_1.01.02_3819_0309.jpg/2497,2412,1030,912/full/0/default.jpg", "prev_meeting_iiif_url")</f>
        <v/>
      </c>
      <c r="W226" t="s">
        <v>29</v>
      </c>
      <c r="X226" t="s">
        <v>217</v>
      </c>
      <c r="Y226">
        <f>HYPERLINK("https://images.diginfra.net/framed3.html?imagesetuuid=711b4f86-3dbd-47ca-af9d-52eb1c30bc58&amp;uri=https://images.diginfra.net/iiif/NL-HaNA_1.01.02/3819/NL-HaNA_1.01.02_3819_0314.jpg", "next_meeting_viewer_url")</f>
        <v/>
      </c>
      <c r="Z226">
        <f>HYPERLINK("https://images.diginfra.net/iiif/NL-HaNA_1.01.02/3819/NL-HaNA_1.01.02_3819_0314.jpg/2395,471,1098,2845/full/0/default.jpg", "next_meeting_iiif_url")</f>
        <v/>
      </c>
    </row>
    <row r="227" spans="1:26">
      <c r="A227" t="s">
        <v>993</v>
      </c>
      <c r="B227" t="s">
        <v>76</v>
      </c>
      <c r="C227" t="s">
        <v>994</v>
      </c>
      <c r="D227" t="b">
        <v>1</v>
      </c>
      <c r="E227" t="b">
        <v>1</v>
      </c>
      <c r="I227" t="s">
        <v>995</v>
      </c>
      <c r="J227" t="n">
        <v>3815</v>
      </c>
      <c r="K227" t="n">
        <v>384</v>
      </c>
      <c r="L227" t="n">
        <v>767</v>
      </c>
      <c r="M227" t="n">
        <v>0</v>
      </c>
      <c r="N227" t="n">
        <v>1</v>
      </c>
      <c r="O227" t="n">
        <v>0</v>
      </c>
      <c r="P227" t="s">
        <v>29</v>
      </c>
      <c r="Q227">
        <f>HYPERLINK("https://images.diginfra.net/framed3.html?imagesetuuid=c649f39d-5b94-4d9d-8000-33acd4342c36&amp;uri=https://images.diginfra.net/iiif/NL-HaNA_1.01.02/3815/NL-HaNA_1.01.02_3815_0384.jpg", "viewer_url")</f>
        <v/>
      </c>
      <c r="R227">
        <f>HYPERLINK("https://images.diginfra.net/iiif/NL-HaNA_1.01.02/3815/NL-HaNA_1.01.02_3815_0384.jpg/2440,1687,1087,1717/full/0/default.jpg", "iiif_url")</f>
        <v/>
      </c>
      <c r="S227" t="s">
        <v>29</v>
      </c>
      <c r="T227" t="s">
        <v>996</v>
      </c>
      <c r="U227">
        <f>HYPERLINK("https://images.diginfra.net/framed3.html?imagesetuuid=c649f39d-5b94-4d9d-8000-33acd4342c36&amp;uri=https://images.diginfra.net/iiif/NL-HaNA_1.01.02/3815/NL-HaNA_1.01.02_3815_0383.jpg", "prev_meeting_viewer_url")</f>
        <v/>
      </c>
      <c r="V227">
        <f>HYPERLINK("https://images.diginfra.net/iiif/NL-HaNA_1.01.02/3815/NL-HaNA_1.01.02_3815_0383.jpg/2427,846,1091,2539/full/0/default.jpg", "prev_meeting_iiif_url")</f>
        <v/>
      </c>
      <c r="W227" t="s">
        <v>29</v>
      </c>
      <c r="X227" t="s">
        <v>997</v>
      </c>
      <c r="Y227">
        <f>HYPERLINK("https://images.diginfra.net/framed3.html?imagesetuuid=c649f39d-5b94-4d9d-8000-33acd4342c36&amp;uri=https://images.diginfra.net/iiif/NL-HaNA_1.01.02/3815/NL-HaNA_1.01.02_3815_0385.jpg", "next_meeting_viewer_url")</f>
        <v/>
      </c>
      <c r="Z227">
        <f>HYPERLINK("https://images.diginfra.net/iiif/NL-HaNA_1.01.02/3815/NL-HaNA_1.01.02_3815_0385.jpg/337,284,1101,3056/full/0/default.jpg", "next_meeting_iiif_url")</f>
        <v/>
      </c>
    </row>
    <row r="228" spans="1:26">
      <c r="A228" t="s">
        <v>998</v>
      </c>
      <c r="B228" t="s">
        <v>63</v>
      </c>
      <c r="C228" t="s">
        <v>999</v>
      </c>
      <c r="D228" t="b">
        <v>1</v>
      </c>
      <c r="E228" t="b">
        <v>1</v>
      </c>
      <c r="I228" t="s">
        <v>1000</v>
      </c>
      <c r="J228" t="n">
        <v>3822</v>
      </c>
      <c r="K228" t="n">
        <v>228</v>
      </c>
      <c r="L228" t="n">
        <v>454</v>
      </c>
      <c r="M228" t="n">
        <v>0</v>
      </c>
      <c r="N228" t="n">
        <v>0</v>
      </c>
      <c r="O228" t="n">
        <v>13</v>
      </c>
      <c r="P228" t="s">
        <v>29</v>
      </c>
      <c r="Q228">
        <f>HYPERLINK("https://images.diginfra.net/framed3.html?imagesetuuid=e0965315-891d-46c1-9dac-fc6b729921cf&amp;uri=https://images.diginfra.net/iiif/NL-HaNA_1.01.02/3822/NL-HaNA_1.01.02_3822_0228.jpg", "viewer_url")</f>
        <v/>
      </c>
      <c r="R228">
        <f>HYPERLINK("https://images.diginfra.net/iiif/NL-HaNA_1.01.02/3822/NL-HaNA_1.01.02_3822_0228.jpg/234,863,1100,2505/full/0/default.jpg", "iiif_url")</f>
        <v/>
      </c>
      <c r="S228" t="s">
        <v>29</v>
      </c>
      <c r="T228" t="s">
        <v>917</v>
      </c>
      <c r="U228">
        <f>HYPERLINK("https://images.diginfra.net/framed3.html?imagesetuuid=e0965315-891d-46c1-9dac-fc6b729921cf&amp;uri=https://images.diginfra.net/iiif/NL-HaNA_1.01.02/3822/NL-HaNA_1.01.02_3822_0226.jpg", "prev_meeting_viewer_url")</f>
        <v/>
      </c>
      <c r="V228">
        <f>HYPERLINK("https://images.diginfra.net/iiif/NL-HaNA_1.01.02/3822/NL-HaNA_1.01.02_3822_0226.jpg/1264,1866,1060,1424/full/0/default.jpg", "prev_meeting_iiif_url")</f>
        <v/>
      </c>
      <c r="W228" t="s">
        <v>29</v>
      </c>
      <c r="X228" t="s">
        <v>1001</v>
      </c>
      <c r="Y228">
        <f>HYPERLINK("https://images.diginfra.net/framed3.html?imagesetuuid=e0965315-891d-46c1-9dac-fc6b729921cf&amp;uri=https://images.diginfra.net/iiif/NL-HaNA_1.01.02/3822/NL-HaNA_1.01.02_3822_0232.jpg", "next_meeting_viewer_url")</f>
        <v/>
      </c>
      <c r="Z228">
        <f>HYPERLINK("https://images.diginfra.net/iiif/NL-HaNA_1.01.02/3822/NL-HaNA_1.01.02_3822_0232.jpg/3323,1299,1060,2004/full/0/default.jpg", "next_meeting_iiif_url")</f>
        <v/>
      </c>
    </row>
    <row r="229" spans="1:26">
      <c r="A229" t="s">
        <v>1002</v>
      </c>
      <c r="B229" t="s">
        <v>53</v>
      </c>
      <c r="C229" t="s">
        <v>1003</v>
      </c>
      <c r="D229" t="b">
        <v>1</v>
      </c>
      <c r="E229" t="b">
        <v>1</v>
      </c>
      <c r="I229" t="s">
        <v>1004</v>
      </c>
      <c r="J229" t="n">
        <v>3772</v>
      </c>
      <c r="K229" t="n">
        <v>530</v>
      </c>
      <c r="L229" t="n">
        <v>1058</v>
      </c>
      <c r="M229" t="n">
        <v>0</v>
      </c>
      <c r="N229" t="n">
        <v>1</v>
      </c>
      <c r="O229" t="n">
        <v>0</v>
      </c>
      <c r="P229" t="s">
        <v>29</v>
      </c>
      <c r="Q229">
        <f>HYPERLINK("https://images.diginfra.net/framed3.html?imagesetuuid=7816564e-398d-48a2-b251-a02a50cc0b59&amp;uri=https://images.diginfra.net/iiif/NL-HaNA_1.01.02/3772/NL-HaNA_1.01.02_3772_0530.jpg", "viewer_url")</f>
        <v/>
      </c>
      <c r="R229">
        <f>HYPERLINK("https://images.diginfra.net/iiif/NL-HaNA_1.01.02/3772/NL-HaNA_1.01.02_3772_0530.jpg/251,1711,1088,1695/full/0/default.jpg", "iiif_url")</f>
        <v/>
      </c>
      <c r="S229" t="s">
        <v>29</v>
      </c>
      <c r="T229" t="s">
        <v>1005</v>
      </c>
      <c r="U229">
        <f>HYPERLINK("https://images.diginfra.net/framed3.html?imagesetuuid=7816564e-398d-48a2-b251-a02a50cc0b59&amp;uri=https://images.diginfra.net/iiif/NL-HaNA_1.01.02/3772/NL-HaNA_1.01.02_3772_0528.jpg", "prev_meeting_viewer_url")</f>
        <v/>
      </c>
      <c r="V229">
        <f>HYPERLINK("https://images.diginfra.net/iiif/NL-HaNA_1.01.02/3772/NL-HaNA_1.01.02_3772_0528.jpg/313,2386,1026,1059/full/0/default.jpg", "prev_meeting_iiif_url")</f>
        <v/>
      </c>
      <c r="W229" t="s">
        <v>29</v>
      </c>
      <c r="X229" t="s">
        <v>1006</v>
      </c>
      <c r="Y229">
        <f>HYPERLINK("https://images.diginfra.net/framed3.html?imagesetuuid=7816564e-398d-48a2-b251-a02a50cc0b59&amp;uri=https://images.diginfra.net/iiif/NL-HaNA_1.01.02/3772/NL-HaNA_1.01.02_3772_0531.jpg", "next_meeting_viewer_url")</f>
        <v/>
      </c>
      <c r="Z229">
        <f>HYPERLINK("https://images.diginfra.net/iiif/NL-HaNA_1.01.02/3772/NL-HaNA_1.01.02_3772_0531.jpg/2377,2075,1081,1274/full/0/default.jpg", "next_meeting_iiif_url")</f>
        <v/>
      </c>
    </row>
    <row r="230" spans="1:26">
      <c r="A230" t="s">
        <v>1007</v>
      </c>
      <c r="B230" t="s">
        <v>63</v>
      </c>
      <c r="C230" t="s">
        <v>1008</v>
      </c>
      <c r="D230" t="b">
        <v>1</v>
      </c>
      <c r="E230" t="b">
        <v>1</v>
      </c>
      <c r="I230" t="s">
        <v>1009</v>
      </c>
      <c r="J230" t="n">
        <v>3805</v>
      </c>
      <c r="K230" t="n">
        <v>281</v>
      </c>
      <c r="L230" t="n">
        <v>560</v>
      </c>
      <c r="M230" t="n">
        <v>1</v>
      </c>
      <c r="N230" t="n">
        <v>1</v>
      </c>
      <c r="O230" t="n">
        <v>0</v>
      </c>
      <c r="P230" t="s">
        <v>29</v>
      </c>
      <c r="Q230">
        <f>HYPERLINK("https://images.diginfra.net/framed3.html?imagesetuuid=e8c5617e-c060-4d57-a0d9-c22a4796ba85&amp;uri=https://images.diginfra.net/iiif/NL-HaNA_1.01.02/3805/NL-HaNA_1.01.02_3805_0281.jpg", "viewer_url")</f>
        <v/>
      </c>
      <c r="R230">
        <f>HYPERLINK("https://images.diginfra.net/iiif/NL-HaNA_1.01.02/3805/NL-HaNA_1.01.02_3805_0281.jpg/1197,681,1103,2713/full/0/default.jpg", "iiif_url")</f>
        <v/>
      </c>
      <c r="S230" t="s">
        <v>29</v>
      </c>
      <c r="T230" t="s">
        <v>1010</v>
      </c>
      <c r="U230">
        <f>HYPERLINK("https://images.diginfra.net/framed3.html?imagesetuuid=e8c5617e-c060-4d57-a0d9-c22a4796ba85&amp;uri=https://images.diginfra.net/iiif/NL-HaNA_1.01.02/3805/NL-HaNA_1.01.02_3805_0279.jpg", "prev_meeting_viewer_url")</f>
        <v/>
      </c>
      <c r="V230">
        <f>HYPERLINK("https://images.diginfra.net/iiif/NL-HaNA_1.01.02/3805/NL-HaNA_1.01.02_3805_0279.jpg/3337,921,1098,2471/full/0/default.jpg", "prev_meeting_iiif_url")</f>
        <v/>
      </c>
      <c r="W230" t="s">
        <v>29</v>
      </c>
      <c r="X230" t="s">
        <v>1011</v>
      </c>
      <c r="Y230">
        <f>HYPERLINK("https://images.diginfra.net/framed3.html?imagesetuuid=e8c5617e-c060-4d57-a0d9-c22a4796ba85&amp;uri=https://images.diginfra.net/iiif/NL-HaNA_1.01.02/3805/NL-HaNA_1.01.02_3805_0284.jpg", "next_meeting_viewer_url")</f>
        <v/>
      </c>
      <c r="Z230">
        <f>HYPERLINK("https://images.diginfra.net/iiif/NL-HaNA_1.01.02/3805/NL-HaNA_1.01.02_3805_0284.jpg/2353,595,1101,2824/full/0/default.jpg", "next_meeting_iiif_url")</f>
        <v/>
      </c>
    </row>
    <row r="231" spans="1:26">
      <c r="A231" t="s">
        <v>1012</v>
      </c>
      <c r="B231" t="s">
        <v>48</v>
      </c>
      <c r="D231" t="b">
        <v>0</v>
      </c>
      <c r="E231" t="b">
        <v>0</v>
      </c>
      <c r="I231" t="s">
        <v>1013</v>
      </c>
      <c r="J231" t="n">
        <v>3812</v>
      </c>
      <c r="K231" t="n">
        <v>162</v>
      </c>
      <c r="L231" t="n">
        <v>322</v>
      </c>
      <c r="M231" t="n">
        <v>1</v>
      </c>
      <c r="N231" t="n">
        <v>0</v>
      </c>
      <c r="O231" t="n">
        <v>7</v>
      </c>
      <c r="P231" t="s">
        <v>29</v>
      </c>
      <c r="Q231">
        <f>HYPERLINK("https://images.diginfra.net/framed3.html?imagesetuuid=2068053a-a1c4-40f9-a503-3778784a1420&amp;uri=https://images.diginfra.net/iiif/NL-HaNA_1.01.02/3812/NL-HaNA_1.01.02_3812_0162.jpg", "viewer_url")</f>
        <v/>
      </c>
      <c r="R231">
        <f>HYPERLINK("https://images.diginfra.net/iiif/NL-HaNA_1.01.02/3812/NL-HaNA_1.01.02_3812_0162.jpg/1148,460,1124,2928/full/0/default.jpg", "iiif_url")</f>
        <v/>
      </c>
      <c r="S231" t="s">
        <v>29</v>
      </c>
      <c r="T231" t="s">
        <v>1014</v>
      </c>
      <c r="U231">
        <f>HYPERLINK("https://images.diginfra.net/framed3.html?imagesetuuid=2068053a-a1c4-40f9-a503-3778784a1420&amp;uri=https://images.diginfra.net/iiif/NL-HaNA_1.01.02/3812/NL-HaNA_1.01.02_3812_0160.jpg", "prev_meeting_viewer_url")</f>
        <v/>
      </c>
      <c r="V231">
        <f>HYPERLINK("https://images.diginfra.net/iiif/NL-HaNA_1.01.02/3812/NL-HaNA_1.01.02_3812_0160.jpg/2359,261,1138,3120/full/0/default.jpg", "prev_meeting_iiif_url")</f>
        <v/>
      </c>
      <c r="W231" t="s">
        <v>29</v>
      </c>
      <c r="X231" t="s">
        <v>1015</v>
      </c>
      <c r="Y231">
        <f>HYPERLINK("https://images.diginfra.net/framed3.html?imagesetuuid=2068053a-a1c4-40f9-a503-3778784a1420&amp;uri=https://images.diginfra.net/iiif/NL-HaNA_1.01.02/3812/NL-HaNA_1.01.02_3812_0162.jpg", "next_meeting_viewer_url")</f>
        <v/>
      </c>
      <c r="Z231">
        <f>HYPERLINK("https://images.diginfra.net/iiif/NL-HaNA_1.01.02/3812/NL-HaNA_1.01.02_3812_0162.jpg/1148,460,1124,2928/full/0/default.jpg", "next_meeting_iiif_url")</f>
        <v/>
      </c>
    </row>
    <row r="232" spans="1:26">
      <c r="A232" t="s">
        <v>1016</v>
      </c>
      <c r="B232" t="s">
        <v>53</v>
      </c>
      <c r="C232" t="s">
        <v>1017</v>
      </c>
      <c r="D232" t="b">
        <v>1</v>
      </c>
      <c r="E232" t="b">
        <v>1</v>
      </c>
      <c r="I232" t="s">
        <v>1018</v>
      </c>
      <c r="J232" t="n">
        <v>3802</v>
      </c>
      <c r="K232" t="n">
        <v>132</v>
      </c>
      <c r="L232" t="n">
        <v>262</v>
      </c>
      <c r="M232" t="n">
        <v>0</v>
      </c>
      <c r="N232" t="n">
        <v>3</v>
      </c>
      <c r="O232" t="n">
        <v>0</v>
      </c>
      <c r="P232" t="s">
        <v>29</v>
      </c>
      <c r="Q232">
        <f>HYPERLINK("https://images.diginfra.net/framed3.html?imagesetuuid=42a0dd68-0122-4267-985e-43a657deae45&amp;uri=https://images.diginfra.net/iiif/NL-HaNA_1.01.02/3802/NL-HaNA_1.01.02_3802_0132.jpg", "viewer_url")</f>
        <v/>
      </c>
      <c r="R232">
        <f>HYPERLINK("https://images.diginfra.net/iiif/NL-HaNA_1.01.02/3802/NL-HaNA_1.01.02_3802_0132.jpg/365,2320,1048,1076/full/0/default.jpg", "iiif_url")</f>
        <v/>
      </c>
      <c r="S232" t="s">
        <v>29</v>
      </c>
      <c r="T232" t="s">
        <v>1019</v>
      </c>
      <c r="U232">
        <f>HYPERLINK("https://images.diginfra.net/framed3.html?imagesetuuid=42a0dd68-0122-4267-985e-43a657deae45&amp;uri=https://images.diginfra.net/iiif/NL-HaNA_1.01.02/3802/NL-HaNA_1.01.02_3802_0131.jpg", "prev_meeting_viewer_url")</f>
        <v/>
      </c>
      <c r="V232">
        <f>HYPERLINK("https://images.diginfra.net/iiif/NL-HaNA_1.01.02/3802/NL-HaNA_1.01.02_3802_0131.jpg/3391,419,1119,2953/full/0/default.jpg", "prev_meeting_iiif_url")</f>
        <v/>
      </c>
      <c r="W232" t="s">
        <v>29</v>
      </c>
      <c r="X232" t="s">
        <v>1020</v>
      </c>
      <c r="Y232">
        <f>HYPERLINK("https://images.diginfra.net/framed3.html?imagesetuuid=42a0dd68-0122-4267-985e-43a657deae45&amp;uri=https://images.diginfra.net/iiif/NL-HaNA_1.01.02/3802/NL-HaNA_1.01.02_3802_0134.jpg", "next_meeting_viewer_url")</f>
        <v/>
      </c>
      <c r="Z232">
        <f>HYPERLINK("https://images.diginfra.net/iiif/NL-HaNA_1.01.02/3802/NL-HaNA_1.01.02_3802_0134.jpg/348,1476,1090,1940/full/0/default.jpg", "next_meeting_iiif_url")</f>
        <v/>
      </c>
    </row>
    <row r="233" spans="1:26">
      <c r="A233" t="s">
        <v>1021</v>
      </c>
      <c r="B233" t="s">
        <v>53</v>
      </c>
      <c r="C233" t="s">
        <v>1022</v>
      </c>
      <c r="D233" t="b">
        <v>1</v>
      </c>
      <c r="E233" t="b">
        <v>1</v>
      </c>
      <c r="I233" t="s">
        <v>1023</v>
      </c>
      <c r="J233" t="n">
        <v>3767</v>
      </c>
      <c r="K233" t="n">
        <v>184</v>
      </c>
      <c r="L233" t="n">
        <v>367</v>
      </c>
      <c r="M233" t="n">
        <v>0</v>
      </c>
      <c r="N233" t="n">
        <v>4</v>
      </c>
      <c r="O233" t="n">
        <v>0</v>
      </c>
      <c r="P233" t="s">
        <v>29</v>
      </c>
      <c r="Q233">
        <f>HYPERLINK("https://images.diginfra.net/framed3.html?imagesetuuid=1dfc3e45-daeb-4e8d-b5c8-e02b6196102c&amp;uri=https://images.diginfra.net/iiif/NL-HaNA_1.01.02/3767/NL-HaNA_1.01.02_3767_0184.jpg", "viewer_url")</f>
        <v/>
      </c>
      <c r="R233">
        <f>HYPERLINK("https://images.diginfra.net/iiif/NL-HaNA_1.01.02/3767/NL-HaNA_1.01.02_3767_0184.jpg/2555,2273,1062,1145/full/0/default.jpg", "iiif_url")</f>
        <v/>
      </c>
      <c r="S233" t="s">
        <v>29</v>
      </c>
      <c r="U233">
        <f>HYPERLINK("https://images.diginfra.net/framed3.html?imagesetuuid=1dfc3e45-daeb-4e8d-b5c8-e02b6196102c&amp;uri=https://images.diginfra.net/iiif/NL-HaNA_1.01.02/3767/NL-HaNA_1.01.02_3767_0183.jpg", "prev_meeting_viewer_url")</f>
        <v/>
      </c>
      <c r="V233">
        <f>HYPERLINK("https://images.diginfra.net/iiif/NL-HaNA_1.01.02/3767/NL-HaNA_1.01.02_3767_0183.jpg/1285,338,1119,2931/full/0/default.jpg", "prev_meeting_iiif_url")</f>
        <v/>
      </c>
      <c r="W233" t="s">
        <v>33</v>
      </c>
      <c r="X233" t="s">
        <v>1024</v>
      </c>
      <c r="Y233">
        <f>HYPERLINK("https://images.diginfra.net/framed3.html?imagesetuuid=1dfc3e45-daeb-4e8d-b5c8-e02b6196102c&amp;uri=https://images.diginfra.net/iiif/NL-HaNA_1.01.02/3767/NL-HaNA_1.01.02_3767_0186.jpg", "next_meeting_viewer_url")</f>
        <v/>
      </c>
      <c r="Z233">
        <f>HYPERLINK("https://images.diginfra.net/iiif/NL-HaNA_1.01.02/3767/NL-HaNA_1.01.02_3767_0186.jpg/2471,1585,1101,1819/full/0/default.jpg", "next_meeting_iiif_url")</f>
        <v/>
      </c>
    </row>
    <row r="234" spans="1:26">
      <c r="A234" t="s">
        <v>1025</v>
      </c>
      <c r="B234" t="s">
        <v>63</v>
      </c>
      <c r="D234" t="b">
        <v>1</v>
      </c>
      <c r="E234" t="b">
        <v>1</v>
      </c>
      <c r="I234" t="s">
        <v>1026</v>
      </c>
      <c r="J234" t="n">
        <v>3801</v>
      </c>
      <c r="K234" t="n">
        <v>467</v>
      </c>
      <c r="L234" t="n">
        <v>932</v>
      </c>
      <c r="M234" t="n">
        <v>1</v>
      </c>
      <c r="N234" t="n">
        <v>0</v>
      </c>
      <c r="O234" t="n">
        <v>0</v>
      </c>
      <c r="P234" t="s">
        <v>29</v>
      </c>
      <c r="Q234">
        <f>HYPERLINK("https://images.diginfra.net/framed3.html?imagesetuuid=f36c8416-59a8-4b1a-a82a-ef225cbd1971&amp;uri=https://images.diginfra.net/iiif/NL-HaNA_1.01.02/3801/NL-HaNA_1.01.02_3801_0467.jpg", "viewer_url")</f>
        <v/>
      </c>
      <c r="R234">
        <f>HYPERLINK("https://images.diginfra.net/iiif/NL-HaNA_1.01.02/3801/NL-HaNA_1.01.02_3801_0467.jpg/1254,345,1106,3061/full/0/default.jpg", "iiif_url")</f>
        <v/>
      </c>
      <c r="S234" t="s">
        <v>29</v>
      </c>
      <c r="T234" t="s">
        <v>113</v>
      </c>
      <c r="U234">
        <f>HYPERLINK("https://images.diginfra.net/framed3.html?imagesetuuid=f36c8416-59a8-4b1a-a82a-ef225cbd1971&amp;uri=https://images.diginfra.net/iiif/NL-HaNA_1.01.02/3801/NL-HaNA_1.01.02_3801_0463.jpg", "prev_meeting_viewer_url")</f>
        <v/>
      </c>
      <c r="V234">
        <f>HYPERLINK("https://images.diginfra.net/iiif/NL-HaNA_1.01.02/3801/NL-HaNA_1.01.02_3801_0463.jpg/2371,1522,1081,1856/full/0/default.jpg", "prev_meeting_iiif_url")</f>
        <v/>
      </c>
      <c r="W234" t="s">
        <v>29</v>
      </c>
      <c r="X234" t="s">
        <v>114</v>
      </c>
      <c r="Y234">
        <f>HYPERLINK("https://images.diginfra.net/framed3.html?imagesetuuid=f36c8416-59a8-4b1a-a82a-ef225cbd1971&amp;uri=https://images.diginfra.net/iiif/NL-HaNA_1.01.02/3801/NL-HaNA_1.01.02_3801_0468.jpg", "next_meeting_viewer_url")</f>
        <v/>
      </c>
      <c r="Z234">
        <f>HYPERLINK("https://images.diginfra.net/iiif/NL-HaNA_1.01.02/3801/NL-HaNA_1.01.02_3801_0468.jpg/3295,1873,1091,1448/full/0/default.jpg", "next_meeting_iiif_url")</f>
        <v/>
      </c>
    </row>
    <row r="235" spans="1:26">
      <c r="A235" t="s">
        <v>1027</v>
      </c>
      <c r="B235" t="s">
        <v>37</v>
      </c>
      <c r="C235" t="s">
        <v>1028</v>
      </c>
      <c r="D235" t="b">
        <v>1</v>
      </c>
      <c r="E235" t="b">
        <v>1</v>
      </c>
      <c r="I235" t="s">
        <v>1029</v>
      </c>
      <c r="J235" t="n">
        <v>3765</v>
      </c>
      <c r="K235" t="n">
        <v>559</v>
      </c>
      <c r="L235" t="n">
        <v>1117</v>
      </c>
      <c r="M235" t="n">
        <v>0</v>
      </c>
      <c r="N235" t="n">
        <v>1</v>
      </c>
      <c r="O235" t="n">
        <v>0</v>
      </c>
      <c r="P235" t="s">
        <v>29</v>
      </c>
      <c r="Q235">
        <f>HYPERLINK("https://images.diginfra.net/framed3.html?imagesetuuid=4dfc1a1b-8cdf-4492-b411-5e67950ce484&amp;uri=https://images.diginfra.net/iiif/NL-HaNA_1.01.02/3765/NL-HaNA_1.01.02_3765_0559.jpg", "viewer_url")</f>
        <v/>
      </c>
      <c r="R235">
        <f>HYPERLINK("https://images.diginfra.net/iiif/NL-HaNA_1.01.02/3765/NL-HaNA_1.01.02_3765_0559.jpg/2525,2413,1058,945/full/0/default.jpg", "iiif_url")</f>
        <v/>
      </c>
      <c r="S235" t="s">
        <v>29</v>
      </c>
      <c r="T235" t="s">
        <v>1030</v>
      </c>
      <c r="U235">
        <f>HYPERLINK("https://images.diginfra.net/framed3.html?imagesetuuid=4dfc1a1b-8cdf-4492-b411-5e67950ce484&amp;uri=https://images.diginfra.net/iiif/NL-HaNA_1.01.02/3765/NL-HaNA_1.01.02_3765_0557.jpg", "prev_meeting_viewer_url")</f>
        <v/>
      </c>
      <c r="V235">
        <f>HYPERLINK("https://images.diginfra.net/iiif/NL-HaNA_1.01.02/3765/NL-HaNA_1.01.02_3765_0557.jpg/1232,2099,1124,1319/full/0/default.jpg", "prev_meeting_iiif_url")</f>
        <v/>
      </c>
      <c r="W235" t="s">
        <v>29</v>
      </c>
      <c r="Y235">
        <f>HYPERLINK("https://images.diginfra.net/framed3.html?imagesetuuid=4dfc1a1b-8cdf-4492-b411-5e67950ce484&amp;uri=https://images.diginfra.net/iiif/NL-HaNA_1.01.02/3765/NL-HaNA_1.01.02_3765_0562.jpg", "next_meeting_viewer_url")</f>
        <v/>
      </c>
      <c r="Z235">
        <f>HYPERLINK("https://images.diginfra.net/iiif/NL-HaNA_1.01.02/3765/NL-HaNA_1.01.02_3765_0562.jpg/1282,371,1129,2970/full/0/default.jpg", "next_meeting_iiif_url")</f>
        <v/>
      </c>
    </row>
    <row r="236" spans="1:26">
      <c r="A236" t="s">
        <v>1031</v>
      </c>
      <c r="B236" t="s">
        <v>42</v>
      </c>
      <c r="C236" t="s">
        <v>1032</v>
      </c>
      <c r="D236" t="b">
        <v>1</v>
      </c>
      <c r="E236" t="b">
        <v>1</v>
      </c>
      <c r="I236" t="s">
        <v>1033</v>
      </c>
      <c r="J236" t="n">
        <v>3831</v>
      </c>
      <c r="K236" t="n">
        <v>364</v>
      </c>
      <c r="L236" t="n">
        <v>727</v>
      </c>
      <c r="M236" t="n">
        <v>0</v>
      </c>
      <c r="N236" t="n">
        <v>2</v>
      </c>
      <c r="O236" t="n">
        <v>0</v>
      </c>
      <c r="P236" t="s">
        <v>29</v>
      </c>
      <c r="Q236">
        <f>HYPERLINK("https://images.diginfra.net/framed3.html?imagesetuuid=fbccadee-0831-4262-9b53-6f48467f765a&amp;uri=https://images.diginfra.net/iiif/NL-HaNA_1.01.02/3831/NL-HaNA_1.01.02_3831_0364.jpg", "viewer_url")</f>
        <v/>
      </c>
      <c r="R236">
        <f>HYPERLINK("https://images.diginfra.net/iiif/NL-HaNA_1.01.02/3831/NL-HaNA_1.01.02_3831_0364.jpg/2393,2333,1014,942/full/0/default.jpg", "iiif_url")</f>
        <v/>
      </c>
      <c r="S236" t="s">
        <v>29</v>
      </c>
      <c r="T236" t="s">
        <v>1034</v>
      </c>
      <c r="U236">
        <f>HYPERLINK("https://images.diginfra.net/framed3.html?imagesetuuid=fbccadee-0831-4262-9b53-6f48467f765a&amp;uri=https://images.diginfra.net/iiif/NL-HaNA_1.01.02/3831/NL-HaNA_1.01.02_3831_0363.jpg", "prev_meeting_viewer_url")</f>
        <v/>
      </c>
      <c r="V236">
        <f>HYPERLINK("https://images.diginfra.net/iiif/NL-HaNA_1.01.02/3831/NL-HaNA_1.01.02_3831_0363.jpg/2346,573,1064,2789/full/0/default.jpg", "prev_meeting_iiif_url")</f>
        <v/>
      </c>
      <c r="W236" t="s">
        <v>29</v>
      </c>
      <c r="X236" t="s">
        <v>1035</v>
      </c>
      <c r="Y236">
        <f>HYPERLINK("https://images.diginfra.net/framed3.html?imagesetuuid=fbccadee-0831-4262-9b53-6f48467f765a&amp;uri=https://images.diginfra.net/iiif/NL-HaNA_1.01.02/3831/NL-HaNA_1.01.02_3831_0366.jpg", "next_meeting_viewer_url")</f>
        <v/>
      </c>
      <c r="Z236">
        <f>HYPERLINK("https://images.diginfra.net/iiif/NL-HaNA_1.01.02/3831/NL-HaNA_1.01.02_3831_0366.jpg/2325,236,1078,3119/full/0/default.jpg", "next_meeting_iiif_url")</f>
        <v/>
      </c>
    </row>
    <row r="237" spans="1:26">
      <c r="A237" t="s">
        <v>1036</v>
      </c>
      <c r="B237" t="s">
        <v>37</v>
      </c>
      <c r="C237" t="s">
        <v>1037</v>
      </c>
      <c r="D237" t="b">
        <v>1</v>
      </c>
      <c r="E237" t="b">
        <v>1</v>
      </c>
      <c r="I237" t="s">
        <v>1038</v>
      </c>
      <c r="J237" t="n">
        <v>3761</v>
      </c>
      <c r="K237" t="n">
        <v>71</v>
      </c>
      <c r="L237" t="n">
        <v>140</v>
      </c>
      <c r="M237" t="n">
        <v>0</v>
      </c>
      <c r="N237" t="n">
        <v>1</v>
      </c>
      <c r="O237" t="n">
        <v>0</v>
      </c>
      <c r="P237" t="s">
        <v>29</v>
      </c>
      <c r="Q237">
        <f>HYPERLINK("https://images.diginfra.net/framed3.html?imagesetuuid=e6c3b32f-6683-4b16-9444-37e515e232e1&amp;uri=https://images.diginfra.net/iiif/NL-HaNA_1.01.02/3761/NL-HaNA_1.01.02_3761_0071.jpg", "viewer_url")</f>
        <v/>
      </c>
      <c r="R237">
        <f>HYPERLINK("https://images.diginfra.net/iiif/NL-HaNA_1.01.02/3761/NL-HaNA_1.01.02_3761_0071.jpg/322,655,1100,2735/full/0/default.jpg", "iiif_url")</f>
        <v/>
      </c>
      <c r="S237" t="s">
        <v>29</v>
      </c>
      <c r="T237" t="s">
        <v>1039</v>
      </c>
      <c r="U237">
        <f>HYPERLINK("https://images.diginfra.net/framed3.html?imagesetuuid=e6c3b32f-6683-4b16-9444-37e515e232e1&amp;uri=https://images.diginfra.net/iiif/NL-HaNA_1.01.02/3761/NL-HaNA_1.01.02_3761_0069.jpg", "prev_meeting_viewer_url")</f>
        <v/>
      </c>
      <c r="V237">
        <f>HYPERLINK("https://images.diginfra.net/iiif/NL-HaNA_1.01.02/3761/NL-HaNA_1.01.02_3761_0069.jpg/3376,1935,1103,1445/full/0/default.jpg", "prev_meeting_iiif_url")</f>
        <v/>
      </c>
      <c r="W237" t="s">
        <v>29</v>
      </c>
      <c r="X237" t="s">
        <v>1040</v>
      </c>
      <c r="Y237">
        <f>HYPERLINK("https://images.diginfra.net/framed3.html?imagesetuuid=e6c3b32f-6683-4b16-9444-37e515e232e1&amp;uri=https://images.diginfra.net/iiif/NL-HaNA_1.01.02/3761/NL-HaNA_1.01.02_3761_0073.jpg", "next_meeting_viewer_url")</f>
        <v/>
      </c>
      <c r="Z237">
        <f>HYPERLINK("https://images.diginfra.net/iiif/NL-HaNA_1.01.02/3761/NL-HaNA_1.01.02_3761_0073.jpg/2500,2952,1038,493/full/0/default.jpg", "next_meeting_iiif_url")</f>
        <v/>
      </c>
    </row>
    <row r="238" spans="1:26">
      <c r="A238" t="s">
        <v>1041</v>
      </c>
      <c r="B238" t="s">
        <v>76</v>
      </c>
      <c r="C238" t="s">
        <v>1042</v>
      </c>
      <c r="D238" t="b">
        <v>1</v>
      </c>
      <c r="E238" t="b">
        <v>1</v>
      </c>
      <c r="I238" t="s">
        <v>1043</v>
      </c>
      <c r="J238" t="n">
        <v>3793</v>
      </c>
      <c r="K238" t="n">
        <v>327</v>
      </c>
      <c r="L238" t="n">
        <v>653</v>
      </c>
      <c r="M238" t="n">
        <v>1</v>
      </c>
      <c r="N238" t="n">
        <v>1</v>
      </c>
      <c r="O238" t="n">
        <v>0</v>
      </c>
      <c r="P238" t="s">
        <v>29</v>
      </c>
      <c r="Q238">
        <f>HYPERLINK("https://images.diginfra.net/framed3.html?imagesetuuid=8305a309-5c79-4c0c-a981-7e350c76be32&amp;uri=https://images.diginfra.net/iiif/NL-HaNA_1.01.02/3793/NL-HaNA_1.01.02_3793_0327.jpg", "viewer_url")</f>
        <v/>
      </c>
      <c r="R238">
        <f>HYPERLINK("https://images.diginfra.net/iiif/NL-HaNA_1.01.02/3793/NL-HaNA_1.01.02_3793_0327.jpg/3485,637,1089,2754/full/0/default.jpg", "iiif_url")</f>
        <v/>
      </c>
      <c r="S238" t="s">
        <v>29</v>
      </c>
      <c r="U238">
        <f>HYPERLINK("https://images.diginfra.net/framed3.html?imagesetuuid=8305a309-5c79-4c0c-a981-7e350c76be32&amp;uri=https://images.diginfra.net/iiif/NL-HaNA_1.01.02/3793/NL-HaNA_1.01.02_3793_0327.jpg", "prev_meeting_viewer_url")</f>
        <v/>
      </c>
      <c r="V238">
        <f>HYPERLINK("https://images.diginfra.net/iiif/NL-HaNA_1.01.02/3793/NL-HaNA_1.01.02_3793_0327.jpg/1182,415,1153,3063/full/0/default.jpg", "prev_meeting_iiif_url")</f>
        <v/>
      </c>
      <c r="W238" t="s">
        <v>29</v>
      </c>
      <c r="X238" t="s">
        <v>1044</v>
      </c>
      <c r="Y238">
        <f>HYPERLINK("https://images.diginfra.net/framed3.html?imagesetuuid=8305a309-5c79-4c0c-a981-7e350c76be32&amp;uri=https://images.diginfra.net/iiif/NL-HaNA_1.01.02/3793/NL-HaNA_1.01.02_3793_0328.jpg", "next_meeting_viewer_url")</f>
        <v/>
      </c>
      <c r="Z238">
        <f>HYPERLINK("https://images.diginfra.net/iiif/NL-HaNA_1.01.02/3793/NL-HaNA_1.01.02_3793_0328.jpg/3458,1187,1101,2279/full/0/default.jpg", "next_meeting_iiif_url")</f>
        <v/>
      </c>
    </row>
    <row r="239" spans="1:26">
      <c r="A239" t="s">
        <v>1045</v>
      </c>
      <c r="B239" t="s">
        <v>42</v>
      </c>
      <c r="C239" t="s">
        <v>1046</v>
      </c>
      <c r="D239" t="b">
        <v>1</v>
      </c>
      <c r="E239" t="b">
        <v>1</v>
      </c>
      <c r="I239" t="s">
        <v>1047</v>
      </c>
      <c r="J239" t="n">
        <v>3765</v>
      </c>
      <c r="K239" t="n">
        <v>109</v>
      </c>
      <c r="L239" t="n">
        <v>216</v>
      </c>
      <c r="M239" t="n">
        <v>0</v>
      </c>
      <c r="N239" t="n">
        <v>0</v>
      </c>
      <c r="O239" t="n">
        <v>0</v>
      </c>
      <c r="P239" t="s">
        <v>29</v>
      </c>
      <c r="Q239">
        <f>HYPERLINK("https://images.diginfra.net/framed3.html?imagesetuuid=4dfc1a1b-8cdf-4492-b411-5e67950ce484&amp;uri=https://images.diginfra.net/iiif/NL-HaNA_1.01.02/3765/NL-HaNA_1.01.02_3765_0109.jpg", "viewer_url")</f>
        <v/>
      </c>
      <c r="R239">
        <f>HYPERLINK("https://images.diginfra.net/iiif/NL-HaNA_1.01.02/3765/NL-HaNA_1.01.02_3765_0109.jpg/310,294,1132,3131/full/0/default.jpg", "iiif_url")</f>
        <v/>
      </c>
      <c r="S239" t="s">
        <v>29</v>
      </c>
      <c r="T239" t="s">
        <v>1048</v>
      </c>
      <c r="U239">
        <f>HYPERLINK("https://images.diginfra.net/framed3.html?imagesetuuid=4dfc1a1b-8cdf-4492-b411-5e67950ce484&amp;uri=https://images.diginfra.net/iiif/NL-HaNA_1.01.02/3765/NL-HaNA_1.01.02_3765_0107.jpg", "prev_meeting_viewer_url")</f>
        <v/>
      </c>
      <c r="V239">
        <f>HYPERLINK("https://images.diginfra.net/iiif/NL-HaNA_1.01.02/3765/NL-HaNA_1.01.02_3765_0107.jpg/1411,2894,842,461/full/0/default.jpg", "prev_meeting_iiif_url")</f>
        <v/>
      </c>
      <c r="W239" t="s">
        <v>29</v>
      </c>
      <c r="X239" t="s">
        <v>1049</v>
      </c>
      <c r="Y239">
        <f>HYPERLINK("https://images.diginfra.net/framed3.html?imagesetuuid=4dfc1a1b-8cdf-4492-b411-5e67950ce484&amp;uri=https://images.diginfra.net/iiif/NL-HaNA_1.01.02/3765/NL-HaNA_1.01.02_3765_0111.jpg", "next_meeting_viewer_url")</f>
        <v/>
      </c>
      <c r="Z239">
        <f>HYPERLINK("https://images.diginfra.net/iiif/NL-HaNA_1.01.02/3765/NL-HaNA_1.01.02_3765_0111.jpg/388,2719,1047,649/full/0/default.jpg", "next_meeting_iiif_url")</f>
        <v/>
      </c>
    </row>
    <row r="240" spans="1:26">
      <c r="A240" t="s">
        <v>1050</v>
      </c>
      <c r="B240" t="s">
        <v>27</v>
      </c>
      <c r="D240" t="b">
        <v>0</v>
      </c>
      <c r="E240" t="b">
        <v>0</v>
      </c>
      <c r="I240" t="s">
        <v>1051</v>
      </c>
      <c r="J240" t="n">
        <v>3857</v>
      </c>
      <c r="K240" t="n">
        <v>59</v>
      </c>
      <c r="L240" t="n">
        <v>116</v>
      </c>
      <c r="M240" t="n">
        <v>0</v>
      </c>
      <c r="N240" t="n">
        <v>1</v>
      </c>
      <c r="O240" t="n">
        <v>0</v>
      </c>
      <c r="P240" t="s">
        <v>29</v>
      </c>
      <c r="Q240">
        <f>HYPERLINK("https://images.diginfra.net/framed3.html?imagesetuuid=bdc1056d-db1f-4bb6-bf02-36bea1fa2f06&amp;uri=https://images.diginfra.net/iiif/NL-HaNA_1.01.02/3857/NL-HaNA_1.01.02_3857_0059.jpg", "viewer_url")</f>
        <v/>
      </c>
      <c r="R240">
        <f>HYPERLINK("https://images.diginfra.net/iiif/NL-HaNA_1.01.02/3857/NL-HaNA_1.01.02_3857_0059.jpg/337,2049,1021,1459/full/0/default.jpg", "iiif_url")</f>
        <v/>
      </c>
      <c r="S240" t="s">
        <v>29</v>
      </c>
      <c r="T240" t="s">
        <v>1052</v>
      </c>
      <c r="U240">
        <f>HYPERLINK("https://images.diginfra.net/framed3.html?imagesetuuid=bdc1056d-db1f-4bb6-bf02-36bea1fa2f06&amp;uri=https://images.diginfra.net/iiif/NL-HaNA_1.01.02/3857/NL-HaNA_1.01.02_3857_0057.jpg", "prev_meeting_viewer_url")</f>
        <v/>
      </c>
      <c r="V240">
        <f>HYPERLINK("https://images.diginfra.net/iiif/NL-HaNA_1.01.02/3857/NL-HaNA_1.01.02_3857_0057.jpg/2379,2406,1009,1025/full/0/default.jpg", "prev_meeting_iiif_url")</f>
        <v/>
      </c>
      <c r="W240" t="s">
        <v>29</v>
      </c>
      <c r="X240" t="s">
        <v>1053</v>
      </c>
      <c r="Y240">
        <f>HYPERLINK("https://images.diginfra.net/framed3.html?imagesetuuid=bdc1056d-db1f-4bb6-bf02-36bea1fa2f06&amp;uri=https://images.diginfra.net/iiif/NL-HaNA_1.01.02/3857/NL-HaNA_1.01.02_3857_0059.jpg", "next_meeting_viewer_url")</f>
        <v/>
      </c>
      <c r="Z240">
        <f>HYPERLINK("https://images.diginfra.net/iiif/NL-HaNA_1.01.02/3857/NL-HaNA_1.01.02_3857_0059.jpg/337,2049,1021,1459/full/0/default.jpg", "next_meeting_iiif_url")</f>
        <v/>
      </c>
    </row>
    <row r="241" spans="1:26">
      <c r="A241" t="s">
        <v>1054</v>
      </c>
      <c r="B241" t="s">
        <v>53</v>
      </c>
      <c r="C241" t="s">
        <v>1055</v>
      </c>
      <c r="D241" t="b">
        <v>1</v>
      </c>
      <c r="E241" t="b">
        <v>1</v>
      </c>
      <c r="I241" t="s">
        <v>1056</v>
      </c>
      <c r="J241" t="n">
        <v>3831</v>
      </c>
      <c r="K241" t="n">
        <v>284</v>
      </c>
      <c r="L241" t="n">
        <v>567</v>
      </c>
      <c r="M241" t="n">
        <v>1</v>
      </c>
      <c r="N241" t="n">
        <v>1</v>
      </c>
      <c r="O241" t="n">
        <v>8</v>
      </c>
      <c r="P241" t="s">
        <v>29</v>
      </c>
      <c r="Q241">
        <f>HYPERLINK("https://images.diginfra.net/framed3.html?imagesetuuid=fbccadee-0831-4262-9b53-6f48467f765a&amp;uri=https://images.diginfra.net/iiif/NL-HaNA_1.01.02/3831/NL-HaNA_1.01.02_3831_0284.jpg", "viewer_url")</f>
        <v/>
      </c>
      <c r="R241">
        <f>HYPERLINK("https://images.diginfra.net/iiif/NL-HaNA_1.01.02/3831/NL-HaNA_1.01.02_3831_0284.jpg/3353,2625,1061,744/full/0/default.jpg", "iiif_url")</f>
        <v/>
      </c>
      <c r="S241" t="s">
        <v>29</v>
      </c>
      <c r="T241" t="s">
        <v>1057</v>
      </c>
      <c r="U241">
        <f>HYPERLINK("https://images.diginfra.net/framed3.html?imagesetuuid=fbccadee-0831-4262-9b53-6f48467f765a&amp;uri=https://images.diginfra.net/iiif/NL-HaNA_1.01.02/3831/NL-HaNA_1.01.02_3831_0283.jpg", "prev_meeting_viewer_url")</f>
        <v/>
      </c>
      <c r="V241">
        <f>HYPERLINK("https://images.diginfra.net/iiif/NL-HaNA_1.01.02/3831/NL-HaNA_1.01.02_3831_0283.jpg/3301,1652,1071,1750/full/0/default.jpg", "prev_meeting_iiif_url")</f>
        <v/>
      </c>
      <c r="W241" t="s">
        <v>29</v>
      </c>
      <c r="X241" t="s">
        <v>1058</v>
      </c>
      <c r="Y241">
        <f>HYPERLINK("https://images.diginfra.net/framed3.html?imagesetuuid=fbccadee-0831-4262-9b53-6f48467f765a&amp;uri=https://images.diginfra.net/iiif/NL-HaNA_1.01.02/3831/NL-HaNA_1.01.02_3831_0287.jpg", "next_meeting_viewer_url")</f>
        <v/>
      </c>
      <c r="Z241">
        <f>HYPERLINK("https://images.diginfra.net/iiif/NL-HaNA_1.01.02/3831/NL-HaNA_1.01.02_3831_0287.jpg/3314,2073,1051,1158/full/0/default.jpg", "next_meeting_iiif_url")</f>
        <v/>
      </c>
    </row>
    <row r="242" spans="1:26">
      <c r="A242" t="s">
        <v>1059</v>
      </c>
      <c r="B242" t="s">
        <v>37</v>
      </c>
      <c r="C242" t="s">
        <v>1060</v>
      </c>
      <c r="D242" t="b">
        <v>1</v>
      </c>
      <c r="E242" t="b">
        <v>1</v>
      </c>
      <c r="I242" t="s">
        <v>1061</v>
      </c>
      <c r="J242" t="n">
        <v>3842</v>
      </c>
      <c r="K242" t="n">
        <v>125</v>
      </c>
      <c r="L242" t="n">
        <v>249</v>
      </c>
      <c r="M242" t="n">
        <v>0</v>
      </c>
      <c r="N242" t="n">
        <v>0</v>
      </c>
      <c r="O242" t="n">
        <v>0</v>
      </c>
      <c r="P242" t="s">
        <v>29</v>
      </c>
      <c r="Q242">
        <f>HYPERLINK("https://images.diginfra.net/framed3.html?imagesetuuid=70f1fd11-1c44-41eb-aebd-1f9cc88be8c8&amp;uri=https://images.diginfra.net/iiif/NL-HaNA_1.01.02/3842/NL-HaNA_1.01.02_3842_0125.jpg", "viewer_url")</f>
        <v/>
      </c>
      <c r="R242">
        <f>HYPERLINK("https://images.diginfra.net/iiif/NL-HaNA_1.01.02/3842/NL-HaNA_1.01.02_3842_0125.jpg/2336,1250,1020,1356/full/0/default.jpg", "iiif_url")</f>
        <v/>
      </c>
      <c r="W242" t="s">
        <v>29</v>
      </c>
      <c r="X242" t="s">
        <v>1062</v>
      </c>
      <c r="Y242">
        <f>HYPERLINK("https://images.diginfra.net/framed3.html?imagesetuuid=70f1fd11-1c44-41eb-aebd-1f9cc88be8c8&amp;uri=https://images.diginfra.net/iiif/NL-HaNA_1.01.02/3842/NL-HaNA_1.01.02_3842_0127.jpg", "next_meeting_viewer_url")</f>
        <v/>
      </c>
      <c r="Z242">
        <f>HYPERLINK("https://images.diginfra.net/iiif/NL-HaNA_1.01.02/3842/NL-HaNA_1.01.02_3842_0127.jpg/1186,468,1090,2853/full/0/default.jpg", "next_meeting_iiif_url")</f>
        <v/>
      </c>
    </row>
    <row r="243" spans="1:26">
      <c r="A243" t="s">
        <v>1063</v>
      </c>
      <c r="B243" t="s">
        <v>63</v>
      </c>
      <c r="C243" t="s">
        <v>1064</v>
      </c>
      <c r="D243" t="b">
        <v>1</v>
      </c>
      <c r="E243" t="b">
        <v>1</v>
      </c>
      <c r="I243" t="s">
        <v>1065</v>
      </c>
      <c r="J243" t="n">
        <v>3855</v>
      </c>
      <c r="K243" t="n">
        <v>239</v>
      </c>
      <c r="L243" t="n">
        <v>476</v>
      </c>
      <c r="M243" t="n">
        <v>0</v>
      </c>
      <c r="N243" t="n">
        <v>1</v>
      </c>
      <c r="O243" t="n">
        <v>0</v>
      </c>
      <c r="P243" t="s">
        <v>29</v>
      </c>
      <c r="Q243">
        <f>HYPERLINK("https://images.diginfra.net/framed3.html?imagesetuuid=5244deb9-8f97-4a39-89ba-6da1d308b8f5&amp;uri=https://images.diginfra.net/iiif/NL-HaNA_1.01.02/3855/NL-HaNA_1.01.02_3855_0239.jpg", "viewer_url")</f>
        <v/>
      </c>
      <c r="R243">
        <f>HYPERLINK("https://images.diginfra.net/iiif/NL-HaNA_1.01.02/3855/NL-HaNA_1.01.02_3855_0239.jpg/329,1134,1070,2276/full/0/default.jpg", "iiif_url")</f>
        <v/>
      </c>
      <c r="S243" t="s">
        <v>29</v>
      </c>
      <c r="T243" t="s">
        <v>1066</v>
      </c>
      <c r="U243">
        <f>HYPERLINK("https://images.diginfra.net/framed3.html?imagesetuuid=5244deb9-8f97-4a39-89ba-6da1d308b8f5&amp;uri=https://images.diginfra.net/iiif/NL-HaNA_1.01.02/3855/NL-HaNA_1.01.02_3855_0235.jpg", "prev_meeting_viewer_url")</f>
        <v/>
      </c>
      <c r="V243">
        <f>HYPERLINK("https://images.diginfra.net/iiif/NL-HaNA_1.01.02/3855/NL-HaNA_1.01.02_3855_0235.jpg/1229,974,1081,2424/full/0/default.jpg", "prev_meeting_iiif_url")</f>
        <v/>
      </c>
      <c r="W243" t="s">
        <v>29</v>
      </c>
      <c r="X243" t="s">
        <v>1067</v>
      </c>
      <c r="Y243">
        <f>HYPERLINK("https://images.diginfra.net/framed3.html?imagesetuuid=5244deb9-8f97-4a39-89ba-6da1d308b8f5&amp;uri=https://images.diginfra.net/iiif/NL-HaNA_1.01.02/3855/NL-HaNA_1.01.02_3855_0241.jpg", "next_meeting_viewer_url")</f>
        <v/>
      </c>
      <c r="Z243">
        <f>HYPERLINK("https://images.diginfra.net/iiif/NL-HaNA_1.01.02/3855/NL-HaNA_1.01.02_3855_0241.jpg/364,1685,1066,1742/full/0/default.jpg", "next_meeting_iiif_url")</f>
        <v/>
      </c>
    </row>
    <row r="244" spans="1:26">
      <c r="A244" t="s">
        <v>1068</v>
      </c>
      <c r="B244" t="s">
        <v>37</v>
      </c>
      <c r="C244" t="s">
        <v>1069</v>
      </c>
      <c r="D244" t="b">
        <v>1</v>
      </c>
      <c r="E244" t="b">
        <v>1</v>
      </c>
      <c r="I244" t="s">
        <v>1070</v>
      </c>
      <c r="J244" t="n">
        <v>3852</v>
      </c>
      <c r="K244" t="n">
        <v>374</v>
      </c>
      <c r="L244" t="n">
        <v>747</v>
      </c>
      <c r="M244" t="n">
        <v>0</v>
      </c>
      <c r="N244" t="n">
        <v>0</v>
      </c>
      <c r="O244" t="n">
        <v>0</v>
      </c>
      <c r="P244" t="s">
        <v>29</v>
      </c>
      <c r="Q244">
        <f>HYPERLINK("https://images.diginfra.net/framed3.html?imagesetuuid=3b3d915a-84ba-4c76-9942-747a007cc965&amp;uri=https://images.diginfra.net/iiif/NL-HaNA_1.01.02/3852/NL-HaNA_1.01.02_3852_0374.jpg", "viewer_url")</f>
        <v/>
      </c>
      <c r="R244">
        <f>HYPERLINK("https://images.diginfra.net/iiif/NL-HaNA_1.01.02/3852/NL-HaNA_1.01.02_3852_0374.jpg/2344,303,1070,3090/full/0/default.jpg", "iiif_url")</f>
        <v/>
      </c>
      <c r="S244" t="s">
        <v>29</v>
      </c>
      <c r="T244" t="s">
        <v>1071</v>
      </c>
      <c r="U244">
        <f>HYPERLINK("https://images.diginfra.net/framed3.html?imagesetuuid=3b3d915a-84ba-4c76-9942-747a007cc965&amp;uri=https://images.diginfra.net/iiif/NL-HaNA_1.01.02/3852/NL-HaNA_1.01.02_3852_0374.jpg", "prev_meeting_viewer_url")</f>
        <v/>
      </c>
      <c r="V244">
        <f>HYPERLINK("https://images.diginfra.net/iiif/NL-HaNA_1.01.02/3852/NL-HaNA_1.01.02_3852_0374.jpg/1281,640,1077,2745/full/0/default.jpg", "prev_meeting_iiif_url")</f>
        <v/>
      </c>
      <c r="W244" t="s">
        <v>29</v>
      </c>
      <c r="X244" t="s">
        <v>1072</v>
      </c>
      <c r="Y244">
        <f>HYPERLINK("https://images.diginfra.net/framed3.html?imagesetuuid=3b3d915a-84ba-4c76-9942-747a007cc965&amp;uri=https://images.diginfra.net/iiif/NL-HaNA_1.01.02/3852/NL-HaNA_1.01.02_3852_0377.jpg", "next_meeting_viewer_url")</f>
        <v/>
      </c>
      <c r="Z244">
        <f>HYPERLINK("https://images.diginfra.net/iiif/NL-HaNA_1.01.02/3852/NL-HaNA_1.01.02_3852_0377.jpg/295,1386,1074,2043/full/0/default.jpg", "next_meeting_iiif_url")</f>
        <v/>
      </c>
    </row>
    <row r="245" spans="1:26">
      <c r="A245" t="s">
        <v>1073</v>
      </c>
      <c r="B245" t="s">
        <v>27</v>
      </c>
      <c r="C245" t="s">
        <v>1074</v>
      </c>
      <c r="D245" t="b">
        <v>1</v>
      </c>
      <c r="E245" t="b">
        <v>1</v>
      </c>
      <c r="I245" t="s">
        <v>1075</v>
      </c>
      <c r="J245" t="n">
        <v>3773</v>
      </c>
      <c r="K245" t="n">
        <v>60</v>
      </c>
      <c r="L245" t="n">
        <v>118</v>
      </c>
      <c r="M245" t="n">
        <v>0</v>
      </c>
      <c r="N245" t="n">
        <v>2</v>
      </c>
      <c r="O245" t="n">
        <v>0</v>
      </c>
      <c r="P245" t="s">
        <v>29</v>
      </c>
      <c r="Q245">
        <f>HYPERLINK("https://images.diginfra.net/framed3.html?imagesetuuid=0d0ede5e-a7f6-4a03-b996-493e50528c24&amp;uri=https://images.diginfra.net/iiif/NL-HaNA_1.01.02/3773/NL-HaNA_1.01.02_3773_0060.jpg", "viewer_url")</f>
        <v/>
      </c>
      <c r="R245">
        <f>HYPERLINK("https://images.diginfra.net/iiif/NL-HaNA_1.01.02/3773/NL-HaNA_1.01.02_3773_0060.jpg/347,2626,1030,768/full/0/default.jpg", "iiif_url")</f>
        <v/>
      </c>
      <c r="S245" t="s">
        <v>29</v>
      </c>
      <c r="T245" t="s">
        <v>1076</v>
      </c>
      <c r="U245">
        <f>HYPERLINK("https://images.diginfra.net/framed3.html?imagesetuuid=0d0ede5e-a7f6-4a03-b996-493e50528c24&amp;uri=https://images.diginfra.net/iiif/NL-HaNA_1.01.02/3773/NL-HaNA_1.01.02_3773_0058.jpg", "prev_meeting_viewer_url")</f>
        <v/>
      </c>
      <c r="V245">
        <f>HYPERLINK("https://images.diginfra.net/iiif/NL-HaNA_1.01.02/3773/NL-HaNA_1.01.02_3773_0058.jpg/296,1380,1086,2012/full/0/default.jpg", "prev_meeting_iiif_url")</f>
        <v/>
      </c>
      <c r="W245" t="s">
        <v>29</v>
      </c>
      <c r="X245" t="s">
        <v>1077</v>
      </c>
      <c r="Y245">
        <f>HYPERLINK("https://images.diginfra.net/framed3.html?imagesetuuid=0d0ede5e-a7f6-4a03-b996-493e50528c24&amp;uri=https://images.diginfra.net/iiif/NL-HaNA_1.01.02/3773/NL-HaNA_1.01.02_3773_0061.jpg", "next_meeting_viewer_url")</f>
        <v/>
      </c>
      <c r="Z245">
        <f>HYPERLINK("https://images.diginfra.net/iiif/NL-HaNA_1.01.02/3773/NL-HaNA_1.01.02_3773_0061.jpg/1246,868,1104,2566/full/0/default.jpg", "next_meeting_iiif_url")</f>
        <v/>
      </c>
    </row>
    <row r="246" spans="1:26">
      <c r="A246" t="s">
        <v>1078</v>
      </c>
      <c r="B246" t="s">
        <v>42</v>
      </c>
      <c r="C246" t="s">
        <v>1079</v>
      </c>
      <c r="D246" t="b">
        <v>1</v>
      </c>
      <c r="E246" t="b">
        <v>1</v>
      </c>
      <c r="I246" t="s">
        <v>1080</v>
      </c>
      <c r="J246" t="n">
        <v>3784</v>
      </c>
      <c r="K246" t="n">
        <v>298</v>
      </c>
      <c r="L246" t="n">
        <v>595</v>
      </c>
      <c r="M246" t="n">
        <v>1</v>
      </c>
      <c r="N246" t="n">
        <v>1</v>
      </c>
      <c r="O246" t="n">
        <v>0</v>
      </c>
      <c r="P246" t="s">
        <v>29</v>
      </c>
      <c r="Q246">
        <f>HYPERLINK("https://images.diginfra.net/framed3.html?imagesetuuid=cb2f6e2d-502d-41d8-a51c-455c64ed98c9&amp;uri=https://images.diginfra.net/iiif/NL-HaNA_1.01.02/3784/NL-HaNA_1.01.02_3784_0298.jpg", "viewer_url")</f>
        <v/>
      </c>
      <c r="R246">
        <f>HYPERLINK("https://images.diginfra.net/iiif/NL-HaNA_1.01.02/3784/NL-HaNA_1.01.02_3784_0298.jpg/3264,1226,1094,2135/full/0/default.jpg", "iiif_url")</f>
        <v/>
      </c>
      <c r="S246" t="s">
        <v>29</v>
      </c>
      <c r="T246" t="s">
        <v>1081</v>
      </c>
      <c r="U246">
        <f>HYPERLINK("https://images.diginfra.net/framed3.html?imagesetuuid=cb2f6e2d-502d-41d8-a51c-455c64ed98c9&amp;uri=https://images.diginfra.net/iiif/NL-HaNA_1.01.02/3784/NL-HaNA_1.01.02_3784_0297.jpg", "prev_meeting_viewer_url")</f>
        <v/>
      </c>
      <c r="V246">
        <f>HYPERLINK("https://images.diginfra.net/iiif/NL-HaNA_1.01.02/3784/NL-HaNA_1.01.02_3784_0297.jpg/1172,1176,1097,2216/full/0/default.jpg", "prev_meeting_iiif_url")</f>
        <v/>
      </c>
      <c r="W246" t="s">
        <v>29</v>
      </c>
      <c r="X246" t="s">
        <v>1082</v>
      </c>
      <c r="Y246">
        <f>HYPERLINK("https://images.diginfra.net/framed3.html?imagesetuuid=cb2f6e2d-502d-41d8-a51c-455c64ed98c9&amp;uri=https://images.diginfra.net/iiif/NL-HaNA_1.01.02/3784/NL-HaNA_1.01.02_3784_0299.jpg", "next_meeting_viewer_url")</f>
        <v/>
      </c>
      <c r="Z246">
        <f>HYPERLINK("https://images.diginfra.net/iiif/NL-HaNA_1.01.02/3784/NL-HaNA_1.01.02_3784_0299.jpg/348,2864,896,493/full/0/default.jpg", "next_meeting_iiif_url")</f>
        <v/>
      </c>
    </row>
    <row r="247" spans="1:26">
      <c r="A247" t="s">
        <v>1083</v>
      </c>
      <c r="B247" t="s">
        <v>27</v>
      </c>
      <c r="C247" t="s">
        <v>1084</v>
      </c>
      <c r="D247" t="b">
        <v>1</v>
      </c>
      <c r="E247" t="b">
        <v>1</v>
      </c>
      <c r="I247" t="s">
        <v>1085</v>
      </c>
      <c r="J247" t="n">
        <v>3777</v>
      </c>
      <c r="K247" t="n">
        <v>319</v>
      </c>
      <c r="L247" t="n">
        <v>636</v>
      </c>
      <c r="M247" t="n">
        <v>0</v>
      </c>
      <c r="N247" t="n">
        <v>1</v>
      </c>
      <c r="O247" t="n">
        <v>0</v>
      </c>
      <c r="P247" t="s">
        <v>29</v>
      </c>
      <c r="Q247">
        <f>HYPERLINK("https://images.diginfra.net/framed3.html?imagesetuuid=d79a5b0f-25ac-4440-9b23-adc237614d07&amp;uri=https://images.diginfra.net/iiif/NL-HaNA_1.01.02/3777/NL-HaNA_1.01.02_3777_0319.jpg", "viewer_url")</f>
        <v/>
      </c>
      <c r="R247">
        <f>HYPERLINK("https://images.diginfra.net/iiif/NL-HaNA_1.01.02/3777/NL-HaNA_1.01.02_3777_0319.jpg/277,445,1106,2702/full/0/default.jpg", "iiif_url")</f>
        <v/>
      </c>
      <c r="S247" t="s">
        <v>29</v>
      </c>
      <c r="T247" t="s">
        <v>1086</v>
      </c>
      <c r="U247">
        <f>HYPERLINK("https://images.diginfra.net/framed3.html?imagesetuuid=d79a5b0f-25ac-4440-9b23-adc237614d07&amp;uri=https://images.diginfra.net/iiif/NL-HaNA_1.01.02/3777/NL-HaNA_1.01.02_3777_0317.jpg", "prev_meeting_viewer_url")</f>
        <v/>
      </c>
      <c r="V247">
        <f>HYPERLINK("https://images.diginfra.net/iiif/NL-HaNA_1.01.02/3777/NL-HaNA_1.01.02_3777_0317.jpg/1300,425,1103,2988/full/0/default.jpg", "prev_meeting_iiif_url")</f>
        <v/>
      </c>
      <c r="W247" t="s">
        <v>29</v>
      </c>
      <c r="X247" t="s">
        <v>1087</v>
      </c>
      <c r="Y247">
        <f>HYPERLINK("https://images.diginfra.net/framed3.html?imagesetuuid=d79a5b0f-25ac-4440-9b23-adc237614d07&amp;uri=https://images.diginfra.net/iiif/NL-HaNA_1.01.02/3777/NL-HaNA_1.01.02_3777_0319.jpg", "next_meeting_viewer_url")</f>
        <v/>
      </c>
      <c r="Z247">
        <f>HYPERLINK("https://images.diginfra.net/iiif/NL-HaNA_1.01.02/3777/NL-HaNA_1.01.02_3777_0319.jpg/440,3010,781,318/full/0/default.jpg", "next_meeting_iiif_url")</f>
        <v/>
      </c>
    </row>
    <row r="248" spans="1:26">
      <c r="A248" t="s">
        <v>1088</v>
      </c>
      <c r="B248" t="s">
        <v>76</v>
      </c>
      <c r="C248" t="s">
        <v>1089</v>
      </c>
      <c r="D248" t="b">
        <v>1</v>
      </c>
      <c r="E248" t="b">
        <v>1</v>
      </c>
      <c r="I248" t="s">
        <v>1090</v>
      </c>
      <c r="J248" t="n">
        <v>3801</v>
      </c>
      <c r="K248" t="n">
        <v>160</v>
      </c>
      <c r="L248" t="n">
        <v>319</v>
      </c>
      <c r="M248" t="n">
        <v>0</v>
      </c>
      <c r="N248" t="n">
        <v>0</v>
      </c>
      <c r="O248" t="n">
        <v>34</v>
      </c>
      <c r="P248" t="s">
        <v>29</v>
      </c>
      <c r="Q248">
        <f>HYPERLINK("https://images.diginfra.net/framed3.html?imagesetuuid=f36c8416-59a8-4b1a-a82a-ef225cbd1971&amp;uri=https://images.diginfra.net/iiif/NL-HaNA_1.01.02/3801/NL-HaNA_1.01.02_3801_0160.jpg", "viewer_url")</f>
        <v/>
      </c>
      <c r="R248">
        <f>HYPERLINK("https://images.diginfra.net/iiif/NL-HaNA_1.01.02/3801/NL-HaNA_1.01.02_3801_0160.jpg/2398,1890,1040,1500/full/0/default.jpg", "iiif_url")</f>
        <v/>
      </c>
      <c r="S248" t="s">
        <v>29</v>
      </c>
      <c r="U248">
        <f>HYPERLINK("https://images.diginfra.net/framed3.html?imagesetuuid=f36c8416-59a8-4b1a-a82a-ef225cbd1971&amp;uri=https://images.diginfra.net/iiif/NL-HaNA_1.01.02/3801/NL-HaNA_1.01.02_3801_0158.jpg", "prev_meeting_viewer_url")</f>
        <v/>
      </c>
      <c r="V248">
        <f>HYPERLINK("https://images.diginfra.net/iiif/NL-HaNA_1.01.02/3801/NL-HaNA_1.01.02_3801_0158.jpg/3322,351,1091,3085/full/0/default.jpg", "prev_meeting_iiif_url")</f>
        <v/>
      </c>
      <c r="W248" t="s">
        <v>29</v>
      </c>
      <c r="X248" t="s">
        <v>1091</v>
      </c>
      <c r="Y248">
        <f>HYPERLINK("https://images.diginfra.net/framed3.html?imagesetuuid=f36c8416-59a8-4b1a-a82a-ef225cbd1971&amp;uri=https://images.diginfra.net/iiif/NL-HaNA_1.01.02/3801/NL-HaNA_1.01.02_3801_0162.jpg", "next_meeting_viewer_url")</f>
        <v/>
      </c>
      <c r="Z248">
        <f>HYPERLINK("https://images.diginfra.net/iiif/NL-HaNA_1.01.02/3801/NL-HaNA_1.01.02_3801_0162.jpg/1290,2137,1035,1167/full/0/default.jpg", "next_meeting_iiif_url")</f>
        <v/>
      </c>
    </row>
    <row r="249" spans="1:26">
      <c r="A249" t="s">
        <v>1092</v>
      </c>
      <c r="B249" t="s">
        <v>37</v>
      </c>
      <c r="C249" t="s">
        <v>1093</v>
      </c>
      <c r="D249" t="b">
        <v>1</v>
      </c>
      <c r="E249" t="b">
        <v>1</v>
      </c>
      <c r="I249" t="s">
        <v>1094</v>
      </c>
      <c r="J249" t="n">
        <v>3852</v>
      </c>
      <c r="K249" t="n">
        <v>290</v>
      </c>
      <c r="L249" t="n">
        <v>578</v>
      </c>
      <c r="M249" t="n">
        <v>0</v>
      </c>
      <c r="N249" t="n">
        <v>2</v>
      </c>
      <c r="O249" t="n">
        <v>0</v>
      </c>
      <c r="P249" t="s">
        <v>29</v>
      </c>
      <c r="Q249">
        <f>HYPERLINK("https://images.diginfra.net/framed3.html?imagesetuuid=3b3d915a-84ba-4c76-9942-747a007cc965&amp;uri=https://images.diginfra.net/iiif/NL-HaNA_1.01.02/3852/NL-HaNA_1.01.02_3852_0290.jpg", "viewer_url")</f>
        <v/>
      </c>
      <c r="R249">
        <f>HYPERLINK("https://images.diginfra.net/iiif/NL-HaNA_1.01.02/3852/NL-HaNA_1.01.02_3852_0290.jpg/371,1846,1023,1524/full/0/default.jpg", "iiif_url")</f>
        <v/>
      </c>
      <c r="S249" t="s">
        <v>29</v>
      </c>
      <c r="T249" t="s">
        <v>1095</v>
      </c>
      <c r="U249">
        <f>HYPERLINK("https://images.diginfra.net/framed3.html?imagesetuuid=3b3d915a-84ba-4c76-9942-747a007cc965&amp;uri=https://images.diginfra.net/iiif/NL-HaNA_1.01.02/3852/NL-HaNA_1.01.02_3852_0288.jpg", "prev_meeting_viewer_url")</f>
        <v/>
      </c>
      <c r="V249">
        <f>HYPERLINK("https://images.diginfra.net/iiif/NL-HaNA_1.01.02/3852/NL-HaNA_1.01.02_3852_0288.jpg/409,2212,1020,1198/full/0/default.jpg", "prev_meeting_iiif_url")</f>
        <v/>
      </c>
      <c r="W249" t="s">
        <v>29</v>
      </c>
      <c r="X249" t="s">
        <v>1096</v>
      </c>
      <c r="Y249">
        <f>HYPERLINK("https://images.diginfra.net/framed3.html?imagesetuuid=3b3d915a-84ba-4c76-9942-747a007cc965&amp;uri=https://images.diginfra.net/iiif/NL-HaNA_1.01.02/3852/NL-HaNA_1.01.02_3852_0292.jpg", "next_meeting_viewer_url")</f>
        <v/>
      </c>
      <c r="Z249">
        <f>HYPERLINK("https://images.diginfra.net/iiif/NL-HaNA_1.01.02/3852/NL-HaNA_1.01.02_3852_0292.jpg/2382,655,1072,2812/full/0/default.jpg", "next_meeting_iiif_url")</f>
        <v/>
      </c>
    </row>
    <row r="250" spans="1:26">
      <c r="A250" t="s">
        <v>1097</v>
      </c>
      <c r="B250" t="s">
        <v>63</v>
      </c>
      <c r="C250" t="s">
        <v>1098</v>
      </c>
      <c r="D250" t="b">
        <v>1</v>
      </c>
      <c r="E250" t="b">
        <v>1</v>
      </c>
      <c r="I250" t="s">
        <v>1099</v>
      </c>
      <c r="J250" t="n">
        <v>3793</v>
      </c>
      <c r="K250" t="n">
        <v>395</v>
      </c>
      <c r="L250" t="n">
        <v>788</v>
      </c>
      <c r="M250" t="n">
        <v>0</v>
      </c>
      <c r="N250" t="n">
        <v>1</v>
      </c>
      <c r="O250" t="n">
        <v>0</v>
      </c>
      <c r="P250" t="s">
        <v>29</v>
      </c>
      <c r="Q250">
        <f>HYPERLINK("https://images.diginfra.net/framed3.html?imagesetuuid=8305a309-5c79-4c0c-a981-7e350c76be32&amp;uri=https://images.diginfra.net/iiif/NL-HaNA_1.01.02/3793/NL-HaNA_1.01.02_3793_0395.jpg", "viewer_url")</f>
        <v/>
      </c>
      <c r="R250">
        <f>HYPERLINK("https://images.diginfra.net/iiif/NL-HaNA_1.01.02/3793/NL-HaNA_1.01.02_3793_0395.jpg/301,1065,1082,2368/full/0/default.jpg", "iiif_url")</f>
        <v/>
      </c>
      <c r="S250" t="s">
        <v>29</v>
      </c>
      <c r="T250" t="s">
        <v>1100</v>
      </c>
      <c r="U250">
        <f>HYPERLINK("https://images.diginfra.net/framed3.html?imagesetuuid=8305a309-5c79-4c0c-a981-7e350c76be32&amp;uri=https://images.diginfra.net/iiif/NL-HaNA_1.01.02/3793/NL-HaNA_1.01.02_3793_0393.jpg", "prev_meeting_viewer_url")</f>
        <v/>
      </c>
      <c r="V250">
        <f>HYPERLINK("https://images.diginfra.net/iiif/NL-HaNA_1.01.02/3793/NL-HaNA_1.01.02_3793_0393.jpg/3435,1159,1099,2206/full/0/default.jpg", "prev_meeting_iiif_url")</f>
        <v/>
      </c>
      <c r="W250" t="s">
        <v>29</v>
      </c>
      <c r="X250" t="s">
        <v>1101</v>
      </c>
      <c r="Y250">
        <f>HYPERLINK("https://images.diginfra.net/framed3.html?imagesetuuid=8305a309-5c79-4c0c-a981-7e350c76be32&amp;uri=https://images.diginfra.net/iiif/NL-HaNA_1.01.02/3793/NL-HaNA_1.01.02_3793_0395.jpg", "next_meeting_viewer_url")</f>
        <v/>
      </c>
      <c r="Z250">
        <f>HYPERLINK("https://images.diginfra.net/iiif/NL-HaNA_1.01.02/3793/NL-HaNA_1.01.02_3793_0395.jpg/2530,2042,1077,1308/full/0/default.jpg", "next_meeting_iiif_url")</f>
        <v/>
      </c>
    </row>
    <row r="251" spans="1:26">
      <c r="A251" t="s">
        <v>1102</v>
      </c>
      <c r="B251" t="s">
        <v>27</v>
      </c>
      <c r="D251" t="b">
        <v>0</v>
      </c>
      <c r="E251" t="b">
        <v>0</v>
      </c>
      <c r="I251" t="s">
        <v>1103</v>
      </c>
      <c r="J251" t="n">
        <v>3838</v>
      </c>
      <c r="K251" t="n">
        <v>252</v>
      </c>
      <c r="L251" t="n">
        <v>503</v>
      </c>
      <c r="M251" t="n">
        <v>0</v>
      </c>
      <c r="N251" t="n">
        <v>1</v>
      </c>
      <c r="O251" t="n">
        <v>0</v>
      </c>
      <c r="P251" t="s">
        <v>29</v>
      </c>
      <c r="Q251">
        <f>HYPERLINK("https://images.diginfra.net/framed3.html?imagesetuuid=fd366382-5fd2-4059-84bc-fcf4d87b2fc4&amp;uri=https://images.diginfra.net/iiif/NL-HaNA_1.01.02/3838/NL-HaNA_1.01.02_3838_0252.jpg", "viewer_url")</f>
        <v/>
      </c>
      <c r="R251">
        <f>HYPERLINK("https://images.diginfra.net/iiif/NL-HaNA_1.01.02/3838/NL-HaNA_1.01.02_3838_0252.jpg/2311,526,1066,2815/full/0/default.jpg", "iiif_url")</f>
        <v/>
      </c>
      <c r="S251" t="s">
        <v>29</v>
      </c>
      <c r="U251">
        <f>HYPERLINK("https://images.diginfra.net/framed3.html?imagesetuuid=fd366382-5fd2-4059-84bc-fcf4d87b2fc4&amp;uri=https://images.diginfra.net/iiif/NL-HaNA_1.01.02/3838/NL-HaNA_1.01.02_3838_0245.jpg", "prev_meeting_viewer_url")</f>
        <v/>
      </c>
      <c r="V251">
        <f>HYPERLINK("https://images.diginfra.net/iiif/NL-HaNA_1.01.02/3838/NL-HaNA_1.01.02_3838_0245.jpg/2306,285,1074,3054/full/0/default.jpg", "prev_meeting_iiif_url")</f>
        <v/>
      </c>
      <c r="W251" t="s">
        <v>29</v>
      </c>
      <c r="X251" t="s">
        <v>1104</v>
      </c>
      <c r="Y251">
        <f>HYPERLINK("https://images.diginfra.net/framed3.html?imagesetuuid=fd366382-5fd2-4059-84bc-fcf4d87b2fc4&amp;uri=https://images.diginfra.net/iiif/NL-HaNA_1.01.02/3838/NL-HaNA_1.01.02_3838_0252.jpg", "next_meeting_viewer_url")</f>
        <v/>
      </c>
      <c r="Z251">
        <f>HYPERLINK("https://images.diginfra.net/iiif/NL-HaNA_1.01.02/3838/NL-HaNA_1.01.02_3838_0252.jpg/2311,526,1066,2815/full/0/default.jpg", "next_meeting_iiif_url")</f>
        <v/>
      </c>
    </row>
    <row r="252" spans="1:26">
      <c r="A252" t="s">
        <v>1105</v>
      </c>
      <c r="B252" t="s">
        <v>53</v>
      </c>
      <c r="C252" t="s">
        <v>1106</v>
      </c>
      <c r="D252" t="b">
        <v>1</v>
      </c>
      <c r="E252" t="b">
        <v>1</v>
      </c>
      <c r="I252" t="s">
        <v>1107</v>
      </c>
      <c r="J252" t="n">
        <v>3864</v>
      </c>
      <c r="K252" t="n">
        <v>300</v>
      </c>
      <c r="L252" t="n">
        <v>599</v>
      </c>
      <c r="M252" t="n">
        <v>1</v>
      </c>
      <c r="N252" t="n">
        <v>1</v>
      </c>
      <c r="O252" t="n">
        <v>0</v>
      </c>
      <c r="P252" t="s">
        <v>29</v>
      </c>
      <c r="Q252">
        <f>HYPERLINK("https://images.diginfra.net/framed3.html?imagesetuuid=4b21e7ce-04d7-429b-9edd-e191341917f4&amp;uri=https://images.diginfra.net/iiif/NL-HaNA_1.01.02/3864/NL-HaNA_1.01.02_3864_0300.jpg", "viewer_url")</f>
        <v/>
      </c>
      <c r="R252">
        <f>HYPERLINK("https://images.diginfra.net/iiif/NL-HaNA_1.01.02/3864/NL-HaNA_1.01.02_3864_0300.jpg/3268,2630,1027,793/full/0/default.jpg", "iiif_url")</f>
        <v/>
      </c>
      <c r="S252" t="s">
        <v>29</v>
      </c>
      <c r="T252" t="s">
        <v>1108</v>
      </c>
      <c r="U252">
        <f>HYPERLINK("https://images.diginfra.net/framed3.html?imagesetuuid=4b21e7ce-04d7-429b-9edd-e191341917f4&amp;uri=https://images.diginfra.net/iiif/NL-HaNA_1.01.02/3864/NL-HaNA_1.01.02_3864_0298.jpg", "prev_meeting_viewer_url")</f>
        <v/>
      </c>
      <c r="V252">
        <f>HYPERLINK("https://images.diginfra.net/iiif/NL-HaNA_1.01.02/3864/NL-HaNA_1.01.02_3864_0298.jpg/1182,1045,1076,2415/full/0/default.jpg", "prev_meeting_iiif_url")</f>
        <v/>
      </c>
      <c r="W252" t="s">
        <v>29</v>
      </c>
      <c r="X252" t="s">
        <v>1109</v>
      </c>
      <c r="Y252">
        <f>HYPERLINK("https://images.diginfra.net/framed3.html?imagesetuuid=4b21e7ce-04d7-429b-9edd-e191341917f4&amp;uri=https://images.diginfra.net/iiif/NL-HaNA_1.01.02/3864/NL-HaNA_1.01.02_3864_0304.jpg", "next_meeting_viewer_url")</f>
        <v/>
      </c>
      <c r="Z252">
        <f>HYPERLINK("https://images.diginfra.net/iiif/NL-HaNA_1.01.02/3864/NL-HaNA_1.01.02_3864_0304.jpg/2339,422,1024,1464/full/0/default.jpg", "next_meeting_iiif_url")</f>
        <v/>
      </c>
    </row>
    <row r="253" spans="1:26">
      <c r="A253" t="s">
        <v>1110</v>
      </c>
      <c r="B253" t="s">
        <v>63</v>
      </c>
      <c r="C253" t="s">
        <v>1111</v>
      </c>
      <c r="D253" t="b">
        <v>1</v>
      </c>
      <c r="E253" t="b">
        <v>1</v>
      </c>
      <c r="I253" t="s">
        <v>1112</v>
      </c>
      <c r="J253" t="n">
        <v>3844</v>
      </c>
      <c r="K253" t="n">
        <v>387</v>
      </c>
      <c r="L253" t="n">
        <v>772</v>
      </c>
      <c r="M253" t="n">
        <v>1</v>
      </c>
      <c r="N253" t="n">
        <v>2</v>
      </c>
      <c r="O253" t="n">
        <v>0</v>
      </c>
      <c r="P253" t="s">
        <v>29</v>
      </c>
      <c r="Q253">
        <f>HYPERLINK("https://images.diginfra.net/framed3.html?imagesetuuid=61690246-944a-4d63-9d72-95ab6a0a9306&amp;uri=https://images.diginfra.net/iiif/NL-HaNA_1.01.02/3844/NL-HaNA_1.01.02_3844_0387.jpg", "viewer_url")</f>
        <v/>
      </c>
      <c r="R253">
        <f>HYPERLINK("https://images.diginfra.net/iiif/NL-HaNA_1.01.02/3844/NL-HaNA_1.01.02_3844_0387.jpg/1268,1414,1087,1931/full/0/default.jpg", "iiif_url")</f>
        <v/>
      </c>
      <c r="S253" t="s">
        <v>29</v>
      </c>
      <c r="T253" t="s">
        <v>1113</v>
      </c>
      <c r="U253">
        <f>HYPERLINK("https://images.diginfra.net/framed3.html?imagesetuuid=61690246-944a-4d63-9d72-95ab6a0a9306&amp;uri=https://images.diginfra.net/iiif/NL-HaNA_1.01.02/3844/NL-HaNA_1.01.02_3844_0386.jpg", "prev_meeting_viewer_url")</f>
        <v/>
      </c>
      <c r="V253">
        <f>HYPERLINK("https://images.diginfra.net/iiif/NL-HaNA_1.01.02/3844/NL-HaNA_1.01.02_3844_0386.jpg/2526,2490,1036,858/full/0/default.jpg", "prev_meeting_iiif_url")</f>
        <v/>
      </c>
      <c r="W253" t="s">
        <v>29</v>
      </c>
      <c r="X253" t="s">
        <v>1114</v>
      </c>
      <c r="Y253">
        <f>HYPERLINK("https://images.diginfra.net/framed3.html?imagesetuuid=61690246-944a-4d63-9d72-95ab6a0a9306&amp;uri=https://images.diginfra.net/iiif/NL-HaNA_1.01.02/3844/NL-HaNA_1.01.02_3844_0388.jpg", "next_meeting_viewer_url")</f>
        <v/>
      </c>
      <c r="Z253">
        <f>HYPERLINK("https://images.diginfra.net/iiif/NL-HaNA_1.01.02/3844/NL-HaNA_1.01.02_3844_0388.jpg/3390,1181,1080,2218/full/0/default.jpg", "next_meeting_iiif_url")</f>
        <v/>
      </c>
    </row>
    <row r="254" spans="1:26">
      <c r="A254" t="s">
        <v>1115</v>
      </c>
      <c r="B254" t="s">
        <v>76</v>
      </c>
      <c r="C254" t="s">
        <v>546</v>
      </c>
      <c r="D254" t="b">
        <v>1</v>
      </c>
      <c r="E254" t="b">
        <v>1</v>
      </c>
      <c r="I254" t="s">
        <v>1116</v>
      </c>
      <c r="J254" t="n">
        <v>3806</v>
      </c>
      <c r="K254" t="n">
        <v>177</v>
      </c>
      <c r="L254" t="n">
        <v>352</v>
      </c>
      <c r="M254" t="n">
        <v>1</v>
      </c>
      <c r="N254" t="n">
        <v>2</v>
      </c>
      <c r="O254" t="n">
        <v>0</v>
      </c>
      <c r="P254" t="s">
        <v>29</v>
      </c>
      <c r="Q254">
        <f>HYPERLINK("https://images.diginfra.net/framed3.html?imagesetuuid=0c00a1f2-d59c-4408-905f-fe388b02204f&amp;uri=https://images.diginfra.net/iiif/NL-HaNA_1.01.02/3806/NL-HaNA_1.01.02_3806_0177.jpg", "viewer_url")</f>
        <v/>
      </c>
      <c r="R254">
        <f>HYPERLINK("https://images.diginfra.net/iiif/NL-HaNA_1.01.02/3806/NL-HaNA_1.01.02_3806_0177.jpg/1331,2981,789,323/full/0/default.jpg", "iiif_url")</f>
        <v/>
      </c>
      <c r="S254" t="s">
        <v>29</v>
      </c>
      <c r="T254" t="s">
        <v>543</v>
      </c>
      <c r="U254">
        <f>HYPERLINK("https://images.diginfra.net/framed3.html?imagesetuuid=0c00a1f2-d59c-4408-905f-fe388b02204f&amp;uri=https://images.diginfra.net/iiif/NL-HaNA_1.01.02/3806/NL-HaNA_1.01.02_3806_0176.jpg", "prev_meeting_viewer_url")</f>
        <v/>
      </c>
      <c r="V254">
        <f>HYPERLINK("https://images.diginfra.net/iiif/NL-HaNA_1.01.02/3806/NL-HaNA_1.01.02_3806_0176.jpg/2419,922,1107,2510/full/0/default.jpg", "prev_meeting_iiif_url")</f>
        <v/>
      </c>
      <c r="W254" t="s">
        <v>29</v>
      </c>
      <c r="X254" t="s">
        <v>1117</v>
      </c>
      <c r="Y254">
        <f>HYPERLINK("https://images.diginfra.net/framed3.html?imagesetuuid=0c00a1f2-d59c-4408-905f-fe388b02204f&amp;uri=https://images.diginfra.net/iiif/NL-HaNA_1.01.02/3806/NL-HaNA_1.01.02_3806_0180.jpg", "next_meeting_viewer_url")</f>
        <v/>
      </c>
      <c r="Z254">
        <f>HYPERLINK("https://images.diginfra.net/iiif/NL-HaNA_1.01.02/3806/NL-HaNA_1.01.02_3806_0180.jpg/3441,2222,1057,1146/full/0/default.jpg", "next_meeting_iiif_url")</f>
        <v/>
      </c>
    </row>
    <row r="255" spans="1:26">
      <c r="A255" t="s">
        <v>1118</v>
      </c>
      <c r="B255" t="s">
        <v>76</v>
      </c>
      <c r="C255" t="s">
        <v>1119</v>
      </c>
      <c r="D255" t="b">
        <v>1</v>
      </c>
      <c r="E255" t="b">
        <v>1</v>
      </c>
      <c r="I255" t="s">
        <v>1120</v>
      </c>
      <c r="J255" t="n">
        <v>3792</v>
      </c>
      <c r="K255" t="n">
        <v>246</v>
      </c>
      <c r="L255" t="n">
        <v>490</v>
      </c>
      <c r="M255" t="n">
        <v>0</v>
      </c>
      <c r="N255" t="n">
        <v>1</v>
      </c>
      <c r="O255" t="n">
        <v>0</v>
      </c>
      <c r="P255" t="s">
        <v>29</v>
      </c>
      <c r="Q255">
        <f>HYPERLINK("https://images.diginfra.net/framed3.html?imagesetuuid=507d79a4-2a42-4e84-afa5-a9ccb1e544fe&amp;uri=https://images.diginfra.net/iiif/NL-HaNA_1.01.02/3792/NL-HaNA_1.01.02_3792_0246.jpg", "viewer_url")</f>
        <v/>
      </c>
      <c r="R255">
        <f>HYPERLINK("https://images.diginfra.net/iiif/NL-HaNA_1.01.02/3792/NL-HaNA_1.01.02_3792_0246.jpg/259,579,1101,2847/full/0/default.jpg", "iiif_url")</f>
        <v/>
      </c>
      <c r="W255" t="s">
        <v>29</v>
      </c>
      <c r="X255" t="s">
        <v>1121</v>
      </c>
      <c r="Y255">
        <f>HYPERLINK("https://images.diginfra.net/framed3.html?imagesetuuid=507d79a4-2a42-4e84-afa5-a9ccb1e544fe&amp;uri=https://images.diginfra.net/iiif/NL-HaNA_1.01.02/3792/NL-HaNA_1.01.02_3792_0248.jpg", "next_meeting_viewer_url")</f>
        <v/>
      </c>
      <c r="Z255">
        <f>HYPERLINK("https://images.diginfra.net/iiif/NL-HaNA_1.01.02/3792/NL-HaNA_1.01.02_3792_0248.jpg/1215,513,1096,2908/full/0/default.jpg", "next_meeting_iiif_url")</f>
        <v/>
      </c>
    </row>
    <row r="256" spans="1:26">
      <c r="A256" t="s">
        <v>1122</v>
      </c>
      <c r="B256" t="s">
        <v>48</v>
      </c>
      <c r="D256" t="b">
        <v>0</v>
      </c>
      <c r="E256" t="b">
        <v>0</v>
      </c>
      <c r="I256" t="s">
        <v>1123</v>
      </c>
      <c r="J256" t="n">
        <v>3804</v>
      </c>
      <c r="K256" t="n">
        <v>253</v>
      </c>
      <c r="L256" t="n">
        <v>505</v>
      </c>
      <c r="M256" t="n">
        <v>0</v>
      </c>
      <c r="N256" t="n">
        <v>3</v>
      </c>
      <c r="O256" t="n">
        <v>0</v>
      </c>
      <c r="P256" t="s">
        <v>29</v>
      </c>
      <c r="Q256">
        <f>HYPERLINK("https://images.diginfra.net/framed3.html?imagesetuuid=278358e3-85df-45df-a4c3-0043ae8e62fa&amp;uri=https://images.diginfra.net/iiif/NL-HaNA_1.01.02/3804/NL-HaNA_1.01.02_3804_0253.jpg", "viewer_url")</f>
        <v/>
      </c>
      <c r="R256">
        <f>HYPERLINK("https://images.diginfra.net/iiif/NL-HaNA_1.01.02/3804/NL-HaNA_1.01.02_3804_0253.jpg/2503,2412,886,971/full/0/default.jpg", "iiif_url")</f>
        <v/>
      </c>
      <c r="W256" t="s">
        <v>29</v>
      </c>
      <c r="X256" t="s">
        <v>1124</v>
      </c>
      <c r="Y256">
        <f>HYPERLINK("https://images.diginfra.net/framed3.html?imagesetuuid=278358e3-85df-45df-a4c3-0043ae8e62fa&amp;uri=https://images.diginfra.net/iiif/NL-HaNA_1.01.02/3804/NL-HaNA_1.01.02_3804_0253.jpg", "next_meeting_viewer_url")</f>
        <v/>
      </c>
      <c r="Z256">
        <f>HYPERLINK("https://images.diginfra.net/iiif/NL-HaNA_1.01.02/3804/NL-HaNA_1.01.02_3804_0253.jpg/2503,2412,886,971/full/0/default.jpg", "next_meeting_iiif_url")</f>
        <v/>
      </c>
    </row>
    <row r="257" spans="1:26">
      <c r="A257" t="s">
        <v>1125</v>
      </c>
      <c r="B257" t="s">
        <v>53</v>
      </c>
      <c r="C257" t="s">
        <v>1126</v>
      </c>
      <c r="D257" t="b">
        <v>1</v>
      </c>
      <c r="E257" t="b">
        <v>1</v>
      </c>
      <c r="I257" t="s">
        <v>1127</v>
      </c>
      <c r="J257" t="n">
        <v>3814</v>
      </c>
      <c r="K257" t="n">
        <v>158</v>
      </c>
      <c r="L257" t="n">
        <v>315</v>
      </c>
      <c r="M257" t="n">
        <v>1</v>
      </c>
      <c r="N257" t="n">
        <v>3</v>
      </c>
      <c r="O257" t="n">
        <v>0</v>
      </c>
      <c r="P257" t="s">
        <v>29</v>
      </c>
      <c r="Q257">
        <f>HYPERLINK("https://images.diginfra.net/framed3.html?imagesetuuid=a95427fd-d131-4f1b-a2ee-069d038f458a&amp;uri=https://images.diginfra.net/iiif/NL-HaNA_1.01.02/3814/NL-HaNA_1.01.02_3814_0158.jpg", "viewer_url")</f>
        <v/>
      </c>
      <c r="R257">
        <f>HYPERLINK("https://images.diginfra.net/iiif/NL-HaNA_1.01.02/3814/NL-HaNA_1.01.02_3814_0158.jpg/3428,2766,1082,616/full/0/default.jpg", "iiif_url")</f>
        <v/>
      </c>
      <c r="S257" t="s">
        <v>29</v>
      </c>
      <c r="T257" t="s">
        <v>1128</v>
      </c>
      <c r="U257">
        <f>HYPERLINK("https://images.diginfra.net/framed3.html?imagesetuuid=a95427fd-d131-4f1b-a2ee-069d038f458a&amp;uri=https://images.diginfra.net/iiif/NL-HaNA_1.01.02/3814/NL-HaNA_1.01.02_3814_0157.jpg", "prev_meeting_viewer_url")</f>
        <v/>
      </c>
      <c r="V257">
        <f>HYPERLINK("https://images.diginfra.net/iiif/NL-HaNA_1.01.02/3814/NL-HaNA_1.01.02_3814_0157.jpg/2525,1413,1072,1986/full/0/default.jpg", "prev_meeting_iiif_url")</f>
        <v/>
      </c>
      <c r="W257" t="s">
        <v>29</v>
      </c>
      <c r="X257" t="s">
        <v>1129</v>
      </c>
      <c r="Y257">
        <f>HYPERLINK("https://images.diginfra.net/framed3.html?imagesetuuid=a95427fd-d131-4f1b-a2ee-069d038f458a&amp;uri=https://images.diginfra.net/iiif/NL-HaNA_1.01.02/3814/NL-HaNA_1.01.02_3814_0160.jpg", "next_meeting_viewer_url")</f>
        <v/>
      </c>
      <c r="Z257">
        <f>HYPERLINK("https://images.diginfra.net/iiif/NL-HaNA_1.01.02/3814/NL-HaNA_1.01.02_3814_0160.jpg/370,657,1112,2673/full/0/default.jpg", "next_meeting_iiif_url")</f>
        <v/>
      </c>
    </row>
    <row r="258" spans="1:26">
      <c r="A258" t="s">
        <v>1130</v>
      </c>
      <c r="B258" t="s">
        <v>48</v>
      </c>
      <c r="D258" t="b">
        <v>0</v>
      </c>
      <c r="E258" t="b">
        <v>0</v>
      </c>
      <c r="I258" t="s">
        <v>1131</v>
      </c>
      <c r="J258" t="n">
        <v>3819</v>
      </c>
      <c r="K258" t="n">
        <v>504</v>
      </c>
      <c r="L258" t="n">
        <v>1006</v>
      </c>
      <c r="M258" t="n">
        <v>0</v>
      </c>
      <c r="N258" t="n">
        <v>1</v>
      </c>
      <c r="O258" t="n">
        <v>0</v>
      </c>
      <c r="P258" t="s">
        <v>33</v>
      </c>
      <c r="Q258">
        <f>HYPERLINK("https://images.diginfra.net/framed3.html?imagesetuuid=711b4f86-3dbd-47ca-af9d-52eb1c30bc58&amp;uri=https://images.diginfra.net/iiif/NL-HaNA_1.01.02/3819/NL-HaNA_1.01.02_3819_0504.jpg", "viewer_url")</f>
        <v/>
      </c>
      <c r="R258">
        <f>HYPERLINK("https://images.diginfra.net/iiif/NL-HaNA_1.01.02/3819/NL-HaNA_1.01.02_3819_0504.jpg/264,625,1099,2678/full/0/default.jpg", "iiif_url")</f>
        <v/>
      </c>
      <c r="S258" t="s">
        <v>29</v>
      </c>
      <c r="T258" t="s">
        <v>1132</v>
      </c>
      <c r="U258">
        <f>HYPERLINK("https://images.diginfra.net/framed3.html?imagesetuuid=711b4f86-3dbd-47ca-af9d-52eb1c30bc58&amp;uri=https://images.diginfra.net/iiif/NL-HaNA_1.01.02/3819/NL-HaNA_1.01.02_3819_0501.jpg", "prev_meeting_viewer_url")</f>
        <v/>
      </c>
      <c r="V258">
        <f>HYPERLINK("https://images.diginfra.net/iiif/NL-HaNA_1.01.02/3819/NL-HaNA_1.01.02_3819_0501.jpg/3393,1085,1103,2324/full/0/default.jpg", "prev_meeting_iiif_url")</f>
        <v/>
      </c>
      <c r="W258" t="s">
        <v>33</v>
      </c>
      <c r="X258" t="s">
        <v>1133</v>
      </c>
      <c r="Y258">
        <f>HYPERLINK("https://images.diginfra.net/framed3.html?imagesetuuid=711b4f86-3dbd-47ca-af9d-52eb1c30bc58&amp;uri=https://images.diginfra.net/iiif/NL-HaNA_1.01.02/3819/NL-HaNA_1.01.02_3819_0504.jpg", "next_meeting_viewer_url")</f>
        <v/>
      </c>
      <c r="Z258">
        <f>HYPERLINK("https://images.diginfra.net/iiif/NL-HaNA_1.01.02/3819/NL-HaNA_1.01.02_3819_0504.jpg/264,625,1099,2678/full/0/default.jpg", "next_meeting_iiif_url")</f>
        <v/>
      </c>
    </row>
    <row r="259" spans="1:26">
      <c r="A259" t="s">
        <v>1134</v>
      </c>
      <c r="B259" t="s">
        <v>48</v>
      </c>
      <c r="D259" t="b">
        <v>0</v>
      </c>
      <c r="E259" t="b">
        <v>0</v>
      </c>
      <c r="I259" t="s">
        <v>1135</v>
      </c>
      <c r="J259" t="n">
        <v>3821</v>
      </c>
      <c r="K259" t="n">
        <v>404</v>
      </c>
      <c r="L259" t="n">
        <v>806</v>
      </c>
      <c r="M259" t="n">
        <v>0</v>
      </c>
      <c r="N259" t="n">
        <v>1</v>
      </c>
      <c r="O259" t="n">
        <v>0</v>
      </c>
      <c r="P259" t="s">
        <v>29</v>
      </c>
      <c r="Q259">
        <f>HYPERLINK("https://images.diginfra.net/framed3.html?imagesetuuid=d2997452-8788-4796-912c-2151f3b459f9&amp;uri=https://images.diginfra.net/iiif/NL-HaNA_1.01.02/3821/NL-HaNA_1.01.02_3821_0404.jpg", "viewer_url")</f>
        <v/>
      </c>
      <c r="R259">
        <f>HYPERLINK("https://images.diginfra.net/iiif/NL-HaNA_1.01.02/3821/NL-HaNA_1.01.02_3821_0404.jpg/290,2435,1006,984/full/0/default.jpg", "iiif_url")</f>
        <v/>
      </c>
      <c r="S259" t="s">
        <v>29</v>
      </c>
      <c r="T259" t="s">
        <v>1136</v>
      </c>
      <c r="U259">
        <f>HYPERLINK("https://images.diginfra.net/framed3.html?imagesetuuid=d2997452-8788-4796-912c-2151f3b459f9&amp;uri=https://images.diginfra.net/iiif/NL-HaNA_1.01.02/3821/NL-HaNA_1.01.02_3821_0401.jpg", "prev_meeting_viewer_url")</f>
        <v/>
      </c>
      <c r="V259">
        <f>HYPERLINK("https://images.diginfra.net/iiif/NL-HaNA_1.01.02/3821/NL-HaNA_1.01.02_3821_0401.jpg/1175,569,1103,2851/full/0/default.jpg", "prev_meeting_iiif_url")</f>
        <v/>
      </c>
      <c r="W259" t="s">
        <v>29</v>
      </c>
      <c r="X259" t="s">
        <v>1137</v>
      </c>
      <c r="Y259">
        <f>HYPERLINK("https://images.diginfra.net/framed3.html?imagesetuuid=d2997452-8788-4796-912c-2151f3b459f9&amp;uri=https://images.diginfra.net/iiif/NL-HaNA_1.01.02/3821/NL-HaNA_1.01.02_3821_0404.jpg", "next_meeting_viewer_url")</f>
        <v/>
      </c>
      <c r="Z259">
        <f>HYPERLINK("https://images.diginfra.net/iiif/NL-HaNA_1.01.02/3821/NL-HaNA_1.01.02_3821_0404.jpg/290,2435,1006,984/full/0/default.jpg", "next_meeting_iiif_url")</f>
        <v/>
      </c>
    </row>
    <row r="260" spans="1:26">
      <c r="A260" t="s">
        <v>1138</v>
      </c>
      <c r="B260" t="s">
        <v>53</v>
      </c>
      <c r="D260" t="b">
        <v>1</v>
      </c>
      <c r="E260" t="b">
        <v>1</v>
      </c>
      <c r="I260" t="s">
        <v>1139</v>
      </c>
      <c r="J260" t="n">
        <v>3787</v>
      </c>
      <c r="K260" t="n">
        <v>97</v>
      </c>
      <c r="L260" t="n">
        <v>193</v>
      </c>
      <c r="M260" t="n">
        <v>0</v>
      </c>
      <c r="N260" t="n">
        <v>0</v>
      </c>
      <c r="O260" t="n">
        <v>0</v>
      </c>
      <c r="P260" t="s">
        <v>29</v>
      </c>
      <c r="Q260">
        <f>HYPERLINK("https://images.diginfra.net/framed3.html?imagesetuuid=db7b00f7-0cd1-4078-9123-41ccf17bd821&amp;uri=https://images.diginfra.net/iiif/NL-HaNA_1.01.02/3787/NL-HaNA_1.01.02_3787_0097.jpg", "viewer_url")</f>
        <v/>
      </c>
      <c r="R260">
        <f>HYPERLINK("https://images.diginfra.net/iiif/NL-HaNA_1.01.02/3787/NL-HaNA_1.01.02_3787_0097.jpg/2366,414,1106,3082/full/0/default.jpg", "iiif_url")</f>
        <v/>
      </c>
      <c r="S260" t="s">
        <v>29</v>
      </c>
      <c r="T260" t="s">
        <v>1140</v>
      </c>
      <c r="U260">
        <f>HYPERLINK("https://images.diginfra.net/framed3.html?imagesetuuid=db7b00f7-0cd1-4078-9123-41ccf17bd821&amp;uri=https://images.diginfra.net/iiif/NL-HaNA_1.01.02/3787/NL-HaNA_1.01.02_3787_0097.jpg", "prev_meeting_viewer_url")</f>
        <v/>
      </c>
      <c r="V260">
        <f>HYPERLINK("https://images.diginfra.net/iiif/NL-HaNA_1.01.02/3787/NL-HaNA_1.01.02_3787_0097.jpg/262,1638,1101,1676/full/0/default.jpg", "prev_meeting_iiif_url")</f>
        <v/>
      </c>
      <c r="W260" t="s">
        <v>29</v>
      </c>
      <c r="X260" t="s">
        <v>1141</v>
      </c>
      <c r="Y260">
        <f>HYPERLINK("https://images.diginfra.net/framed3.html?imagesetuuid=db7b00f7-0cd1-4078-9123-41ccf17bd821&amp;uri=https://images.diginfra.net/iiif/NL-HaNA_1.01.02/3787/NL-HaNA_1.01.02_3787_0098.jpg", "next_meeting_viewer_url")</f>
        <v/>
      </c>
      <c r="Z260">
        <f>HYPERLINK("https://images.diginfra.net/iiif/NL-HaNA_1.01.02/3787/NL-HaNA_1.01.02_3787_0098.jpg/2379,1211,1093,2267/full/0/default.jpg", "next_meeting_iiif_url")</f>
        <v/>
      </c>
    </row>
    <row r="261" spans="1:26">
      <c r="A261" t="s">
        <v>1142</v>
      </c>
      <c r="B261" t="s">
        <v>27</v>
      </c>
      <c r="D261" t="b">
        <v>0</v>
      </c>
      <c r="E261" t="b">
        <v>0</v>
      </c>
      <c r="I261" t="s">
        <v>1143</v>
      </c>
      <c r="J261" t="n">
        <v>3821</v>
      </c>
      <c r="K261" t="n">
        <v>89</v>
      </c>
      <c r="L261" t="n">
        <v>176</v>
      </c>
      <c r="M261" t="n">
        <v>1</v>
      </c>
      <c r="N261" t="n">
        <v>0</v>
      </c>
      <c r="O261" t="n">
        <v>0</v>
      </c>
      <c r="P261" t="s">
        <v>29</v>
      </c>
      <c r="Q261">
        <f>HYPERLINK("https://images.diginfra.net/framed3.html?imagesetuuid=d2997452-8788-4796-912c-2151f3b459f9&amp;uri=https://images.diginfra.net/iiif/NL-HaNA_1.01.02/3821/NL-HaNA_1.01.02_3821_0089.jpg", "viewer_url")</f>
        <v/>
      </c>
      <c r="R261">
        <f>HYPERLINK("https://images.diginfra.net/iiif/NL-HaNA_1.01.02/3821/NL-HaNA_1.01.02_3821_0089.jpg/1273,322,1058,2997/full/0/default.jpg", "iiif_url")</f>
        <v/>
      </c>
      <c r="S261" t="s">
        <v>29</v>
      </c>
      <c r="T261" t="s">
        <v>1144</v>
      </c>
      <c r="U261">
        <f>HYPERLINK("https://images.diginfra.net/framed3.html?imagesetuuid=d2997452-8788-4796-912c-2151f3b459f9&amp;uri=https://images.diginfra.net/iiif/NL-HaNA_1.01.02/3821/NL-HaNA_1.01.02_3821_0087.jpg", "prev_meeting_viewer_url")</f>
        <v/>
      </c>
      <c r="V261">
        <f>HYPERLINK("https://images.diginfra.net/iiif/NL-HaNA_1.01.02/3821/NL-HaNA_1.01.02_3821_0087.jpg/2364,878,1062,2581/full/0/default.jpg", "prev_meeting_iiif_url")</f>
        <v/>
      </c>
      <c r="W261" t="s">
        <v>29</v>
      </c>
      <c r="X261" t="s">
        <v>670</v>
      </c>
      <c r="Y261">
        <f>HYPERLINK("https://images.diginfra.net/framed3.html?imagesetuuid=d2997452-8788-4796-912c-2151f3b459f9&amp;uri=https://images.diginfra.net/iiif/NL-HaNA_1.01.02/3821/NL-HaNA_1.01.02_3821_0089.jpg", "next_meeting_viewer_url")</f>
        <v/>
      </c>
      <c r="Z261">
        <f>HYPERLINK("https://images.diginfra.net/iiif/NL-HaNA_1.01.02/3821/NL-HaNA_1.01.02_3821_0089.jpg/1273,322,1058,2997/full/0/default.jpg", "next_meeting_iiif_url")</f>
        <v/>
      </c>
    </row>
    <row r="262" spans="1:26">
      <c r="A262" t="s">
        <v>1145</v>
      </c>
      <c r="B262" t="s">
        <v>53</v>
      </c>
      <c r="C262" t="s">
        <v>1146</v>
      </c>
      <c r="D262" t="b">
        <v>1</v>
      </c>
      <c r="E262" t="b">
        <v>1</v>
      </c>
      <c r="I262" t="s">
        <v>1147</v>
      </c>
      <c r="J262" t="n">
        <v>3825</v>
      </c>
      <c r="K262" t="n">
        <v>439</v>
      </c>
      <c r="L262" t="n">
        <v>877</v>
      </c>
      <c r="M262" t="n">
        <v>2</v>
      </c>
      <c r="N262" t="n">
        <v>1</v>
      </c>
      <c r="O262" t="n">
        <v>2</v>
      </c>
      <c r="P262" t="s">
        <v>29</v>
      </c>
      <c r="Q262">
        <f>HYPERLINK("https://images.diginfra.net/framed3.html?imagesetuuid=3e55157c-ed48-4a0c-b4a9-bb205866d7cd&amp;uri=https://images.diginfra.net/iiif/NL-HaNA_1.01.02/3825/NL-HaNA_1.01.02_3825_0439.jpg", "viewer_url")</f>
        <v/>
      </c>
      <c r="R262">
        <f>HYPERLINK("https://images.diginfra.net/iiif/NL-HaNA_1.01.02/3825/NL-HaNA_1.01.02_3825_0439.jpg/3278,1133,1111,2173/full/0/default.jpg", "iiif_url")</f>
        <v/>
      </c>
      <c r="S262" t="s">
        <v>29</v>
      </c>
      <c r="T262" t="s">
        <v>1148</v>
      </c>
      <c r="U262">
        <f>HYPERLINK("https://images.diginfra.net/framed3.html?imagesetuuid=3e55157c-ed48-4a0c-b4a9-bb205866d7cd&amp;uri=https://images.diginfra.net/iiif/NL-HaNA_1.01.02/3825/NL-HaNA_1.01.02_3825_0438.jpg", "prev_meeting_viewer_url")</f>
        <v/>
      </c>
      <c r="V262">
        <f>HYPERLINK("https://images.diginfra.net/iiif/NL-HaNA_1.01.02/3825/NL-HaNA_1.01.02_3825_0438.jpg/3272,2429,1097,851/full/0/default.jpg", "prev_meeting_iiif_url")</f>
        <v/>
      </c>
      <c r="W262" t="s">
        <v>29</v>
      </c>
      <c r="X262" t="s">
        <v>1149</v>
      </c>
      <c r="Y262">
        <f>HYPERLINK("https://images.diginfra.net/framed3.html?imagesetuuid=3e55157c-ed48-4a0c-b4a9-bb205866d7cd&amp;uri=https://images.diginfra.net/iiif/NL-HaNA_1.01.02/3825/NL-HaNA_1.01.02_3825_0440.jpg", "next_meeting_viewer_url")</f>
        <v/>
      </c>
      <c r="Z262">
        <f>HYPERLINK("https://images.diginfra.net/iiif/NL-HaNA_1.01.02/3825/NL-HaNA_1.01.02_3825_0440.jpg/2320,1148,1085,2160/full/0/default.jpg", "next_meeting_iiif_url")</f>
        <v/>
      </c>
    </row>
    <row r="263" spans="1:26">
      <c r="A263" t="s">
        <v>1150</v>
      </c>
      <c r="B263" t="s">
        <v>53</v>
      </c>
      <c r="C263" t="s">
        <v>1151</v>
      </c>
      <c r="D263" t="b">
        <v>1</v>
      </c>
      <c r="E263" t="b">
        <v>1</v>
      </c>
      <c r="I263" t="s">
        <v>1152</v>
      </c>
      <c r="J263" t="n">
        <v>3793</v>
      </c>
      <c r="K263" t="n">
        <v>389</v>
      </c>
      <c r="L263" t="n">
        <v>777</v>
      </c>
      <c r="M263" t="n">
        <v>0</v>
      </c>
      <c r="N263" t="n">
        <v>2</v>
      </c>
      <c r="O263" t="n">
        <v>0</v>
      </c>
      <c r="P263" t="s">
        <v>29</v>
      </c>
      <c r="Q263">
        <f>HYPERLINK("https://images.diginfra.net/framed3.html?imagesetuuid=8305a309-5c79-4c0c-a981-7e350c76be32&amp;uri=https://images.diginfra.net/iiif/NL-HaNA_1.01.02/3793/NL-HaNA_1.01.02_3793_0389.jpg", "viewer_url")</f>
        <v/>
      </c>
      <c r="R263">
        <f>HYPERLINK("https://images.diginfra.net/iiif/NL-HaNA_1.01.02/3793/NL-HaNA_1.01.02_3793_0389.jpg/2647,2968,757,393/full/0/default.jpg", "iiif_url")</f>
        <v/>
      </c>
      <c r="S263" t="s">
        <v>29</v>
      </c>
      <c r="T263" t="s">
        <v>1153</v>
      </c>
      <c r="U263">
        <f>HYPERLINK("https://images.diginfra.net/framed3.html?imagesetuuid=8305a309-5c79-4c0c-a981-7e350c76be32&amp;uri=https://images.diginfra.net/iiif/NL-HaNA_1.01.02/3793/NL-HaNA_1.01.02_3793_0389.jpg", "prev_meeting_viewer_url")</f>
        <v/>
      </c>
      <c r="V263">
        <f>HYPERLINK("https://images.diginfra.net/iiif/NL-HaNA_1.01.02/3793/NL-HaNA_1.01.02_3793_0389.jpg/350,2751,1023,684/full/0/default.jpg", "prev_meeting_iiif_url")</f>
        <v/>
      </c>
      <c r="W263" t="s">
        <v>29</v>
      </c>
      <c r="X263" t="s">
        <v>1154</v>
      </c>
      <c r="Y263">
        <f>HYPERLINK("https://images.diginfra.net/framed3.html?imagesetuuid=8305a309-5c79-4c0c-a981-7e350c76be32&amp;uri=https://images.diginfra.net/iiif/NL-HaNA_1.01.02/3793/NL-HaNA_1.01.02_3793_0390.jpg", "next_meeting_viewer_url")</f>
        <v/>
      </c>
      <c r="Z263">
        <f>HYPERLINK("https://images.diginfra.net/iiif/NL-HaNA_1.01.02/3793/NL-HaNA_1.01.02_3793_0390.jpg/3417,768,1098,2620/full/0/default.jpg", "next_meeting_iiif_url")</f>
        <v/>
      </c>
    </row>
    <row r="264" spans="1:26">
      <c r="A264" t="s">
        <v>1155</v>
      </c>
      <c r="B264" t="s">
        <v>48</v>
      </c>
      <c r="D264" t="b">
        <v>0</v>
      </c>
      <c r="E264" t="b">
        <v>0</v>
      </c>
      <c r="I264" t="s">
        <v>1156</v>
      </c>
      <c r="J264" t="n">
        <v>3827</v>
      </c>
      <c r="K264" t="n">
        <v>466</v>
      </c>
      <c r="L264" t="n">
        <v>931</v>
      </c>
      <c r="M264" t="n">
        <v>0</v>
      </c>
      <c r="N264" t="n">
        <v>0</v>
      </c>
      <c r="O264" t="n">
        <v>0</v>
      </c>
      <c r="P264" t="s">
        <v>29</v>
      </c>
      <c r="Q264">
        <f>HYPERLINK("https://images.diginfra.net/framed3.html?imagesetuuid=cb4f4e9c-bdd8-4992-9de8-6ddd9348148f&amp;uri=https://images.diginfra.net/iiif/NL-HaNA_1.01.02/3827/NL-HaNA_1.01.02_3827_0466.jpg", "viewer_url")</f>
        <v/>
      </c>
      <c r="R264">
        <f>HYPERLINK("https://images.diginfra.net/iiif/NL-HaNA_1.01.02/3827/NL-HaNA_1.01.02_3827_0466.jpg/2326,216,1086,3081/full/0/default.jpg", "iiif_url")</f>
        <v/>
      </c>
      <c r="S264" t="s">
        <v>29</v>
      </c>
      <c r="T264" t="s">
        <v>1157</v>
      </c>
      <c r="U264">
        <f>HYPERLINK("https://images.diginfra.net/framed3.html?imagesetuuid=cb4f4e9c-bdd8-4992-9de8-6ddd9348148f&amp;uri=https://images.diginfra.net/iiif/NL-HaNA_1.01.02/3827/NL-HaNA_1.01.02_3827_0466.jpg", "prev_meeting_viewer_url")</f>
        <v/>
      </c>
      <c r="V264">
        <f>HYPERLINK("https://images.diginfra.net/iiif/NL-HaNA_1.01.02/3827/NL-HaNA_1.01.02_3827_0466.jpg/274,564,1107,2798/full/0/default.jpg", "prev_meeting_iiif_url")</f>
        <v/>
      </c>
      <c r="W264" t="s">
        <v>29</v>
      </c>
      <c r="X264" t="s">
        <v>98</v>
      </c>
      <c r="Y264">
        <f>HYPERLINK("https://images.diginfra.net/framed3.html?imagesetuuid=cb4f4e9c-bdd8-4992-9de8-6ddd9348148f&amp;uri=https://images.diginfra.net/iiif/NL-HaNA_1.01.02/3827/NL-HaNA_1.01.02_3827_0466.jpg", "next_meeting_viewer_url")</f>
        <v/>
      </c>
      <c r="Z264">
        <f>HYPERLINK("https://images.diginfra.net/iiif/NL-HaNA_1.01.02/3827/NL-HaNA_1.01.02_3827_0466.jpg/2326,216,1086,3081/full/0/default.jpg", "next_meeting_iiif_url")</f>
        <v/>
      </c>
    </row>
    <row r="265" spans="1:26">
      <c r="A265" t="s">
        <v>1158</v>
      </c>
      <c r="B265" t="s">
        <v>63</v>
      </c>
      <c r="D265" t="b">
        <v>1</v>
      </c>
      <c r="E265" t="b">
        <v>0</v>
      </c>
      <c r="Q265">
        <f>HYPERLINK("None", "viewer_url")</f>
        <v/>
      </c>
      <c r="R265">
        <f>HYPERLINK("None", "iiif_url")</f>
        <v/>
      </c>
    </row>
    <row r="266" spans="1:26">
      <c r="A266" t="s">
        <v>1159</v>
      </c>
      <c r="B266" t="s">
        <v>63</v>
      </c>
      <c r="C266" t="s">
        <v>1148</v>
      </c>
      <c r="D266" t="b">
        <v>1</v>
      </c>
      <c r="E266" t="b">
        <v>1</v>
      </c>
      <c r="I266" t="s">
        <v>1160</v>
      </c>
      <c r="J266" t="n">
        <v>3825</v>
      </c>
      <c r="K266" t="n">
        <v>438</v>
      </c>
      <c r="L266" t="n">
        <v>875</v>
      </c>
      <c r="M266" t="n">
        <v>0</v>
      </c>
      <c r="N266" t="n">
        <v>0</v>
      </c>
      <c r="O266" t="n">
        <v>49</v>
      </c>
      <c r="P266" t="s">
        <v>29</v>
      </c>
      <c r="Q266">
        <f>HYPERLINK("https://images.diginfra.net/framed3.html?imagesetuuid=3e55157c-ed48-4a0c-b4a9-bb205866d7cd&amp;uri=https://images.diginfra.net/iiif/NL-HaNA_1.01.02/3825/NL-HaNA_1.01.02_3825_0438.jpg", "viewer_url")</f>
        <v/>
      </c>
      <c r="R266">
        <f>HYPERLINK("https://images.diginfra.net/iiif/NL-HaNA_1.01.02/3825/NL-HaNA_1.01.02_3825_0438.jpg/3272,2429,1097,851/full/0/default.jpg", "iiif_url")</f>
        <v/>
      </c>
      <c r="S266" t="s">
        <v>29</v>
      </c>
      <c r="T266" t="s">
        <v>1161</v>
      </c>
      <c r="U266">
        <f>HYPERLINK("https://images.diginfra.net/framed3.html?imagesetuuid=3e55157c-ed48-4a0c-b4a9-bb205866d7cd&amp;uri=https://images.diginfra.net/iiif/NL-HaNA_1.01.02/3825/NL-HaNA_1.01.02_3825_0437.jpg", "prev_meeting_viewer_url")</f>
        <v/>
      </c>
      <c r="V266">
        <f>HYPERLINK("https://images.diginfra.net/iiif/NL-HaNA_1.01.02/3825/NL-HaNA_1.01.02_3825_0437.jpg/3290,881,1087,2255/full/0/default.jpg", "prev_meeting_iiif_url")</f>
        <v/>
      </c>
      <c r="W266" t="s">
        <v>29</v>
      </c>
      <c r="X266" t="s">
        <v>1146</v>
      </c>
      <c r="Y266">
        <f>HYPERLINK("https://images.diginfra.net/framed3.html?imagesetuuid=3e55157c-ed48-4a0c-b4a9-bb205866d7cd&amp;uri=https://images.diginfra.net/iiif/NL-HaNA_1.01.02/3825/NL-HaNA_1.01.02_3825_0439.jpg", "next_meeting_viewer_url")</f>
        <v/>
      </c>
      <c r="Z266">
        <f>HYPERLINK("https://images.diginfra.net/iiif/NL-HaNA_1.01.02/3825/NL-HaNA_1.01.02_3825_0439.jpg/3278,1133,1111,2173/full/0/default.jpg", "next_meeting_iiif_url")</f>
        <v/>
      </c>
    </row>
    <row r="267" spans="1:26">
      <c r="A267" t="s">
        <v>1162</v>
      </c>
      <c r="B267" t="s">
        <v>76</v>
      </c>
      <c r="C267" t="s">
        <v>1163</v>
      </c>
      <c r="D267" t="b">
        <v>1</v>
      </c>
      <c r="E267" t="b">
        <v>1</v>
      </c>
      <c r="I267" t="s">
        <v>1164</v>
      </c>
      <c r="J267" t="n">
        <v>3849</v>
      </c>
      <c r="K267" t="n">
        <v>153</v>
      </c>
      <c r="L267" t="n">
        <v>305</v>
      </c>
      <c r="M267" t="n">
        <v>1</v>
      </c>
      <c r="N267" t="n">
        <v>1</v>
      </c>
      <c r="O267" t="n">
        <v>1</v>
      </c>
      <c r="P267" t="s">
        <v>29</v>
      </c>
      <c r="Q267">
        <f>HYPERLINK("https://images.diginfra.net/framed3.html?imagesetuuid=7d69db40-de83-46fa-8e08-2a3f4300174e&amp;uri=https://images.diginfra.net/iiif/NL-HaNA_1.01.02/3849/NL-HaNA_1.01.02_3849_0153.jpg", "viewer_url")</f>
        <v/>
      </c>
      <c r="R267">
        <f>HYPERLINK("https://images.diginfra.net/iiif/NL-HaNA_1.01.02/3849/NL-HaNA_1.01.02_3849_0153.jpg/3299,690,1078,2739/full/0/default.jpg", "iiif_url")</f>
        <v/>
      </c>
      <c r="S267" t="s">
        <v>29</v>
      </c>
      <c r="T267" t="s">
        <v>1165</v>
      </c>
      <c r="U267">
        <f>HYPERLINK("https://images.diginfra.net/framed3.html?imagesetuuid=7d69db40-de83-46fa-8e08-2a3f4300174e&amp;uri=https://images.diginfra.net/iiif/NL-HaNA_1.01.02/3849/NL-HaNA_1.01.02_3849_0149.jpg", "prev_meeting_viewer_url")</f>
        <v/>
      </c>
      <c r="V267">
        <f>HYPERLINK("https://images.diginfra.net/iiif/NL-HaNA_1.01.02/3849/NL-HaNA_1.01.02_3849_0149.jpg/295,1440,1080,1954/full/0/default.jpg", "prev_meeting_iiif_url")</f>
        <v/>
      </c>
      <c r="W267" t="s">
        <v>29</v>
      </c>
      <c r="X267" t="s">
        <v>625</v>
      </c>
      <c r="Y267">
        <f>HYPERLINK("https://images.diginfra.net/framed3.html?imagesetuuid=7d69db40-de83-46fa-8e08-2a3f4300174e&amp;uri=https://images.diginfra.net/iiif/NL-HaNA_1.01.02/3849/NL-HaNA_1.01.02_3849_0155.jpg", "next_meeting_viewer_url")</f>
        <v/>
      </c>
      <c r="Z267">
        <f>HYPERLINK("https://images.diginfra.net/iiif/NL-HaNA_1.01.02/3849/NL-HaNA_1.01.02_3849_0155.jpg/3316,2338,1025,1063/full/0/default.jpg", "next_meeting_iiif_url")</f>
        <v/>
      </c>
    </row>
    <row r="268" spans="1:26">
      <c r="A268" t="s">
        <v>1166</v>
      </c>
      <c r="B268" t="s">
        <v>76</v>
      </c>
      <c r="C268" t="s">
        <v>1167</v>
      </c>
      <c r="D268" t="b">
        <v>1</v>
      </c>
      <c r="E268" t="b">
        <v>1</v>
      </c>
      <c r="I268" t="s">
        <v>1168</v>
      </c>
      <c r="J268" t="n">
        <v>3821</v>
      </c>
      <c r="K268" t="n">
        <v>98</v>
      </c>
      <c r="L268" t="n">
        <v>195</v>
      </c>
      <c r="M268" t="n">
        <v>0</v>
      </c>
      <c r="N268" t="n">
        <v>1</v>
      </c>
      <c r="O268" t="n">
        <v>0</v>
      </c>
      <c r="P268" t="s">
        <v>29</v>
      </c>
      <c r="Q268">
        <f>HYPERLINK("https://images.diginfra.net/framed3.html?imagesetuuid=d2997452-8788-4796-912c-2151f3b459f9&amp;uri=https://images.diginfra.net/iiif/NL-HaNA_1.01.02/3821/NL-HaNA_1.01.02_3821_0098.jpg", "viewer_url")</f>
        <v/>
      </c>
      <c r="R268">
        <f>HYPERLINK("https://images.diginfra.net/iiif/NL-HaNA_1.01.02/3821/NL-HaNA_1.01.02_3821_0098.jpg/2447,2842,829,512/full/0/default.jpg", "iiif_url")</f>
        <v/>
      </c>
      <c r="S268" t="s">
        <v>29</v>
      </c>
      <c r="T268" t="s">
        <v>1169</v>
      </c>
      <c r="U268">
        <f>HYPERLINK("https://images.diginfra.net/framed3.html?imagesetuuid=d2997452-8788-4796-912c-2151f3b459f9&amp;uri=https://images.diginfra.net/iiif/NL-HaNA_1.01.02/3821/NL-HaNA_1.01.02_3821_0097.jpg", "prev_meeting_viewer_url")</f>
        <v/>
      </c>
      <c r="V268">
        <f>HYPERLINK("https://images.diginfra.net/iiif/NL-HaNA_1.01.02/3821/NL-HaNA_1.01.02_3821_0097.jpg/3282,701,1069,2662/full/0/default.jpg", "prev_meeting_iiif_url")</f>
        <v/>
      </c>
      <c r="W268" t="s">
        <v>29</v>
      </c>
      <c r="X268" t="s">
        <v>1170</v>
      </c>
      <c r="Y268">
        <f>HYPERLINK("https://images.diginfra.net/framed3.html?imagesetuuid=d2997452-8788-4796-912c-2151f3b459f9&amp;uri=https://images.diginfra.net/iiif/NL-HaNA_1.01.02/3821/NL-HaNA_1.01.02_3821_0100.jpg", "next_meeting_viewer_url")</f>
        <v/>
      </c>
      <c r="Z268">
        <f>HYPERLINK("https://images.diginfra.net/iiif/NL-HaNA_1.01.02/3821/NL-HaNA_1.01.02_3821_0100.jpg/2313,302,1063,3064/full/0/default.jpg", "next_meeting_iiif_url")</f>
        <v/>
      </c>
    </row>
    <row r="269" spans="1:26">
      <c r="A269" t="s">
        <v>1171</v>
      </c>
      <c r="B269" t="s">
        <v>53</v>
      </c>
      <c r="C269" t="s">
        <v>1172</v>
      </c>
      <c r="D269" t="b">
        <v>1</v>
      </c>
      <c r="E269" t="b">
        <v>1</v>
      </c>
      <c r="I269" t="s">
        <v>1173</v>
      </c>
      <c r="J269" t="n">
        <v>3834</v>
      </c>
      <c r="K269" t="n">
        <v>490</v>
      </c>
      <c r="L269" t="n">
        <v>979</v>
      </c>
      <c r="M269" t="n">
        <v>0</v>
      </c>
      <c r="N269" t="n">
        <v>1</v>
      </c>
      <c r="O269" t="n">
        <v>0</v>
      </c>
      <c r="P269" t="s">
        <v>29</v>
      </c>
      <c r="Q269">
        <f>HYPERLINK("https://images.diginfra.net/framed3.html?imagesetuuid=bf11cd8e-e3f4-444c-9caa-dcdfd20137d7&amp;uri=https://images.diginfra.net/iiif/NL-HaNA_1.01.02/3834/NL-HaNA_1.01.02_3834_0490.jpg", "viewer_url")</f>
        <v/>
      </c>
      <c r="R269">
        <f>HYPERLINK("https://images.diginfra.net/iiif/NL-HaNA_1.01.02/3834/NL-HaNA_1.01.02_3834_0490.jpg/2441,1035,1094,2311/full/0/default.jpg", "iiif_url")</f>
        <v/>
      </c>
      <c r="W269" t="s">
        <v>29</v>
      </c>
      <c r="X269" t="s">
        <v>1174</v>
      </c>
      <c r="Y269">
        <f>HYPERLINK("https://images.diginfra.net/framed3.html?imagesetuuid=bf11cd8e-e3f4-444c-9caa-dcdfd20137d7&amp;uri=https://images.diginfra.net/iiif/NL-HaNA_1.01.02/3834/NL-HaNA_1.01.02_3834_0491.jpg", "next_meeting_viewer_url")</f>
        <v/>
      </c>
      <c r="Z269">
        <f>HYPERLINK("https://images.diginfra.net/iiif/NL-HaNA_1.01.02/3834/NL-HaNA_1.01.02_3834_0491.jpg/343,2825,920,546/full/0/default.jpg", "next_meeting_iiif_url")</f>
        <v/>
      </c>
    </row>
    <row r="270" spans="1:26">
      <c r="A270" t="s">
        <v>1175</v>
      </c>
      <c r="B270" t="s">
        <v>63</v>
      </c>
      <c r="C270" t="s">
        <v>1176</v>
      </c>
      <c r="D270" t="b">
        <v>1</v>
      </c>
      <c r="E270" t="b">
        <v>1</v>
      </c>
      <c r="I270" t="s">
        <v>1177</v>
      </c>
      <c r="J270" t="n">
        <v>3817</v>
      </c>
      <c r="K270" t="n">
        <v>240</v>
      </c>
      <c r="L270" t="n">
        <v>478</v>
      </c>
      <c r="M270" t="n">
        <v>0</v>
      </c>
      <c r="N270" t="n">
        <v>0</v>
      </c>
      <c r="O270" t="n">
        <v>43</v>
      </c>
      <c r="P270" t="s">
        <v>33</v>
      </c>
      <c r="Q270">
        <f>HYPERLINK("https://images.diginfra.net/framed3.html?imagesetuuid=c13c7ed6-75ba-4433-9b44-0db683995fb3&amp;uri=https://images.diginfra.net/iiif/NL-HaNA_1.01.02/3817/NL-HaNA_1.01.02_3817_0240.jpg", "viewer_url")</f>
        <v/>
      </c>
      <c r="R270">
        <f>HYPERLINK("https://images.diginfra.net/iiif/NL-HaNA_1.01.02/3817/NL-HaNA_1.01.02_3817_0240.jpg/220,2244,1081,1144/full/0/default.jpg", "iiif_url")</f>
        <v/>
      </c>
      <c r="S270" t="s">
        <v>29</v>
      </c>
      <c r="T270" t="s">
        <v>1178</v>
      </c>
      <c r="U270">
        <f>HYPERLINK("https://images.diginfra.net/framed3.html?imagesetuuid=c13c7ed6-75ba-4433-9b44-0db683995fb3&amp;uri=https://images.diginfra.net/iiif/NL-HaNA_1.01.02/3817/NL-HaNA_1.01.02_3817_0237.jpg", "prev_meeting_viewer_url")</f>
        <v/>
      </c>
      <c r="V270">
        <f>HYPERLINK("https://images.diginfra.net/iiif/NL-HaNA_1.01.02/3817/NL-HaNA_1.01.02_3817_0237.jpg/2352,2940,1073,519/full/0/default.jpg", "prev_meeting_iiif_url")</f>
        <v/>
      </c>
    </row>
    <row r="271" spans="1:26">
      <c r="A271" t="s">
        <v>1179</v>
      </c>
      <c r="B271" t="s">
        <v>76</v>
      </c>
      <c r="C271" t="s">
        <v>1180</v>
      </c>
      <c r="D271" t="b">
        <v>1</v>
      </c>
      <c r="E271" t="b">
        <v>1</v>
      </c>
      <c r="I271" t="s">
        <v>1181</v>
      </c>
      <c r="J271" t="n">
        <v>3837</v>
      </c>
      <c r="K271" t="n">
        <v>33</v>
      </c>
      <c r="L271" t="n">
        <v>64</v>
      </c>
      <c r="M271" t="n">
        <v>0</v>
      </c>
      <c r="N271" t="n">
        <v>1</v>
      </c>
      <c r="O271" t="n">
        <v>0</v>
      </c>
      <c r="P271" t="s">
        <v>29</v>
      </c>
      <c r="Q271">
        <f>HYPERLINK("https://images.diginfra.net/framed3.html?imagesetuuid=c65c9f3a-3528-47a0-b883-a61cfb90d089&amp;uri=https://images.diginfra.net/iiif/NL-HaNA_1.01.02/3837/NL-HaNA_1.01.02_3837_0033.jpg", "viewer_url")</f>
        <v/>
      </c>
      <c r="R271">
        <f>HYPERLINK("https://images.diginfra.net/iiif/NL-HaNA_1.01.02/3837/NL-HaNA_1.01.02_3837_0033.jpg/310,457,1067,3015/full/0/default.jpg", "iiif_url")</f>
        <v/>
      </c>
      <c r="S271" t="s">
        <v>29</v>
      </c>
      <c r="T271" t="s">
        <v>990</v>
      </c>
      <c r="U271">
        <f>HYPERLINK("https://images.diginfra.net/framed3.html?imagesetuuid=c65c9f3a-3528-47a0-b883-a61cfb90d089&amp;uri=https://images.diginfra.net/iiif/NL-HaNA_1.01.02/3837/NL-HaNA_1.01.02_3837_0030.jpg", "prev_meeting_viewer_url")</f>
        <v/>
      </c>
      <c r="V271">
        <f>HYPERLINK("https://images.diginfra.net/iiif/NL-HaNA_1.01.02/3837/NL-HaNA_1.01.02_3837_0030.jpg/3344,1047,1072,2326/full/0/default.jpg", "prev_meeting_iiif_url")</f>
        <v/>
      </c>
      <c r="W271" t="s">
        <v>29</v>
      </c>
      <c r="X271" t="s">
        <v>1182</v>
      </c>
      <c r="Y271">
        <f>HYPERLINK("https://images.diginfra.net/framed3.html?imagesetuuid=c65c9f3a-3528-47a0-b883-a61cfb90d089&amp;uri=https://images.diginfra.net/iiif/NL-HaNA_1.01.02/3837/NL-HaNA_1.01.02_3837_0034.jpg", "next_meeting_viewer_url")</f>
        <v/>
      </c>
      <c r="Z271">
        <f>HYPERLINK("https://images.diginfra.net/iiif/NL-HaNA_1.01.02/3837/NL-HaNA_1.01.02_3837_0034.jpg/1237,1643,1080,1793/full/0/default.jpg", "next_meeting_iiif_url")</f>
        <v/>
      </c>
    </row>
    <row r="272" spans="1:26">
      <c r="A272" t="s">
        <v>1183</v>
      </c>
      <c r="B272" t="s">
        <v>42</v>
      </c>
      <c r="C272" t="s">
        <v>1184</v>
      </c>
      <c r="D272" t="b">
        <v>1</v>
      </c>
      <c r="E272" t="b">
        <v>1</v>
      </c>
      <c r="I272" t="s">
        <v>1185</v>
      </c>
      <c r="J272" t="n">
        <v>3856</v>
      </c>
      <c r="K272" t="n">
        <v>169</v>
      </c>
      <c r="L272" t="n">
        <v>337</v>
      </c>
      <c r="M272" t="n">
        <v>0</v>
      </c>
      <c r="N272" t="n">
        <v>3</v>
      </c>
      <c r="O272" t="n">
        <v>0</v>
      </c>
      <c r="P272" t="s">
        <v>29</v>
      </c>
      <c r="Q272">
        <f>HYPERLINK("https://images.diginfra.net/framed3.html?imagesetuuid=eefad0ef-c5b6-4672-8a4e-c123198eddbf&amp;uri=https://images.diginfra.net/iiif/NL-HaNA_1.01.02/3856/NL-HaNA_1.01.02_3856_0169.jpg", "viewer_url")</f>
        <v/>
      </c>
      <c r="R272">
        <f>HYPERLINK("https://images.diginfra.net/iiif/NL-HaNA_1.01.02/3856/NL-HaNA_1.01.02_3856_0169.jpg/2363,1719,1067,1765/full/0/default.jpg", "iiif_url")</f>
        <v/>
      </c>
      <c r="S272" t="s">
        <v>29</v>
      </c>
      <c r="T272" t="s">
        <v>688</v>
      </c>
      <c r="U272">
        <f>HYPERLINK("https://images.diginfra.net/framed3.html?imagesetuuid=eefad0ef-c5b6-4672-8a4e-c123198eddbf&amp;uri=https://images.diginfra.net/iiif/NL-HaNA_1.01.02/3856/NL-HaNA_1.01.02_3856_0167.jpg", "prev_meeting_viewer_url")</f>
        <v/>
      </c>
      <c r="V272">
        <f>HYPERLINK("https://images.diginfra.net/iiif/NL-HaNA_1.01.02/3856/NL-HaNA_1.01.02_3856_0167.jpg/2489,2821,834,527/full/0/default.jpg", "prev_meeting_iiif_url")</f>
        <v/>
      </c>
      <c r="W272" t="s">
        <v>29</v>
      </c>
      <c r="X272" t="s">
        <v>1186</v>
      </c>
      <c r="Y272">
        <f>HYPERLINK("https://images.diginfra.net/framed3.html?imagesetuuid=eefad0ef-c5b6-4672-8a4e-c123198eddbf&amp;uri=https://images.diginfra.net/iiif/NL-HaNA_1.01.02/3856/NL-HaNA_1.01.02_3856_0169.jpg", "next_meeting_viewer_url")</f>
        <v/>
      </c>
      <c r="Z272">
        <f>HYPERLINK("https://images.diginfra.net/iiif/NL-HaNA_1.01.02/3856/NL-HaNA_1.01.02_3856_0169.jpg/3343,2786,1016,696/full/0/default.jpg", "next_meeting_iiif_url")</f>
        <v/>
      </c>
    </row>
    <row r="273" spans="1:26">
      <c r="A273" t="s">
        <v>1187</v>
      </c>
      <c r="B273" t="s">
        <v>53</v>
      </c>
      <c r="C273" t="s">
        <v>1188</v>
      </c>
      <c r="D273" t="b">
        <v>1</v>
      </c>
      <c r="E273" t="b">
        <v>1</v>
      </c>
      <c r="I273" t="s">
        <v>1189</v>
      </c>
      <c r="J273" t="n">
        <v>3792</v>
      </c>
      <c r="K273" t="n">
        <v>282</v>
      </c>
      <c r="L273" t="n">
        <v>563</v>
      </c>
      <c r="M273" t="n">
        <v>1</v>
      </c>
      <c r="N273" t="n">
        <v>1</v>
      </c>
      <c r="O273" t="n">
        <v>0</v>
      </c>
      <c r="P273" t="s">
        <v>29</v>
      </c>
      <c r="Q273">
        <f>HYPERLINK("https://images.diginfra.net/framed3.html?imagesetuuid=507d79a4-2a42-4e84-afa5-a9ccb1e544fe&amp;uri=https://images.diginfra.net/iiif/NL-HaNA_1.01.02/3792/NL-HaNA_1.01.02_3792_0282.jpg", "viewer_url")</f>
        <v/>
      </c>
      <c r="R273">
        <f>HYPERLINK("https://images.diginfra.net/iiif/NL-HaNA_1.01.02/3792/NL-HaNA_1.01.02_3792_0282.jpg/3418,917,1098,2491/full/0/default.jpg", "iiif_url")</f>
        <v/>
      </c>
      <c r="S273" t="s">
        <v>29</v>
      </c>
      <c r="T273" t="s">
        <v>1190</v>
      </c>
      <c r="U273">
        <f>HYPERLINK("https://images.diginfra.net/framed3.html?imagesetuuid=507d79a4-2a42-4e84-afa5-a9ccb1e544fe&amp;uri=https://images.diginfra.net/iiif/NL-HaNA_1.01.02/3792/NL-HaNA_1.01.02_3792_0282.jpg", "prev_meeting_viewer_url")</f>
        <v/>
      </c>
      <c r="V273">
        <f>HYPERLINK("https://images.diginfra.net/iiif/NL-HaNA_1.01.02/3792/NL-HaNA_1.01.02_3792_0282.jpg/2475,1385,1098,2036/full/0/default.jpg", "prev_meeting_iiif_url")</f>
        <v/>
      </c>
      <c r="W273" t="s">
        <v>29</v>
      </c>
      <c r="X273" t="s">
        <v>1191</v>
      </c>
      <c r="Y273">
        <f>HYPERLINK("https://images.diginfra.net/framed3.html?imagesetuuid=507d79a4-2a42-4e84-afa5-a9ccb1e544fe&amp;uri=https://images.diginfra.net/iiif/NL-HaNA_1.01.02/3792/NL-HaNA_1.01.02_3792_0283.jpg", "next_meeting_viewer_url")</f>
        <v/>
      </c>
      <c r="Z273">
        <f>HYPERLINK("https://images.diginfra.net/iiif/NL-HaNA_1.01.02/3792/NL-HaNA_1.01.02_3792_0283.jpg/2541,2900,1030,559/full/0/default.jpg", "next_meeting_iiif_url")</f>
        <v/>
      </c>
    </row>
    <row r="274" spans="1:26">
      <c r="A274" t="s">
        <v>1192</v>
      </c>
      <c r="B274" t="s">
        <v>63</v>
      </c>
      <c r="C274" t="s">
        <v>888</v>
      </c>
      <c r="D274" t="b">
        <v>1</v>
      </c>
      <c r="E274" t="b">
        <v>1</v>
      </c>
      <c r="I274" t="s">
        <v>1193</v>
      </c>
      <c r="J274" t="n">
        <v>3806</v>
      </c>
      <c r="K274" t="n">
        <v>106</v>
      </c>
      <c r="L274" t="n">
        <v>211</v>
      </c>
      <c r="M274" t="n">
        <v>1</v>
      </c>
      <c r="N274" t="n">
        <v>2</v>
      </c>
      <c r="O274" t="n">
        <v>0</v>
      </c>
      <c r="P274" t="s">
        <v>29</v>
      </c>
      <c r="Q274">
        <f>HYPERLINK("https://images.diginfra.net/framed3.html?imagesetuuid=0c00a1f2-d59c-4408-905f-fe388b02204f&amp;uri=https://images.diginfra.net/iiif/NL-HaNA_1.01.02/3806/NL-HaNA_1.01.02_3806_0106.jpg", "viewer_url")</f>
        <v/>
      </c>
      <c r="R274">
        <f>HYPERLINK("https://images.diginfra.net/iiif/NL-HaNA_1.01.02/3806/NL-HaNA_1.01.02_3806_0106.jpg/3474,2788,1036,646/full/0/default.jpg", "iiif_url")</f>
        <v/>
      </c>
      <c r="S274" t="s">
        <v>29</v>
      </c>
      <c r="T274" t="s">
        <v>1194</v>
      </c>
      <c r="U274">
        <f>HYPERLINK("https://images.diginfra.net/framed3.html?imagesetuuid=0c00a1f2-d59c-4408-905f-fe388b02204f&amp;uri=https://images.diginfra.net/iiif/NL-HaNA_1.01.02/3806/NL-HaNA_1.01.02_3806_0106.jpg", "prev_meeting_viewer_url")</f>
        <v/>
      </c>
      <c r="V274">
        <f>HYPERLINK("https://images.diginfra.net/iiif/NL-HaNA_1.01.02/3806/NL-HaNA_1.01.02_3806_0106.jpg/2468,802,1099,2630/full/0/default.jpg", "prev_meeting_iiif_url")</f>
        <v/>
      </c>
      <c r="W274" t="s">
        <v>29</v>
      </c>
      <c r="X274" t="s">
        <v>1195</v>
      </c>
      <c r="Y274">
        <f>HYPERLINK("https://images.diginfra.net/framed3.html?imagesetuuid=0c00a1f2-d59c-4408-905f-fe388b02204f&amp;uri=https://images.diginfra.net/iiif/NL-HaNA_1.01.02/3806/NL-HaNA_1.01.02_3806_0107.jpg", "next_meeting_viewer_url")</f>
        <v/>
      </c>
      <c r="Z274">
        <f>HYPERLINK("https://images.diginfra.net/iiif/NL-HaNA_1.01.02/3806/NL-HaNA_1.01.02_3806_0107.jpg/3443,1122,1099,2295/full/0/default.jpg", "next_meeting_iiif_url")</f>
        <v/>
      </c>
    </row>
    <row r="275" spans="1:26">
      <c r="A275" t="s">
        <v>1196</v>
      </c>
      <c r="B275" t="s">
        <v>37</v>
      </c>
      <c r="C275" t="s">
        <v>1197</v>
      </c>
      <c r="D275" t="b">
        <v>1</v>
      </c>
      <c r="E275" t="b">
        <v>1</v>
      </c>
      <c r="I275" t="s">
        <v>1198</v>
      </c>
      <c r="J275" t="n">
        <v>3841</v>
      </c>
      <c r="K275" t="n">
        <v>254</v>
      </c>
      <c r="L275" t="n">
        <v>507</v>
      </c>
      <c r="M275" t="n">
        <v>0</v>
      </c>
      <c r="N275" t="n">
        <v>0</v>
      </c>
      <c r="O275" t="n">
        <v>0</v>
      </c>
      <c r="P275" t="s">
        <v>29</v>
      </c>
      <c r="Q275">
        <f>HYPERLINK("https://images.diginfra.net/framed3.html?imagesetuuid=47881e95-07b9-4c17-8cf4-b55a034c8db2&amp;uri=https://images.diginfra.net/iiif/NL-HaNA_1.01.02/3841/NL-HaNA_1.01.02_3841_0254.jpg", "viewer_url")</f>
        <v/>
      </c>
      <c r="R275">
        <f>HYPERLINK("https://images.diginfra.net/iiif/NL-HaNA_1.01.02/3841/NL-HaNA_1.01.02_3841_0254.jpg/2304,1804,1063,1673/full/0/default.jpg", "iiif_url")</f>
        <v/>
      </c>
      <c r="S275" t="s">
        <v>29</v>
      </c>
      <c r="T275" t="s">
        <v>1199</v>
      </c>
      <c r="U275">
        <f>HYPERLINK("https://images.diginfra.net/framed3.html?imagesetuuid=47881e95-07b9-4c17-8cf4-b55a034c8db2&amp;uri=https://images.diginfra.net/iiif/NL-HaNA_1.01.02/3841/NL-HaNA_1.01.02_3841_0251.jpg", "prev_meeting_viewer_url")</f>
        <v/>
      </c>
      <c r="V275">
        <f>HYPERLINK("https://images.diginfra.net/iiif/NL-HaNA_1.01.02/3841/NL-HaNA_1.01.02_3841_0251.jpg/233,1309,1072,2113/full/0/default.jpg", "prev_meeting_iiif_url")</f>
        <v/>
      </c>
      <c r="W275" t="s">
        <v>29</v>
      </c>
      <c r="X275" t="s">
        <v>648</v>
      </c>
      <c r="Y275">
        <f>HYPERLINK("https://images.diginfra.net/framed3.html?imagesetuuid=47881e95-07b9-4c17-8cf4-b55a034c8db2&amp;uri=https://images.diginfra.net/iiif/NL-HaNA_1.01.02/3841/NL-HaNA_1.01.02_3841_0257.jpg", "next_meeting_viewer_url")</f>
        <v/>
      </c>
      <c r="Z275">
        <f>HYPERLINK("https://images.diginfra.net/iiif/NL-HaNA_1.01.02/3841/NL-HaNA_1.01.02_3841_0257.jpg/2447,3031,861,320/full/0/default.jpg", "next_meeting_iiif_url")</f>
        <v/>
      </c>
    </row>
    <row r="276" spans="1:26">
      <c r="A276" t="s">
        <v>1200</v>
      </c>
      <c r="B276" t="s">
        <v>48</v>
      </c>
      <c r="D276" t="b">
        <v>0</v>
      </c>
      <c r="E276" t="b">
        <v>0</v>
      </c>
      <c r="I276" t="s">
        <v>1201</v>
      </c>
      <c r="J276" t="n">
        <v>3783</v>
      </c>
      <c r="K276" t="n">
        <v>433</v>
      </c>
      <c r="L276" t="n">
        <v>864</v>
      </c>
      <c r="M276" t="n">
        <v>0</v>
      </c>
      <c r="N276" t="n">
        <v>4</v>
      </c>
      <c r="O276" t="n">
        <v>0</v>
      </c>
      <c r="P276" t="s">
        <v>29</v>
      </c>
      <c r="Q276">
        <f>HYPERLINK("https://images.diginfra.net/framed3.html?imagesetuuid=67533019-4ca0-4b08-b87e-fd5590e7a077&amp;uri=https://images.diginfra.net/iiif/NL-HaNA_1.01.02/3783/NL-HaNA_1.01.02_3783_0433.jpg", "viewer_url")</f>
        <v/>
      </c>
      <c r="R276">
        <f>HYPERLINK("https://images.diginfra.net/iiif/NL-HaNA_1.01.02/3783/NL-HaNA_1.01.02_3783_0433.jpg/281,1987,1099,1384/full/0/default.jpg", "iiif_url")</f>
        <v/>
      </c>
      <c r="S276" t="s">
        <v>29</v>
      </c>
      <c r="T276" t="s">
        <v>1202</v>
      </c>
      <c r="U276">
        <f>HYPERLINK("https://images.diginfra.net/framed3.html?imagesetuuid=67533019-4ca0-4b08-b87e-fd5590e7a077&amp;uri=https://images.diginfra.net/iiif/NL-HaNA_1.01.02/3783/NL-HaNA_1.01.02_3783_0431.jpg", "prev_meeting_viewer_url")</f>
        <v/>
      </c>
      <c r="V276">
        <f>HYPERLINK("https://images.diginfra.net/iiif/NL-HaNA_1.01.02/3783/NL-HaNA_1.01.02_3783_0431.jpg/3273,2635,1035,810/full/0/default.jpg", "prev_meeting_iiif_url")</f>
        <v/>
      </c>
      <c r="W276" t="s">
        <v>29</v>
      </c>
      <c r="X276" t="s">
        <v>1203</v>
      </c>
      <c r="Y276">
        <f>HYPERLINK("https://images.diginfra.net/framed3.html?imagesetuuid=67533019-4ca0-4b08-b87e-fd5590e7a077&amp;uri=https://images.diginfra.net/iiif/NL-HaNA_1.01.02/3783/NL-HaNA_1.01.02_3783_0433.jpg", "next_meeting_viewer_url")</f>
        <v/>
      </c>
      <c r="Z276">
        <f>HYPERLINK("https://images.diginfra.net/iiif/NL-HaNA_1.01.02/3783/NL-HaNA_1.01.02_3783_0433.jpg/281,1987,1099,1384/full/0/default.jpg", "next_meeting_iiif_url")</f>
        <v/>
      </c>
    </row>
    <row r="277" spans="1:26">
      <c r="A277" t="s">
        <v>1204</v>
      </c>
      <c r="B277" t="s">
        <v>27</v>
      </c>
      <c r="C277" t="s">
        <v>593</v>
      </c>
      <c r="D277" t="b">
        <v>1</v>
      </c>
      <c r="E277" t="b">
        <v>1</v>
      </c>
      <c r="I277" t="s">
        <v>1205</v>
      </c>
      <c r="J277" t="n">
        <v>3785</v>
      </c>
      <c r="K277" t="n">
        <v>408</v>
      </c>
      <c r="L277" t="n">
        <v>815</v>
      </c>
      <c r="M277" t="n">
        <v>0</v>
      </c>
      <c r="N277" t="n">
        <v>2</v>
      </c>
      <c r="O277" t="n">
        <v>0</v>
      </c>
      <c r="P277" t="s">
        <v>29</v>
      </c>
      <c r="Q277">
        <f>HYPERLINK("https://images.diginfra.net/framed3.html?imagesetuuid=88a314f7-936a-49fb-9ac3-0115764531f2&amp;uri=https://images.diginfra.net/iiif/NL-HaNA_1.01.02/3785/NL-HaNA_1.01.02_3785_0408.jpg", "viewer_url")</f>
        <v/>
      </c>
      <c r="R277">
        <f>HYPERLINK("https://images.diginfra.net/iiif/NL-HaNA_1.01.02/3785/NL-HaNA_1.01.02_3785_0408.jpg/2494,2606,1032,793/full/0/default.jpg", "iiif_url")</f>
        <v/>
      </c>
      <c r="S277" t="s">
        <v>29</v>
      </c>
      <c r="T277" t="s">
        <v>590</v>
      </c>
      <c r="U277">
        <f>HYPERLINK("https://images.diginfra.net/framed3.html?imagesetuuid=88a314f7-936a-49fb-9ac3-0115764531f2&amp;uri=https://images.diginfra.net/iiif/NL-HaNA_1.01.02/3785/NL-HaNA_1.01.02_3785_0407.jpg", "prev_meeting_viewer_url")</f>
        <v/>
      </c>
      <c r="V277">
        <f>HYPERLINK("https://images.diginfra.net/iiif/NL-HaNA_1.01.02/3785/NL-HaNA_1.01.02_3785_0407.jpg/3358,1412,1089,2004/full/0/default.jpg", "prev_meeting_iiif_url")</f>
        <v/>
      </c>
      <c r="W277" t="s">
        <v>29</v>
      </c>
      <c r="X277" t="s">
        <v>1206</v>
      </c>
      <c r="Y277">
        <f>HYPERLINK("https://images.diginfra.net/framed3.html?imagesetuuid=88a314f7-936a-49fb-9ac3-0115764531f2&amp;uri=https://images.diginfra.net/iiif/NL-HaNA_1.01.02/3785/NL-HaNA_1.01.02_3785_0409.jpg", "next_meeting_viewer_url")</f>
        <v/>
      </c>
      <c r="Z277">
        <f>HYPERLINK("https://images.diginfra.net/iiif/NL-HaNA_1.01.02/3785/NL-HaNA_1.01.02_3785_0409.jpg/1109,1456,1116,1999/full/0/default.jpg", "next_meeting_iiif_url")</f>
        <v/>
      </c>
    </row>
    <row r="278" spans="1:26">
      <c r="A278" t="s">
        <v>1207</v>
      </c>
      <c r="B278" t="s">
        <v>42</v>
      </c>
      <c r="C278" t="s">
        <v>1208</v>
      </c>
      <c r="D278" t="b">
        <v>1</v>
      </c>
      <c r="E278" t="b">
        <v>1</v>
      </c>
      <c r="I278" t="s">
        <v>1209</v>
      </c>
      <c r="J278" t="n">
        <v>3786</v>
      </c>
      <c r="K278" t="n">
        <v>139</v>
      </c>
      <c r="L278" t="n">
        <v>276</v>
      </c>
      <c r="M278" t="n">
        <v>0</v>
      </c>
      <c r="N278" t="n">
        <v>2</v>
      </c>
      <c r="O278" t="n">
        <v>0</v>
      </c>
      <c r="P278" t="s">
        <v>29</v>
      </c>
      <c r="Q278">
        <f>HYPERLINK("https://images.diginfra.net/framed3.html?imagesetuuid=508661ee-474e-44be-a74a-8aac34348aeb&amp;uri=https://images.diginfra.net/iiif/NL-HaNA_1.01.02/3786/NL-HaNA_1.01.02_3786_0139.jpg", "viewer_url")</f>
        <v/>
      </c>
      <c r="R278">
        <f>HYPERLINK("https://images.diginfra.net/iiif/NL-HaNA_1.01.02/3786/NL-HaNA_1.01.02_3786_0139.jpg/247,1062,1118,2332/full/0/default.jpg", "iiif_url")</f>
        <v/>
      </c>
      <c r="S278" t="s">
        <v>29</v>
      </c>
      <c r="T278" t="s">
        <v>1210</v>
      </c>
      <c r="U278">
        <f>HYPERLINK("https://images.diginfra.net/framed3.html?imagesetuuid=508661ee-474e-44be-a74a-8aac34348aeb&amp;uri=https://images.diginfra.net/iiif/NL-HaNA_1.01.02/3786/NL-HaNA_1.01.02_3786_0137.jpg", "prev_meeting_viewer_url")</f>
        <v/>
      </c>
      <c r="V278">
        <f>HYPERLINK("https://images.diginfra.net/iiif/NL-HaNA_1.01.02/3786/NL-HaNA_1.01.02_3786_0137.jpg/3291,2326,1033,1068/full/0/default.jpg", "prev_meeting_iiif_url")</f>
        <v/>
      </c>
      <c r="W278" t="s">
        <v>29</v>
      </c>
      <c r="X278" t="s">
        <v>1211</v>
      </c>
      <c r="Y278">
        <f>HYPERLINK("https://images.diginfra.net/framed3.html?imagesetuuid=508661ee-474e-44be-a74a-8aac34348aeb&amp;uri=https://images.diginfra.net/iiif/NL-HaNA_1.01.02/3786/NL-HaNA_1.01.02_3786_0141.jpg", "next_meeting_viewer_url")</f>
        <v/>
      </c>
      <c r="Z278">
        <f>HYPERLINK("https://images.diginfra.net/iiif/NL-HaNA_1.01.02/3786/NL-HaNA_1.01.02_3786_0141.jpg/2354,2626,1025,707/full/0/default.jpg", "next_meeting_iiif_url")</f>
        <v/>
      </c>
    </row>
    <row r="279" spans="1:26">
      <c r="A279" t="s">
        <v>1212</v>
      </c>
      <c r="B279" t="s">
        <v>48</v>
      </c>
      <c r="D279" t="b">
        <v>0</v>
      </c>
      <c r="E279" t="b">
        <v>0</v>
      </c>
      <c r="Q279">
        <f>HYPERLINK("None", "viewer_url")</f>
        <v/>
      </c>
      <c r="R279">
        <f>HYPERLINK("None", "iiif_url")</f>
        <v/>
      </c>
      <c r="S279" t="s">
        <v>33</v>
      </c>
      <c r="T279" t="s">
        <v>1213</v>
      </c>
      <c r="U279">
        <f>HYPERLINK("https://images.diginfra.net/framed3.html?imagesetuuid=0d0ede5e-a7f6-4a03-b996-493e50528c24&amp;uri=https://images.diginfra.net/iiif/NL-HaNA_1.01.02/3773/NL-HaNA_1.01.02_3773_0283.jpg", "prev_meeting_viewer_url")</f>
        <v/>
      </c>
      <c r="V279">
        <f>HYPERLINK("https://images.diginfra.net/iiif/NL-HaNA_1.01.02/3773/NL-HaNA_1.01.02_3773_0283.jpg/2447,2270,1042,1060/full/0/default.jpg", "prev_meeting_iiif_url")</f>
        <v/>
      </c>
    </row>
    <row r="280" spans="1:26">
      <c r="A280" t="s">
        <v>1214</v>
      </c>
      <c r="B280" t="s">
        <v>42</v>
      </c>
      <c r="C280" t="s">
        <v>1215</v>
      </c>
      <c r="D280" t="b">
        <v>1</v>
      </c>
      <c r="E280" t="b">
        <v>1</v>
      </c>
      <c r="I280" t="s">
        <v>1216</v>
      </c>
      <c r="J280" t="n">
        <v>3834</v>
      </c>
      <c r="K280" t="n">
        <v>572</v>
      </c>
      <c r="L280" t="n">
        <v>1143</v>
      </c>
      <c r="M280" t="n">
        <v>0</v>
      </c>
      <c r="N280" t="n">
        <v>1</v>
      </c>
      <c r="O280" t="n">
        <v>0</v>
      </c>
      <c r="P280" t="s">
        <v>29</v>
      </c>
      <c r="Q280">
        <f>HYPERLINK("https://images.diginfra.net/framed3.html?imagesetuuid=bf11cd8e-e3f4-444c-9caa-dcdfd20137d7&amp;uri=https://images.diginfra.net/iiif/NL-HaNA_1.01.02/3834/NL-HaNA_1.01.02_3834_0572.jpg", "viewer_url")</f>
        <v/>
      </c>
      <c r="R280">
        <f>HYPERLINK("https://images.diginfra.net/iiif/NL-HaNA_1.01.02/3834/NL-HaNA_1.01.02_3834_0572.jpg/2420,1527,1091,1832/full/0/default.jpg", "iiif_url")</f>
        <v/>
      </c>
      <c r="S280" t="s">
        <v>29</v>
      </c>
      <c r="T280" t="s">
        <v>1217</v>
      </c>
      <c r="U280">
        <f>HYPERLINK("https://images.diginfra.net/framed3.html?imagesetuuid=bf11cd8e-e3f4-444c-9caa-dcdfd20137d7&amp;uri=https://images.diginfra.net/iiif/NL-HaNA_1.01.02/3834/NL-HaNA_1.01.02_3834_0569.jpg", "prev_meeting_viewer_url")</f>
        <v/>
      </c>
      <c r="V280">
        <f>HYPERLINK("https://images.diginfra.net/iiif/NL-HaNA_1.01.02/3834/NL-HaNA_1.01.02_3834_0569.jpg/3315,1139,1095,2127/full/0/default.jpg", "prev_meeting_iiif_url")</f>
        <v/>
      </c>
      <c r="W280" t="s">
        <v>29</v>
      </c>
      <c r="X280" t="s">
        <v>1218</v>
      </c>
      <c r="Y280">
        <f>HYPERLINK("https://images.diginfra.net/framed3.html?imagesetuuid=bf11cd8e-e3f4-444c-9caa-dcdfd20137d7&amp;uri=https://images.diginfra.net/iiif/NL-HaNA_1.01.02/3834/NL-HaNA_1.01.02_3834_0573.jpg", "next_meeting_viewer_url")</f>
        <v/>
      </c>
      <c r="Z280">
        <f>HYPERLINK("https://images.diginfra.net/iiif/NL-HaNA_1.01.02/3834/NL-HaNA_1.01.02_3834_0573.jpg/2365,260,1084,3095/full/0/default.jpg", "next_meeting_iiif_url")</f>
        <v/>
      </c>
    </row>
    <row r="281" spans="1:26">
      <c r="A281" t="s">
        <v>1219</v>
      </c>
      <c r="B281" t="s">
        <v>27</v>
      </c>
      <c r="D281" t="b">
        <v>0</v>
      </c>
      <c r="E281" t="b">
        <v>0</v>
      </c>
      <c r="Q281">
        <f>HYPERLINK("None", "viewer_url")</f>
        <v/>
      </c>
      <c r="R281">
        <f>HYPERLINK("None", "iiif_url")</f>
        <v/>
      </c>
      <c r="S281" t="s">
        <v>33</v>
      </c>
      <c r="T281" t="s">
        <v>1220</v>
      </c>
      <c r="U281">
        <f>HYPERLINK("https://images.diginfra.net/framed3.html?imagesetuuid=3b3d915a-84ba-4c76-9942-747a007cc965&amp;uri=https://images.diginfra.net/iiif/NL-HaNA_1.01.02/3852/NL-HaNA_1.01.02_3852_0484.jpg", "prev_meeting_viewer_url")</f>
        <v/>
      </c>
      <c r="V281">
        <f>HYPERLINK("https://images.diginfra.net/iiif/NL-HaNA_1.01.02/3852/NL-HaNA_1.01.02_3852_0484.jpg/331,1113,1071,2291/full/0/default.jpg", "prev_meeting_iiif_url")</f>
        <v/>
      </c>
    </row>
    <row r="282" spans="1:26">
      <c r="A282" t="s">
        <v>1221</v>
      </c>
      <c r="B282" t="s">
        <v>63</v>
      </c>
      <c r="C282" t="s">
        <v>1222</v>
      </c>
      <c r="D282" t="b">
        <v>1</v>
      </c>
      <c r="E282" t="b">
        <v>1</v>
      </c>
      <c r="I282" t="s">
        <v>1223</v>
      </c>
      <c r="J282" t="n">
        <v>3797</v>
      </c>
      <c r="K282" t="n">
        <v>431</v>
      </c>
      <c r="L282" t="n">
        <v>861</v>
      </c>
      <c r="M282" t="n">
        <v>1</v>
      </c>
      <c r="N282" t="n">
        <v>2</v>
      </c>
      <c r="O282" t="n">
        <v>0</v>
      </c>
      <c r="P282" t="s">
        <v>29</v>
      </c>
      <c r="Q282">
        <f>HYPERLINK("https://images.diginfra.net/framed3.html?imagesetuuid=02516f87-475f-4001-a332-8d96f5aecb93&amp;uri=https://images.diginfra.net/iiif/NL-HaNA_1.01.02/3797/NL-HaNA_1.01.02_3797_0431.jpg", "viewer_url")</f>
        <v/>
      </c>
      <c r="R282">
        <f>HYPERLINK("https://images.diginfra.net/iiif/NL-HaNA_1.01.02/3797/NL-HaNA_1.01.02_3797_0431.jpg/3436,2145,1067,1195/full/0/default.jpg", "iiif_url")</f>
        <v/>
      </c>
      <c r="S282" t="s">
        <v>29</v>
      </c>
      <c r="T282" t="s">
        <v>1224</v>
      </c>
      <c r="U282">
        <f>HYPERLINK("https://images.diginfra.net/framed3.html?imagesetuuid=02516f87-475f-4001-a332-8d96f5aecb93&amp;uri=https://images.diginfra.net/iiif/NL-HaNA_1.01.02/3797/NL-HaNA_1.01.02_3797_0431.jpg", "prev_meeting_viewer_url")</f>
        <v/>
      </c>
      <c r="V282">
        <f>HYPERLINK("https://images.diginfra.net/iiif/NL-HaNA_1.01.02/3797/NL-HaNA_1.01.02_3797_0431.jpg/382,1362,1087,1974/full/0/default.jpg", "prev_meeting_iiif_url")</f>
        <v/>
      </c>
      <c r="W282" t="s">
        <v>29</v>
      </c>
      <c r="Y282">
        <f>HYPERLINK("https://images.diginfra.net/framed3.html?imagesetuuid=02516f87-475f-4001-a332-8d96f5aecb93&amp;uri=https://images.diginfra.net/iiif/NL-HaNA_1.01.02/3797/NL-HaNA_1.01.02_3797_0432.jpg", "next_meeting_viewer_url")</f>
        <v/>
      </c>
      <c r="Z282">
        <f>HYPERLINK("https://images.diginfra.net/iiif/NL-HaNA_1.01.02/3797/NL-HaNA_1.01.02_3797_0432.jpg/1298,315,1108,3041/full/0/default.jpg", "next_meeting_iiif_url")</f>
        <v/>
      </c>
    </row>
    <row r="283" spans="1:26">
      <c r="A283" t="s">
        <v>1225</v>
      </c>
      <c r="B283" t="s">
        <v>37</v>
      </c>
      <c r="C283" t="s">
        <v>1226</v>
      </c>
      <c r="D283" t="b">
        <v>1</v>
      </c>
      <c r="E283" t="b">
        <v>1</v>
      </c>
      <c r="I283" t="s">
        <v>1227</v>
      </c>
      <c r="J283" t="n">
        <v>3761</v>
      </c>
      <c r="K283" t="n">
        <v>82</v>
      </c>
      <c r="L283" t="n">
        <v>163</v>
      </c>
      <c r="M283" t="n">
        <v>0</v>
      </c>
      <c r="N283" t="n">
        <v>1</v>
      </c>
      <c r="O283" t="n">
        <v>0</v>
      </c>
      <c r="P283" t="s">
        <v>29</v>
      </c>
      <c r="Q283">
        <f>HYPERLINK("https://images.diginfra.net/framed3.html?imagesetuuid=e6c3b32f-6683-4b16-9444-37e515e232e1&amp;uri=https://images.diginfra.net/iiif/NL-HaNA_1.01.02/3761/NL-HaNA_1.01.02_3761_0082.jpg", "viewer_url")</f>
        <v/>
      </c>
      <c r="R283">
        <f>HYPERLINK("https://images.diginfra.net/iiif/NL-HaNA_1.01.02/3761/NL-HaNA_1.01.02_3761_0082.jpg/2403,1749,1099,1723/full/0/default.jpg", "iiif_url")</f>
        <v/>
      </c>
      <c r="S283" t="s">
        <v>29</v>
      </c>
      <c r="U283">
        <f>HYPERLINK("https://images.diginfra.net/framed3.html?imagesetuuid=e6c3b32f-6683-4b16-9444-37e515e232e1&amp;uri=https://images.diginfra.net/iiif/NL-HaNA_1.01.02/3761/NL-HaNA_1.01.02_3761_0081.jpg", "prev_meeting_viewer_url")</f>
        <v/>
      </c>
      <c r="V283">
        <f>HYPERLINK("https://images.diginfra.net/iiif/NL-HaNA_1.01.02/3761/NL-HaNA_1.01.02_3761_0081.jpg/2375,408,1102,3033/full/0/default.jpg", "prev_meeting_iiif_url")</f>
        <v/>
      </c>
      <c r="W283" t="s">
        <v>29</v>
      </c>
      <c r="X283" t="s">
        <v>1228</v>
      </c>
      <c r="Y283">
        <f>HYPERLINK("https://images.diginfra.net/framed3.html?imagesetuuid=e6c3b32f-6683-4b16-9444-37e515e232e1&amp;uri=https://images.diginfra.net/iiif/NL-HaNA_1.01.02/3761/NL-HaNA_1.01.02_3761_0084.jpg", "next_meeting_viewer_url")</f>
        <v/>
      </c>
      <c r="Z283">
        <f>HYPERLINK("https://images.diginfra.net/iiif/NL-HaNA_1.01.02/3761/NL-HaNA_1.01.02_3761_0084.jpg/301,669,1119,2796/full/0/default.jpg", "next_meeting_iiif_url")</f>
        <v/>
      </c>
    </row>
    <row r="284" spans="1:26">
      <c r="A284" t="s">
        <v>1229</v>
      </c>
      <c r="B284" t="s">
        <v>53</v>
      </c>
      <c r="C284" t="s">
        <v>1230</v>
      </c>
      <c r="D284" t="b">
        <v>1</v>
      </c>
      <c r="E284" t="b">
        <v>1</v>
      </c>
      <c r="I284" t="s">
        <v>1231</v>
      </c>
      <c r="J284" t="n">
        <v>3770</v>
      </c>
      <c r="K284" t="n">
        <v>103</v>
      </c>
      <c r="L284" t="n">
        <v>205</v>
      </c>
      <c r="M284" t="n">
        <v>0</v>
      </c>
      <c r="N284" t="n">
        <v>1</v>
      </c>
      <c r="O284" t="n">
        <v>0</v>
      </c>
      <c r="P284" t="s">
        <v>29</v>
      </c>
      <c r="Q284">
        <f>HYPERLINK("https://images.diginfra.net/framed3.html?imagesetuuid=ee423b29-ca44-4ac9-bc3a-01422a0a6240&amp;uri=https://images.diginfra.net/iiif/NL-HaNA_1.01.02/3770/NL-HaNA_1.01.02_3770_0103.jpg", "viewer_url")</f>
        <v/>
      </c>
      <c r="R284">
        <f>HYPERLINK("https://images.diginfra.net/iiif/NL-HaNA_1.01.02/3770/NL-HaNA_1.01.02_3770_0103.jpg/2390,721,1101,2669/full/0/default.jpg", "iiif_url")</f>
        <v/>
      </c>
      <c r="S284" t="s">
        <v>29</v>
      </c>
      <c r="T284" t="s">
        <v>1232</v>
      </c>
      <c r="U284">
        <f>HYPERLINK("https://images.diginfra.net/framed3.html?imagesetuuid=ee423b29-ca44-4ac9-bc3a-01422a0a6240&amp;uri=https://images.diginfra.net/iiif/NL-HaNA_1.01.02/3770/NL-HaNA_1.01.02_3770_0102.jpg", "prev_meeting_viewer_url")</f>
        <v/>
      </c>
      <c r="V284">
        <f>HYPERLINK("https://images.diginfra.net/iiif/NL-HaNA_1.01.02/3770/NL-HaNA_1.01.02_3770_0102.jpg/327,1176,1095,2247/full/0/default.jpg", "prev_meeting_iiif_url")</f>
        <v/>
      </c>
      <c r="W284" t="s">
        <v>29</v>
      </c>
      <c r="X284" t="s">
        <v>1233</v>
      </c>
      <c r="Y284">
        <f>HYPERLINK("https://images.diginfra.net/framed3.html?imagesetuuid=ee423b29-ca44-4ac9-bc3a-01422a0a6240&amp;uri=https://images.diginfra.net/iiif/NL-HaNA_1.01.02/3770/NL-HaNA_1.01.02_3770_0105.jpg", "next_meeting_viewer_url")</f>
        <v/>
      </c>
      <c r="Z284">
        <f>HYPERLINK("https://images.diginfra.net/iiif/NL-HaNA_1.01.02/3770/NL-HaNA_1.01.02_3770_0105.jpg/1275,830,1112,2592/full/0/default.jpg", "next_meeting_iiif_url")</f>
        <v/>
      </c>
    </row>
    <row r="285" spans="1:26">
      <c r="A285" t="s">
        <v>1234</v>
      </c>
      <c r="B285" t="s">
        <v>27</v>
      </c>
      <c r="C285" t="s">
        <v>1235</v>
      </c>
      <c r="D285" t="b">
        <v>1</v>
      </c>
      <c r="E285" t="b">
        <v>1</v>
      </c>
      <c r="I285" t="s">
        <v>1236</v>
      </c>
      <c r="J285" t="n">
        <v>3794</v>
      </c>
      <c r="K285" t="n">
        <v>276</v>
      </c>
      <c r="L285" t="n">
        <v>550</v>
      </c>
      <c r="M285" t="n">
        <v>1</v>
      </c>
      <c r="N285" t="n">
        <v>1</v>
      </c>
      <c r="O285" t="n">
        <v>0</v>
      </c>
      <c r="P285" t="s">
        <v>29</v>
      </c>
      <c r="Q285">
        <f>HYPERLINK("https://images.diginfra.net/framed3.html?imagesetuuid=5debb5c6-ae39-480e-845e-6e10690f8984&amp;uri=https://images.diginfra.net/iiif/NL-HaNA_1.01.02/3794/NL-HaNA_1.01.02_3794_0276.jpg", "viewer_url")</f>
        <v/>
      </c>
      <c r="R285">
        <f>HYPERLINK("https://images.diginfra.net/iiif/NL-HaNA_1.01.02/3794/NL-HaNA_1.01.02_3794_0276.jpg/1358,477,1115,2996/full/0/default.jpg", "iiif_url")</f>
        <v/>
      </c>
      <c r="S285" t="s">
        <v>29</v>
      </c>
      <c r="T285" t="s">
        <v>1237</v>
      </c>
      <c r="U285">
        <f>HYPERLINK("https://images.diginfra.net/framed3.html?imagesetuuid=5debb5c6-ae39-480e-845e-6e10690f8984&amp;uri=https://images.diginfra.net/iiif/NL-HaNA_1.01.02/3794/NL-HaNA_1.01.02_3794_0275.jpg", "prev_meeting_viewer_url")</f>
        <v/>
      </c>
      <c r="V285">
        <f>HYPERLINK("https://images.diginfra.net/iiif/NL-HaNA_1.01.02/3794/NL-HaNA_1.01.02_3794_0275.jpg/3427,1359,1105,2122/full/0/default.jpg", "prev_meeting_iiif_url")</f>
        <v/>
      </c>
      <c r="W285" t="s">
        <v>29</v>
      </c>
      <c r="X285" t="s">
        <v>1238</v>
      </c>
      <c r="Y285">
        <f>HYPERLINK("https://images.diginfra.net/framed3.html?imagesetuuid=5debb5c6-ae39-480e-845e-6e10690f8984&amp;uri=https://images.diginfra.net/iiif/NL-HaNA_1.01.02/3794/NL-HaNA_1.01.02_3794_0276.jpg", "next_meeting_viewer_url")</f>
        <v/>
      </c>
      <c r="Z285">
        <f>HYPERLINK("https://images.diginfra.net/iiif/NL-HaNA_1.01.02/3794/NL-HaNA_1.01.02_3794_0276.jpg/2511,816,1099,2614/full/0/default.jpg", "next_meeting_iiif_url")</f>
        <v/>
      </c>
    </row>
    <row r="286" spans="1:26">
      <c r="A286" t="s">
        <v>1239</v>
      </c>
      <c r="B286" t="s">
        <v>42</v>
      </c>
      <c r="C286" t="s">
        <v>1240</v>
      </c>
      <c r="D286" t="b">
        <v>1</v>
      </c>
      <c r="E286" t="b">
        <v>1</v>
      </c>
      <c r="I286" t="s">
        <v>1241</v>
      </c>
      <c r="J286" t="n">
        <v>3796</v>
      </c>
      <c r="K286" t="n">
        <v>388</v>
      </c>
      <c r="L286" t="n">
        <v>775</v>
      </c>
      <c r="M286" t="n">
        <v>1</v>
      </c>
      <c r="N286" t="n">
        <v>2</v>
      </c>
      <c r="O286" t="n">
        <v>0</v>
      </c>
      <c r="P286" t="s">
        <v>29</v>
      </c>
      <c r="Q286">
        <f>HYPERLINK("https://images.diginfra.net/framed3.html?imagesetuuid=ece8f80b-0549-4e73-82ff-af47ed8525ac&amp;uri=https://images.diginfra.net/iiif/NL-HaNA_1.01.02/3796/NL-HaNA_1.01.02_3796_0388.jpg", "viewer_url")</f>
        <v/>
      </c>
      <c r="R286">
        <f>HYPERLINK("https://images.diginfra.net/iiif/NL-HaNA_1.01.02/3796/NL-HaNA_1.01.02_3796_0388.jpg/3416,2080,1026,1302/full/0/default.jpg", "iiif_url")</f>
        <v/>
      </c>
      <c r="S286" t="s">
        <v>29</v>
      </c>
      <c r="T286" t="s">
        <v>1242</v>
      </c>
      <c r="U286">
        <f>HYPERLINK("https://images.diginfra.net/framed3.html?imagesetuuid=ece8f80b-0549-4e73-82ff-af47ed8525ac&amp;uri=https://images.diginfra.net/iiif/NL-HaNA_1.01.02/3796/NL-HaNA_1.01.02_3796_0387.jpg", "prev_meeting_viewer_url")</f>
        <v/>
      </c>
      <c r="V286">
        <f>HYPERLINK("https://images.diginfra.net/iiif/NL-HaNA_1.01.02/3796/NL-HaNA_1.01.02_3796_0387.jpg/2389,429,1088,2934/full/0/default.jpg", "prev_meeting_iiif_url")</f>
        <v/>
      </c>
      <c r="W286" t="s">
        <v>29</v>
      </c>
      <c r="X286" t="s">
        <v>1243</v>
      </c>
      <c r="Y286">
        <f>HYPERLINK("https://images.diginfra.net/framed3.html?imagesetuuid=ece8f80b-0549-4e73-82ff-af47ed8525ac&amp;uri=https://images.diginfra.net/iiif/NL-HaNA_1.01.02/3796/NL-HaNA_1.01.02_3796_0390.jpg", "next_meeting_viewer_url")</f>
        <v/>
      </c>
      <c r="Z286">
        <f>HYPERLINK("https://images.diginfra.net/iiif/NL-HaNA_1.01.02/3796/NL-HaNA_1.01.02_3796_0390.jpg/3341,1508,1085,1870/full/0/default.jpg", "next_meeting_iiif_url")</f>
        <v/>
      </c>
    </row>
    <row r="287" spans="1:26">
      <c r="A287" t="s">
        <v>1244</v>
      </c>
      <c r="B287" t="s">
        <v>53</v>
      </c>
      <c r="C287" t="s">
        <v>1245</v>
      </c>
      <c r="D287" t="b">
        <v>1</v>
      </c>
      <c r="E287" t="b">
        <v>1</v>
      </c>
      <c r="I287" t="s">
        <v>1246</v>
      </c>
      <c r="J287" t="n">
        <v>3764</v>
      </c>
      <c r="K287" t="n">
        <v>36</v>
      </c>
      <c r="L287" t="n">
        <v>70</v>
      </c>
      <c r="M287" t="n">
        <v>1</v>
      </c>
      <c r="N287" t="n">
        <v>1</v>
      </c>
      <c r="O287" t="n">
        <v>0</v>
      </c>
      <c r="P287" t="s">
        <v>29</v>
      </c>
      <c r="Q287">
        <f>HYPERLINK("https://images.diginfra.net/framed3.html?imagesetuuid=111590de-8f08-498e-8bad-f6a289f87065&amp;uri=https://images.diginfra.net/iiif/NL-HaNA_1.01.02/3764/NL-HaNA_1.01.02_3764_0036.jpg", "viewer_url")</f>
        <v/>
      </c>
      <c r="R287">
        <f>HYPERLINK("https://images.diginfra.net/iiif/NL-HaNA_1.01.02/3764/NL-HaNA_1.01.02_3764_0036.jpg/1380,2497,1050,796/full/0/default.jpg", "iiif_url")</f>
        <v/>
      </c>
      <c r="S287" t="s">
        <v>29</v>
      </c>
      <c r="T287" t="s">
        <v>1247</v>
      </c>
      <c r="U287">
        <f>HYPERLINK("https://images.diginfra.net/framed3.html?imagesetuuid=111590de-8f08-498e-8bad-f6a289f87065&amp;uri=https://images.diginfra.net/iiif/NL-HaNA_1.01.02/3764/NL-HaNA_1.01.02_3764_0034.jpg", "prev_meeting_viewer_url")</f>
        <v/>
      </c>
      <c r="V287">
        <f>HYPERLINK("https://images.diginfra.net/iiif/NL-HaNA_1.01.02/3764/NL-HaNA_1.01.02_3764_0034.jpg/2551,1313,1124,2049/full/0/default.jpg", "prev_meeting_iiif_url")</f>
        <v/>
      </c>
      <c r="W287" t="s">
        <v>29</v>
      </c>
      <c r="X287" t="s">
        <v>1248</v>
      </c>
      <c r="Y287">
        <f>HYPERLINK("https://images.diginfra.net/framed3.html?imagesetuuid=111590de-8f08-498e-8bad-f6a289f87065&amp;uri=https://images.diginfra.net/iiif/NL-HaNA_1.01.02/3764/NL-HaNA_1.01.02_3764_0038.jpg", "next_meeting_viewer_url")</f>
        <v/>
      </c>
      <c r="Z287">
        <f>HYPERLINK("https://images.diginfra.net/iiif/NL-HaNA_1.01.02/3764/NL-HaNA_1.01.02_3764_0038.jpg/1277,1441,1117,1969/full/0/default.jpg", "next_meeting_iiif_url")</f>
        <v/>
      </c>
    </row>
    <row r="288" spans="1:26">
      <c r="A288" t="s">
        <v>1249</v>
      </c>
      <c r="B288" t="s">
        <v>37</v>
      </c>
      <c r="C288" t="s">
        <v>1165</v>
      </c>
      <c r="D288" t="b">
        <v>1</v>
      </c>
      <c r="E288" t="b">
        <v>1</v>
      </c>
      <c r="I288" t="s">
        <v>1250</v>
      </c>
      <c r="J288" t="n">
        <v>3813</v>
      </c>
      <c r="K288" t="n">
        <v>356</v>
      </c>
      <c r="L288" t="n">
        <v>710</v>
      </c>
      <c r="M288" t="n">
        <v>1</v>
      </c>
      <c r="N288" t="n">
        <v>1</v>
      </c>
      <c r="O288" t="n">
        <v>16</v>
      </c>
      <c r="P288" t="s">
        <v>33</v>
      </c>
      <c r="Q288">
        <f>HYPERLINK("https://images.diginfra.net/framed3.html?imagesetuuid=19a3f39b-117a-4ab7-b45b-5e134b099649&amp;uri=https://images.diginfra.net/iiif/NL-HaNA_1.01.02/3813/NL-HaNA_1.01.02_3813_0356.jpg", "viewer_url")</f>
        <v/>
      </c>
      <c r="R288">
        <f>HYPERLINK("https://images.diginfra.net/iiif/NL-HaNA_1.01.02/3813/NL-HaNA_1.01.02_3813_0356.jpg/1338,2795,1046,546/full/0/default.jpg", "iiif_url")</f>
        <v/>
      </c>
      <c r="S288" t="s">
        <v>29</v>
      </c>
      <c r="T288" t="s">
        <v>1251</v>
      </c>
      <c r="U288">
        <f>HYPERLINK("https://images.diginfra.net/framed3.html?imagesetuuid=19a3f39b-117a-4ab7-b45b-5e134b099649&amp;uri=https://images.diginfra.net/iiif/NL-HaNA_1.01.02/3813/NL-HaNA_1.01.02_3813_0354.jpg", "prev_meeting_viewer_url")</f>
        <v/>
      </c>
      <c r="V288">
        <f>HYPERLINK("https://images.diginfra.net/iiif/NL-HaNA_1.01.02/3813/NL-HaNA_1.01.02_3813_0354.jpg/3470,2160,1054,1181/full/0/default.jpg", "prev_meeting_iiif_url")</f>
        <v/>
      </c>
    </row>
    <row r="289" spans="1:26">
      <c r="A289" t="s">
        <v>1252</v>
      </c>
      <c r="B289" t="s">
        <v>37</v>
      </c>
      <c r="C289" t="s">
        <v>1154</v>
      </c>
      <c r="D289" t="b">
        <v>1</v>
      </c>
      <c r="E289" t="b">
        <v>1</v>
      </c>
      <c r="I289" t="s">
        <v>1253</v>
      </c>
      <c r="J289" t="n">
        <v>3782</v>
      </c>
      <c r="K289" t="n">
        <v>482</v>
      </c>
      <c r="L289" t="n">
        <v>962</v>
      </c>
      <c r="M289" t="n">
        <v>0</v>
      </c>
      <c r="N289" t="n">
        <v>1</v>
      </c>
      <c r="O289" t="n">
        <v>0</v>
      </c>
      <c r="P289" t="s">
        <v>29</v>
      </c>
      <c r="Q289">
        <f>HYPERLINK("https://images.diginfra.net/framed3.html?imagesetuuid=6d3687da-fdc8-4a47-ac98-f85d45f74cb7&amp;uri=https://images.diginfra.net/iiif/NL-HaNA_1.01.02/3782/NL-HaNA_1.01.02_3782_0482.jpg", "viewer_url")</f>
        <v/>
      </c>
      <c r="R289">
        <f>HYPERLINK("https://images.diginfra.net/iiif/NL-HaNA_1.01.02/3782/NL-HaNA_1.01.02_3782_0482.jpg/265,1569,1094,1913/full/0/default.jpg", "iiif_url")</f>
        <v/>
      </c>
      <c r="W289" t="s">
        <v>29</v>
      </c>
      <c r="X289" t="s">
        <v>1254</v>
      </c>
      <c r="Y289">
        <f>HYPERLINK("https://images.diginfra.net/framed3.html?imagesetuuid=6d3687da-fdc8-4a47-ac98-f85d45f74cb7&amp;uri=https://images.diginfra.net/iiif/NL-HaNA_1.01.02/3782/NL-HaNA_1.01.02_3782_0484.jpg", "next_meeting_viewer_url")</f>
        <v/>
      </c>
      <c r="Z289">
        <f>HYPERLINK("https://images.diginfra.net/iiif/NL-HaNA_1.01.02/3782/NL-HaNA_1.01.02_3782_0484.jpg/277,341,1101,3117/full/0/default.jpg", "next_meeting_iiif_url")</f>
        <v/>
      </c>
    </row>
    <row r="290" spans="1:26">
      <c r="A290" t="s">
        <v>1255</v>
      </c>
      <c r="B290" t="s">
        <v>48</v>
      </c>
      <c r="D290" t="b">
        <v>0</v>
      </c>
      <c r="E290" t="b">
        <v>0</v>
      </c>
      <c r="I290" t="s">
        <v>1256</v>
      </c>
      <c r="J290" t="n">
        <v>3768</v>
      </c>
      <c r="K290" t="n">
        <v>73</v>
      </c>
      <c r="L290" t="n">
        <v>144</v>
      </c>
      <c r="M290" t="n">
        <v>1</v>
      </c>
      <c r="N290" t="n">
        <v>1</v>
      </c>
      <c r="O290" t="n">
        <v>0</v>
      </c>
      <c r="P290" t="s">
        <v>29</v>
      </c>
      <c r="Q290">
        <f>HYPERLINK("https://images.diginfra.net/framed3.html?imagesetuuid=1acf58b1-bf15-476d-be78-c088e43e81b9&amp;uri=https://images.diginfra.net/iiif/NL-HaNA_1.01.02/3768/NL-HaNA_1.01.02_3768_0073.jpg", "viewer_url")</f>
        <v/>
      </c>
      <c r="R290">
        <f>HYPERLINK("https://images.diginfra.net/iiif/NL-HaNA_1.01.02/3768/NL-HaNA_1.01.02_3768_0073.jpg/1172,1494,1102,1860/full/0/default.jpg", "iiif_url")</f>
        <v/>
      </c>
      <c r="S290" t="s">
        <v>29</v>
      </c>
      <c r="T290" t="s">
        <v>1257</v>
      </c>
      <c r="U290">
        <f>HYPERLINK("https://images.diginfra.net/framed3.html?imagesetuuid=1acf58b1-bf15-476d-be78-c088e43e81b9&amp;uri=https://images.diginfra.net/iiif/NL-HaNA_1.01.02/3768/NL-HaNA_1.01.02_3768_0072.jpg", "prev_meeting_viewer_url")</f>
        <v/>
      </c>
      <c r="V290">
        <f>HYPERLINK("https://images.diginfra.net/iiif/NL-HaNA_1.01.02/3768/NL-HaNA_1.01.02_3768_0072.jpg/400,2936,849,458/full/0/default.jpg", "prev_meeting_iiif_url")</f>
        <v/>
      </c>
      <c r="W290" t="s">
        <v>29</v>
      </c>
      <c r="X290" t="s">
        <v>1258</v>
      </c>
      <c r="Y290">
        <f>HYPERLINK("https://images.diginfra.net/framed3.html?imagesetuuid=1acf58b1-bf15-476d-be78-c088e43e81b9&amp;uri=https://images.diginfra.net/iiif/NL-HaNA_1.01.02/3768/NL-HaNA_1.01.02_3768_0073.jpg", "next_meeting_viewer_url")</f>
        <v/>
      </c>
      <c r="Z290">
        <f>HYPERLINK("https://images.diginfra.net/iiif/NL-HaNA_1.01.02/3768/NL-HaNA_1.01.02_3768_0073.jpg/1172,1494,1102,1860/full/0/default.jpg", "next_meeting_iiif_url")</f>
        <v/>
      </c>
    </row>
    <row r="291" spans="1:26">
      <c r="A291" t="s">
        <v>1259</v>
      </c>
      <c r="B291" t="s">
        <v>42</v>
      </c>
      <c r="C291" t="s">
        <v>1260</v>
      </c>
      <c r="D291" t="b">
        <v>1</v>
      </c>
      <c r="E291" t="b">
        <v>1</v>
      </c>
      <c r="I291" t="s">
        <v>1261</v>
      </c>
      <c r="J291" t="n">
        <v>3849</v>
      </c>
      <c r="K291" t="n">
        <v>58</v>
      </c>
      <c r="L291" t="n">
        <v>115</v>
      </c>
      <c r="M291" t="n">
        <v>0</v>
      </c>
      <c r="N291" t="n">
        <v>1</v>
      </c>
      <c r="O291" t="n">
        <v>19</v>
      </c>
      <c r="P291" t="s">
        <v>33</v>
      </c>
      <c r="Q291">
        <f>HYPERLINK("https://images.diginfra.net/framed3.html?imagesetuuid=7d69db40-de83-46fa-8e08-2a3f4300174e&amp;uri=https://images.diginfra.net/iiif/NL-HaNA_1.01.02/3849/NL-HaNA_1.01.02_3849_0058.jpg", "viewer_url")</f>
        <v/>
      </c>
      <c r="R291">
        <f>HYPERLINK("https://images.diginfra.net/iiif/NL-HaNA_1.01.02/3849/NL-HaNA_1.01.02_3849_0058.jpg/2380,1915,1088,1568/full/0/default.jpg", "iiif_url")</f>
        <v/>
      </c>
      <c r="S291" t="s">
        <v>29</v>
      </c>
      <c r="T291" t="s">
        <v>1262</v>
      </c>
      <c r="U291">
        <f>HYPERLINK("https://images.diginfra.net/framed3.html?imagesetuuid=7d69db40-de83-46fa-8e08-2a3f4300174e&amp;uri=https://images.diginfra.net/iiif/NL-HaNA_1.01.02/3849/NL-HaNA_1.01.02_3849_0055.jpg", "prev_meeting_viewer_url")</f>
        <v/>
      </c>
      <c r="V291">
        <f>HYPERLINK("https://images.diginfra.net/iiif/NL-HaNA_1.01.02/3849/NL-HaNA_1.01.02_3849_0055.jpg/1257,790,1084,2628/full/0/default.jpg", "prev_meeting_iiif_url")</f>
        <v/>
      </c>
    </row>
    <row r="292" spans="1:26">
      <c r="A292" t="s">
        <v>1263</v>
      </c>
      <c r="B292" t="s">
        <v>63</v>
      </c>
      <c r="C292" t="s">
        <v>1264</v>
      </c>
      <c r="D292" t="b">
        <v>1</v>
      </c>
      <c r="E292" t="b">
        <v>1</v>
      </c>
      <c r="I292" t="s">
        <v>1265</v>
      </c>
      <c r="J292" t="n">
        <v>3843</v>
      </c>
      <c r="K292" t="n">
        <v>156</v>
      </c>
      <c r="L292" t="n">
        <v>311</v>
      </c>
      <c r="M292" t="n">
        <v>0</v>
      </c>
      <c r="N292" t="n">
        <v>1</v>
      </c>
      <c r="O292" t="n">
        <v>30</v>
      </c>
      <c r="P292" t="s">
        <v>29</v>
      </c>
      <c r="Q292">
        <f>HYPERLINK("https://images.diginfra.net/framed3.html?imagesetuuid=a23b748e-13e4-4409-800c-fc316cd23dec&amp;uri=https://images.diginfra.net/iiif/NL-HaNA_1.01.02/3843/NL-HaNA_1.01.02_3843_0156.jpg", "viewer_url")</f>
        <v/>
      </c>
      <c r="R292">
        <f>HYPERLINK("https://images.diginfra.net/iiif/NL-HaNA_1.01.02/3843/NL-HaNA_1.01.02_3843_0156.jpg/2430,2675,1024,654/full/0/default.jpg", "iiif_url")</f>
        <v/>
      </c>
      <c r="S292" t="s">
        <v>29</v>
      </c>
      <c r="T292" t="s">
        <v>1266</v>
      </c>
      <c r="U292">
        <f>HYPERLINK("https://images.diginfra.net/framed3.html?imagesetuuid=a23b748e-13e4-4409-800c-fc316cd23dec&amp;uri=https://images.diginfra.net/iiif/NL-HaNA_1.01.02/3843/NL-HaNA_1.01.02_3843_0154.jpg", "prev_meeting_viewer_url")</f>
        <v/>
      </c>
      <c r="V292">
        <f>HYPERLINK("https://images.diginfra.net/iiif/NL-HaNA_1.01.02/3843/NL-HaNA_1.01.02_3843_0154.jpg/2392,1050,1073,2411/full/0/default.jpg", "prev_meeting_iiif_url")</f>
        <v/>
      </c>
      <c r="W292" t="s">
        <v>29</v>
      </c>
      <c r="X292" t="s">
        <v>1267</v>
      </c>
      <c r="Y292">
        <f>HYPERLINK("https://images.diginfra.net/framed3.html?imagesetuuid=a23b748e-13e4-4409-800c-fc316cd23dec&amp;uri=https://images.diginfra.net/iiif/NL-HaNA_1.01.02/3843/NL-HaNA_1.01.02_3843_0157.jpg", "next_meeting_viewer_url")</f>
        <v/>
      </c>
      <c r="Z292">
        <f>HYPERLINK("https://images.diginfra.net/iiif/NL-HaNA_1.01.02/3843/NL-HaNA_1.01.02_3843_0157.jpg/1190,981,1101,2452/full/0/default.jpg", "next_meeting_iiif_url")</f>
        <v/>
      </c>
    </row>
    <row r="293" spans="1:26">
      <c r="A293" t="s">
        <v>1268</v>
      </c>
      <c r="B293" t="s">
        <v>76</v>
      </c>
      <c r="C293" t="s">
        <v>1269</v>
      </c>
      <c r="D293" t="b">
        <v>1</v>
      </c>
      <c r="E293" t="b">
        <v>1</v>
      </c>
      <c r="I293" t="s">
        <v>1270</v>
      </c>
      <c r="J293" t="n">
        <v>3769</v>
      </c>
      <c r="K293" t="n">
        <v>308</v>
      </c>
      <c r="L293" t="n">
        <v>614</v>
      </c>
      <c r="M293" t="n">
        <v>0</v>
      </c>
      <c r="N293" t="n">
        <v>1</v>
      </c>
      <c r="O293" t="n">
        <v>0</v>
      </c>
      <c r="P293" t="s">
        <v>29</v>
      </c>
      <c r="Q293">
        <f>HYPERLINK("https://images.diginfra.net/framed3.html?imagesetuuid=bb249823-a699-4b97-863d-a74b3ce499f0&amp;uri=https://images.diginfra.net/iiif/NL-HaNA_1.01.02/3769/NL-HaNA_1.01.02_3769_0308.jpg", "viewer_url")</f>
        <v/>
      </c>
      <c r="R293">
        <f>HYPERLINK("https://images.diginfra.net/iiif/NL-HaNA_1.01.02/3769/NL-HaNA_1.01.02_3769_0308.jpg/275,695,1103,2761/full/0/default.jpg", "iiif_url")</f>
        <v/>
      </c>
      <c r="S293" t="s">
        <v>29</v>
      </c>
      <c r="T293" t="s">
        <v>1271</v>
      </c>
      <c r="U293">
        <f>HYPERLINK("https://images.diginfra.net/framed3.html?imagesetuuid=bb249823-a699-4b97-863d-a74b3ce499f0&amp;uri=https://images.diginfra.net/iiif/NL-HaNA_1.01.02/3769/NL-HaNA_1.01.02_3769_0307.jpg", "prev_meeting_viewer_url")</f>
        <v/>
      </c>
      <c r="V293">
        <f>HYPERLINK("https://images.diginfra.net/iiif/NL-HaNA_1.01.02/3769/NL-HaNA_1.01.02_3769_0307.jpg/250,2934,1002,468/full/0/default.jpg", "prev_meeting_iiif_url")</f>
        <v/>
      </c>
      <c r="W293" t="s">
        <v>29</v>
      </c>
      <c r="X293" t="s">
        <v>1272</v>
      </c>
      <c r="Y293">
        <f>HYPERLINK("https://images.diginfra.net/framed3.html?imagesetuuid=bb249823-a699-4b97-863d-a74b3ce499f0&amp;uri=https://images.diginfra.net/iiif/NL-HaNA_1.01.02/3769/NL-HaNA_1.01.02_3769_0310.jpg", "next_meeting_viewer_url")</f>
        <v/>
      </c>
      <c r="Z293">
        <f>HYPERLINK("https://images.diginfra.net/iiif/NL-HaNA_1.01.02/3769/NL-HaNA_1.01.02_3769_0310.jpg/3420,1125,1109,2274/full/0/default.jpg", "next_meeting_iiif_url")</f>
        <v/>
      </c>
    </row>
    <row r="294" spans="1:26">
      <c r="A294" t="s">
        <v>1273</v>
      </c>
      <c r="B294" t="s">
        <v>76</v>
      </c>
      <c r="C294" t="s">
        <v>1274</v>
      </c>
      <c r="D294" t="b">
        <v>1</v>
      </c>
      <c r="E294" t="b">
        <v>1</v>
      </c>
      <c r="I294" t="s">
        <v>1275</v>
      </c>
      <c r="J294" t="n">
        <v>3784</v>
      </c>
      <c r="K294" t="n">
        <v>339</v>
      </c>
      <c r="L294" t="n">
        <v>677</v>
      </c>
      <c r="M294" t="n">
        <v>0</v>
      </c>
      <c r="N294" t="n">
        <v>3</v>
      </c>
      <c r="O294" t="n">
        <v>0</v>
      </c>
      <c r="P294" t="s">
        <v>29</v>
      </c>
      <c r="Q294">
        <f>HYPERLINK("https://images.diginfra.net/framed3.html?imagesetuuid=cb2f6e2d-502d-41d8-a51c-455c64ed98c9&amp;uri=https://images.diginfra.net/iiif/NL-HaNA_1.01.02/3784/NL-HaNA_1.01.02_3784_0339.jpg", "viewer_url")</f>
        <v/>
      </c>
      <c r="R294">
        <f>HYPERLINK("https://images.diginfra.net/iiif/NL-HaNA_1.01.02/3784/NL-HaNA_1.01.02_3784_0339.jpg/2430,3093,852,321/full/0/default.jpg", "iiif_url")</f>
        <v/>
      </c>
      <c r="S294" t="s">
        <v>29</v>
      </c>
      <c r="T294" t="s">
        <v>1276</v>
      </c>
      <c r="U294">
        <f>HYPERLINK("https://images.diginfra.net/framed3.html?imagesetuuid=cb2f6e2d-502d-41d8-a51c-455c64ed98c9&amp;uri=https://images.diginfra.net/iiif/NL-HaNA_1.01.02/3784/NL-HaNA_1.01.02_3784_0339.jpg", "prev_meeting_viewer_url")</f>
        <v/>
      </c>
      <c r="V294">
        <f>HYPERLINK("https://images.diginfra.net/iiif/NL-HaNA_1.01.02/3784/NL-HaNA_1.01.02_3784_0339.jpg/217,339,1104,3103/full/0/default.jpg", "prev_meeting_iiif_url")</f>
        <v/>
      </c>
      <c r="W294" t="s">
        <v>29</v>
      </c>
      <c r="X294" t="s">
        <v>1277</v>
      </c>
      <c r="Y294">
        <f>HYPERLINK("https://images.diginfra.net/framed3.html?imagesetuuid=cb2f6e2d-502d-41d8-a51c-455c64ed98c9&amp;uri=https://images.diginfra.net/iiif/NL-HaNA_1.01.02/3784/NL-HaNA_1.01.02_3784_0343.jpg", "next_meeting_viewer_url")</f>
        <v/>
      </c>
      <c r="Z294">
        <f>HYPERLINK("https://images.diginfra.net/iiif/NL-HaNA_1.01.02/3784/NL-HaNA_1.01.02_3784_0343.jpg/316,2483,1022,888/full/0/default.jpg", "next_meeting_iiif_url")</f>
        <v/>
      </c>
    </row>
    <row r="295" spans="1:26">
      <c r="A295" t="s">
        <v>1278</v>
      </c>
      <c r="B295" t="s">
        <v>42</v>
      </c>
      <c r="C295" t="s">
        <v>1279</v>
      </c>
      <c r="D295" t="b">
        <v>1</v>
      </c>
      <c r="E295" t="b">
        <v>1</v>
      </c>
      <c r="I295" t="s">
        <v>1280</v>
      </c>
      <c r="J295" t="n">
        <v>3819</v>
      </c>
      <c r="K295" t="n">
        <v>362</v>
      </c>
      <c r="L295" t="n">
        <v>722</v>
      </c>
      <c r="M295" t="n">
        <v>0</v>
      </c>
      <c r="N295" t="n">
        <v>1</v>
      </c>
      <c r="O295" t="n">
        <v>0</v>
      </c>
      <c r="P295" t="s">
        <v>29</v>
      </c>
      <c r="Q295">
        <f>HYPERLINK("https://images.diginfra.net/framed3.html?imagesetuuid=711b4f86-3dbd-47ca-af9d-52eb1c30bc58&amp;uri=https://images.diginfra.net/iiif/NL-HaNA_1.01.02/3819/NL-HaNA_1.01.02_3819_0362.jpg", "viewer_url")</f>
        <v/>
      </c>
      <c r="R295">
        <f>HYPERLINK("https://images.diginfra.net/iiif/NL-HaNA_1.01.02/3819/NL-HaNA_1.01.02_3819_0362.jpg/244,696,1100,2648/full/0/default.jpg", "iiif_url")</f>
        <v/>
      </c>
      <c r="S295" t="s">
        <v>29</v>
      </c>
      <c r="T295" t="s">
        <v>1281</v>
      </c>
      <c r="U295">
        <f>HYPERLINK("https://images.diginfra.net/framed3.html?imagesetuuid=711b4f86-3dbd-47ca-af9d-52eb1c30bc58&amp;uri=https://images.diginfra.net/iiif/NL-HaNA_1.01.02/3819/NL-HaNA_1.01.02_3819_0360.jpg", "prev_meeting_viewer_url")</f>
        <v/>
      </c>
      <c r="V295">
        <f>HYPERLINK("https://images.diginfra.net/iiif/NL-HaNA_1.01.02/3819/NL-HaNA_1.01.02_3819_0360.jpg/3515,2757,821,568/full/0/default.jpg", "prev_meeting_iiif_url")</f>
        <v/>
      </c>
      <c r="W295" t="s">
        <v>29</v>
      </c>
      <c r="X295" t="s">
        <v>1282</v>
      </c>
      <c r="Y295">
        <f>HYPERLINK("https://images.diginfra.net/framed3.html?imagesetuuid=711b4f86-3dbd-47ca-af9d-52eb1c30bc58&amp;uri=https://images.diginfra.net/iiif/NL-HaNA_1.01.02/3819/NL-HaNA_1.01.02_3819_0364.jpg", "next_meeting_viewer_url")</f>
        <v/>
      </c>
      <c r="Z295">
        <f>HYPERLINK("https://images.diginfra.net/iiif/NL-HaNA_1.01.02/3819/NL-HaNA_1.01.02_3819_0364.jpg/256,1085,1082,2289/full/0/default.jpg", "next_meeting_iiif_url")</f>
        <v/>
      </c>
    </row>
    <row r="296" spans="1:26">
      <c r="A296" t="s">
        <v>1283</v>
      </c>
      <c r="B296" t="s">
        <v>63</v>
      </c>
      <c r="C296" t="s">
        <v>1284</v>
      </c>
      <c r="D296" t="b">
        <v>1</v>
      </c>
      <c r="E296" t="b">
        <v>1</v>
      </c>
      <c r="I296" t="s">
        <v>1285</v>
      </c>
      <c r="J296" t="n">
        <v>3797</v>
      </c>
      <c r="K296" t="n">
        <v>407</v>
      </c>
      <c r="L296" t="n">
        <v>813</v>
      </c>
      <c r="M296" t="n">
        <v>1</v>
      </c>
      <c r="N296" t="n">
        <v>2</v>
      </c>
      <c r="O296" t="n">
        <v>0</v>
      </c>
      <c r="P296" t="s">
        <v>29</v>
      </c>
      <c r="Q296">
        <f>HYPERLINK("https://images.diginfra.net/framed3.html?imagesetuuid=02516f87-475f-4001-a332-8d96f5aecb93&amp;uri=https://images.diginfra.net/iiif/NL-HaNA_1.01.02/3797/NL-HaNA_1.01.02_3797_0407.jpg", "viewer_url")</f>
        <v/>
      </c>
      <c r="R296">
        <f>HYPERLINK("https://images.diginfra.net/iiif/NL-HaNA_1.01.02/3797/NL-HaNA_1.01.02_3797_0407.jpg/3339,1919,1088,1452/full/0/default.jpg", "iiif_url")</f>
        <v/>
      </c>
      <c r="S296" t="s">
        <v>29</v>
      </c>
      <c r="T296" t="s">
        <v>1286</v>
      </c>
      <c r="U296">
        <f>HYPERLINK("https://images.diginfra.net/framed3.html?imagesetuuid=02516f87-475f-4001-a332-8d96f5aecb93&amp;uri=https://images.diginfra.net/iiif/NL-HaNA_1.01.02/3797/NL-HaNA_1.01.02_3797_0406.jpg", "prev_meeting_viewer_url")</f>
        <v/>
      </c>
      <c r="V296">
        <f>HYPERLINK("https://images.diginfra.net/iiif/NL-HaNA_1.01.02/3797/NL-HaNA_1.01.02_3797_0406.jpg/2467,2242,1045,1097/full/0/default.jpg", "prev_meeting_iiif_url")</f>
        <v/>
      </c>
      <c r="W296" t="s">
        <v>29</v>
      </c>
      <c r="X296" t="s">
        <v>1287</v>
      </c>
      <c r="Y296">
        <f>HYPERLINK("https://images.diginfra.net/framed3.html?imagesetuuid=02516f87-475f-4001-a332-8d96f5aecb93&amp;uri=https://images.diginfra.net/iiif/NL-HaNA_1.01.02/3797/NL-HaNA_1.01.02_3797_0409.jpg", "next_meeting_viewer_url")</f>
        <v/>
      </c>
      <c r="Z296">
        <f>HYPERLINK("https://images.diginfra.net/iiif/NL-HaNA_1.01.02/3797/NL-HaNA_1.01.02_3797_0409.jpg/2443,1532,1091,1827/full/0/default.jpg", "next_meeting_iiif_url")</f>
        <v/>
      </c>
    </row>
    <row r="297" spans="1:26">
      <c r="A297" t="s">
        <v>1288</v>
      </c>
      <c r="B297" t="s">
        <v>42</v>
      </c>
      <c r="D297" t="b">
        <v>1</v>
      </c>
      <c r="E297" t="b">
        <v>1</v>
      </c>
      <c r="I297" t="s">
        <v>1289</v>
      </c>
      <c r="J297" t="n">
        <v>3809</v>
      </c>
      <c r="K297" t="n">
        <v>112</v>
      </c>
      <c r="L297" t="n">
        <v>223</v>
      </c>
      <c r="M297" t="n">
        <v>0</v>
      </c>
      <c r="N297" t="n">
        <v>0</v>
      </c>
      <c r="O297" t="n">
        <v>0</v>
      </c>
      <c r="P297" t="s">
        <v>29</v>
      </c>
      <c r="Q297">
        <f>HYPERLINK("https://images.diginfra.net/framed3.html?imagesetuuid=a1722cc0-6172-4f06-b30b-cbaf0702bf4b&amp;uri=https://images.diginfra.net/iiif/NL-HaNA_1.01.02/3809/NL-HaNA_1.01.02_3809_0112.jpg", "viewer_url")</f>
        <v/>
      </c>
      <c r="R297">
        <f>HYPERLINK("https://images.diginfra.net/iiif/NL-HaNA_1.01.02/3809/NL-HaNA_1.01.02_3809_0112.jpg/2513,289,1090,3070/full/0/default.jpg", "iiif_url")</f>
        <v/>
      </c>
      <c r="S297" t="s">
        <v>29</v>
      </c>
      <c r="T297" t="s">
        <v>1290</v>
      </c>
      <c r="U297">
        <f>HYPERLINK("https://images.diginfra.net/framed3.html?imagesetuuid=a1722cc0-6172-4f06-b30b-cbaf0702bf4b&amp;uri=https://images.diginfra.net/iiif/NL-HaNA_1.01.02/3809/NL-HaNA_1.01.02_3809_0110.jpg", "prev_meeting_viewer_url")</f>
        <v/>
      </c>
      <c r="V297">
        <f>HYPERLINK("https://images.diginfra.net/iiif/NL-HaNA_1.01.02/3809/NL-HaNA_1.01.02_3809_0110.jpg/1312,1035,1110,2328/full/0/default.jpg", "prev_meeting_iiif_url")</f>
        <v/>
      </c>
      <c r="W297" t="s">
        <v>29</v>
      </c>
      <c r="X297" t="s">
        <v>1291</v>
      </c>
      <c r="Y297">
        <f>HYPERLINK("https://images.diginfra.net/framed3.html?imagesetuuid=a1722cc0-6172-4f06-b30b-cbaf0702bf4b&amp;uri=https://images.diginfra.net/iiif/NL-HaNA_1.01.02/3809/NL-HaNA_1.01.02_3809_0113.jpg", "next_meeting_viewer_url")</f>
        <v/>
      </c>
      <c r="Z297">
        <f>HYPERLINK("https://images.diginfra.net/iiif/NL-HaNA_1.01.02/3809/NL-HaNA_1.01.02_3809_0113.jpg/1404,2993,880,263/full/0/default.jpg", "next_meeting_iiif_url")</f>
        <v/>
      </c>
    </row>
    <row r="298" spans="1:26">
      <c r="A298" t="s">
        <v>1292</v>
      </c>
      <c r="B298" t="s">
        <v>37</v>
      </c>
      <c r="C298" t="s">
        <v>1293</v>
      </c>
      <c r="D298" t="b">
        <v>1</v>
      </c>
      <c r="E298" t="b">
        <v>1</v>
      </c>
      <c r="I298" t="s">
        <v>1294</v>
      </c>
      <c r="J298" t="n">
        <v>3767</v>
      </c>
      <c r="K298" t="n">
        <v>536</v>
      </c>
      <c r="L298" t="n">
        <v>1070</v>
      </c>
      <c r="M298" t="n">
        <v>0</v>
      </c>
      <c r="N298" t="n">
        <v>3</v>
      </c>
      <c r="O298" t="n">
        <v>0</v>
      </c>
      <c r="P298" t="s">
        <v>29</v>
      </c>
      <c r="Q298">
        <f>HYPERLINK("https://images.diginfra.net/framed3.html?imagesetuuid=1dfc3e45-daeb-4e8d-b5c8-e02b6196102c&amp;uri=https://images.diginfra.net/iiif/NL-HaNA_1.01.02/3767/NL-HaNA_1.01.02_3767_0536.jpg", "viewer_url")</f>
        <v/>
      </c>
      <c r="R298">
        <f>HYPERLINK("https://images.diginfra.net/iiif/NL-HaNA_1.01.02/3767/NL-HaNA_1.01.02_3767_0536.jpg/368,2724,1053,580/full/0/default.jpg", "iiif_url")</f>
        <v/>
      </c>
      <c r="S298" t="s">
        <v>29</v>
      </c>
      <c r="T298" t="s">
        <v>1295</v>
      </c>
      <c r="U298">
        <f>HYPERLINK("https://images.diginfra.net/framed3.html?imagesetuuid=1dfc3e45-daeb-4e8d-b5c8-e02b6196102c&amp;uri=https://images.diginfra.net/iiif/NL-HaNA_1.01.02/3767/NL-HaNA_1.01.02_3767_0534.jpg", "prev_meeting_viewer_url")</f>
        <v/>
      </c>
      <c r="V298">
        <f>HYPERLINK("https://images.diginfra.net/iiif/NL-HaNA_1.01.02/3767/NL-HaNA_1.01.02_3767_0534.jpg/1372,2173,1050,1199/full/0/default.jpg", "prev_meeting_iiif_url")</f>
        <v/>
      </c>
      <c r="W298" t="s">
        <v>29</v>
      </c>
      <c r="X298" t="s">
        <v>1276</v>
      </c>
      <c r="Y298">
        <f>HYPERLINK("https://images.diginfra.net/framed3.html?imagesetuuid=1dfc3e45-daeb-4e8d-b5c8-e02b6196102c&amp;uri=https://images.diginfra.net/iiif/NL-HaNA_1.01.02/3767/NL-HaNA_1.01.02_3767_0538.jpg", "next_meeting_viewer_url")</f>
        <v/>
      </c>
      <c r="Z298">
        <f>HYPERLINK("https://images.diginfra.net/iiif/NL-HaNA_1.01.02/3767/NL-HaNA_1.01.02_3767_0538.jpg/1315,608,1134,2766/full/0/default.jpg", "next_meeting_iiif_url")</f>
        <v/>
      </c>
    </row>
    <row r="299" spans="1:26">
      <c r="A299" t="s">
        <v>1296</v>
      </c>
      <c r="B299" t="s">
        <v>27</v>
      </c>
      <c r="C299" t="s">
        <v>1297</v>
      </c>
      <c r="D299" t="b">
        <v>1</v>
      </c>
      <c r="E299" t="b">
        <v>1</v>
      </c>
      <c r="I299" t="s">
        <v>1298</v>
      </c>
      <c r="J299" t="n">
        <v>3774</v>
      </c>
      <c r="K299" t="n">
        <v>237</v>
      </c>
      <c r="L299" t="n">
        <v>472</v>
      </c>
      <c r="M299" t="n">
        <v>1</v>
      </c>
      <c r="N299" t="n">
        <v>3</v>
      </c>
      <c r="O299" t="n">
        <v>0</v>
      </c>
      <c r="P299" t="s">
        <v>29</v>
      </c>
      <c r="Q299">
        <f>HYPERLINK("https://images.diginfra.net/framed3.html?imagesetuuid=a94d24a1-7932-4b81-a3e6-04161d471ec1&amp;uri=https://images.diginfra.net/iiif/NL-HaNA_1.01.02/3774/NL-HaNA_1.01.02_3774_0237.jpg", "viewer_url")</f>
        <v/>
      </c>
      <c r="R299">
        <f>HYPERLINK("https://images.diginfra.net/iiif/NL-HaNA_1.01.02/3774/NL-HaNA_1.01.02_3774_0237.jpg/1375,2384,1038,957/full/0/default.jpg", "iiif_url")</f>
        <v/>
      </c>
      <c r="S299" t="s">
        <v>29</v>
      </c>
      <c r="T299" t="s">
        <v>1299</v>
      </c>
      <c r="U299">
        <f>HYPERLINK("https://images.diginfra.net/framed3.html?imagesetuuid=a94d24a1-7932-4b81-a3e6-04161d471ec1&amp;uri=https://images.diginfra.net/iiif/NL-HaNA_1.01.02/3774/NL-HaNA_1.01.02_3774_0235.jpg", "prev_meeting_viewer_url")</f>
        <v/>
      </c>
      <c r="V299">
        <f>HYPERLINK("https://images.diginfra.net/iiif/NL-HaNA_1.01.02/3774/NL-HaNA_1.01.02_3774_0235.jpg/3452,1783,1089,1576/full/0/default.jpg", "prev_meeting_iiif_url")</f>
        <v/>
      </c>
      <c r="W299" t="s">
        <v>29</v>
      </c>
      <c r="X299" t="s">
        <v>1300</v>
      </c>
      <c r="Y299">
        <f>HYPERLINK("https://images.diginfra.net/framed3.html?imagesetuuid=a94d24a1-7932-4b81-a3e6-04161d471ec1&amp;uri=https://images.diginfra.net/iiif/NL-HaNA_1.01.02/3774/NL-HaNA_1.01.02_3774_0239.jpg", "next_meeting_viewer_url")</f>
        <v/>
      </c>
      <c r="Z299">
        <f>HYPERLINK("https://images.diginfra.net/iiif/NL-HaNA_1.01.02/3774/NL-HaNA_1.01.02_3774_0239.jpg/3486,2287,1039,1093/full/0/default.jpg", "next_meeting_iiif_url")</f>
        <v/>
      </c>
    </row>
    <row r="300" spans="1:26">
      <c r="A300" t="s">
        <v>1301</v>
      </c>
      <c r="B300" t="s">
        <v>63</v>
      </c>
      <c r="C300" t="s">
        <v>1302</v>
      </c>
      <c r="D300" t="b">
        <v>1</v>
      </c>
      <c r="E300" t="b">
        <v>1</v>
      </c>
      <c r="I300" t="s">
        <v>1303</v>
      </c>
      <c r="J300" t="n">
        <v>3825</v>
      </c>
      <c r="K300" t="n">
        <v>463</v>
      </c>
      <c r="L300" t="n">
        <v>925</v>
      </c>
      <c r="M300" t="n">
        <v>0</v>
      </c>
      <c r="N300" t="n">
        <v>1</v>
      </c>
      <c r="O300" t="n">
        <v>35</v>
      </c>
      <c r="P300" t="s">
        <v>29</v>
      </c>
      <c r="Q300">
        <f>HYPERLINK("https://images.diginfra.net/framed3.html?imagesetuuid=3e55157c-ed48-4a0c-b4a9-bb205866d7cd&amp;uri=https://images.diginfra.net/iiif/NL-HaNA_1.01.02/3825/NL-HaNA_1.01.02_3825_0463.jpg", "viewer_url")</f>
        <v/>
      </c>
      <c r="R300">
        <f>HYPERLINK("https://images.diginfra.net/iiif/NL-HaNA_1.01.02/3825/NL-HaNA_1.01.02_3825_0463.jpg/2403,2154,1071,1136/full/0/default.jpg", "iiif_url")</f>
        <v/>
      </c>
      <c r="S300" t="s">
        <v>29</v>
      </c>
      <c r="T300" t="s">
        <v>1304</v>
      </c>
      <c r="U300">
        <f>HYPERLINK("https://images.diginfra.net/framed3.html?imagesetuuid=3e55157c-ed48-4a0c-b4a9-bb205866d7cd&amp;uri=https://images.diginfra.net/iiif/NL-HaNA_1.01.02/3825/NL-HaNA_1.01.02_3825_0462.jpg", "prev_meeting_viewer_url")</f>
        <v/>
      </c>
      <c r="V300">
        <f>HYPERLINK("https://images.diginfra.net/iiif/NL-HaNA_1.01.02/3825/NL-HaNA_1.01.02_3825_0462.jpg/1274,2489,1022,750/full/0/default.jpg", "prev_meeting_iiif_url")</f>
        <v/>
      </c>
      <c r="W300" t="s">
        <v>29</v>
      </c>
      <c r="X300" t="s">
        <v>1305</v>
      </c>
      <c r="Y300">
        <f>HYPERLINK("https://images.diginfra.net/framed3.html?imagesetuuid=3e55157c-ed48-4a0c-b4a9-bb205866d7cd&amp;uri=https://images.diginfra.net/iiif/NL-HaNA_1.01.02/3825/NL-HaNA_1.01.02_3825_0464.jpg", "next_meeting_viewer_url")</f>
        <v/>
      </c>
      <c r="Z300">
        <f>HYPERLINK("https://images.diginfra.net/iiif/NL-HaNA_1.01.02/3825/NL-HaNA_1.01.02_3825_0464.jpg/303,2632,1005,646/full/0/default.jpg", "next_meeting_iiif_url")</f>
        <v/>
      </c>
    </row>
    <row r="301" spans="1:26">
      <c r="A301" t="s">
        <v>1306</v>
      </c>
      <c r="B301" t="s">
        <v>53</v>
      </c>
      <c r="C301" t="s">
        <v>1307</v>
      </c>
      <c r="D301" t="b">
        <v>1</v>
      </c>
      <c r="E301" t="b">
        <v>1</v>
      </c>
      <c r="I301" t="s">
        <v>1308</v>
      </c>
      <c r="J301" t="n">
        <v>3834</v>
      </c>
      <c r="K301" t="n">
        <v>397</v>
      </c>
      <c r="L301" t="n">
        <v>792</v>
      </c>
      <c r="M301" t="n">
        <v>1</v>
      </c>
      <c r="N301" t="n">
        <v>3</v>
      </c>
      <c r="O301" t="n">
        <v>0</v>
      </c>
      <c r="P301" t="s">
        <v>29</v>
      </c>
      <c r="Q301">
        <f>HYPERLINK("https://images.diginfra.net/framed3.html?imagesetuuid=bf11cd8e-e3f4-444c-9caa-dcdfd20137d7&amp;uri=https://images.diginfra.net/iiif/NL-HaNA_1.01.02/3834/NL-HaNA_1.01.02_3834_0397.jpg", "viewer_url")</f>
        <v/>
      </c>
      <c r="R301">
        <f>HYPERLINK("https://images.diginfra.net/iiif/NL-HaNA_1.01.02/3834/NL-HaNA_1.01.02_3834_0397.jpg/1402,2953,678,383/full/0/default.jpg", "iiif_url")</f>
        <v/>
      </c>
      <c r="S301" t="s">
        <v>29</v>
      </c>
      <c r="T301" t="s">
        <v>1309</v>
      </c>
      <c r="U301">
        <f>HYPERLINK("https://images.diginfra.net/framed3.html?imagesetuuid=bf11cd8e-e3f4-444c-9caa-dcdfd20137d7&amp;uri=https://images.diginfra.net/iiif/NL-HaNA_1.01.02/3834/NL-HaNA_1.01.02_3834_0396.jpg", "prev_meeting_viewer_url")</f>
        <v/>
      </c>
      <c r="V301">
        <f>HYPERLINK("https://images.diginfra.net/iiif/NL-HaNA_1.01.02/3834/NL-HaNA_1.01.02_3834_0396.jpg/1244,985,1106,2405/full/0/default.jpg", "prev_meeting_iiif_url")</f>
        <v/>
      </c>
      <c r="W301" t="s">
        <v>29</v>
      </c>
      <c r="X301" t="s">
        <v>1310</v>
      </c>
      <c r="Y301">
        <f>HYPERLINK("https://images.diginfra.net/framed3.html?imagesetuuid=bf11cd8e-e3f4-444c-9caa-dcdfd20137d7&amp;uri=https://images.diginfra.net/iiif/NL-HaNA_1.01.02/3834/NL-HaNA_1.01.02_3834_0399.jpg", "next_meeting_viewer_url")</f>
        <v/>
      </c>
      <c r="Z301">
        <f>HYPERLINK("https://images.diginfra.net/iiif/NL-HaNA_1.01.02/3834/NL-HaNA_1.01.02_3834_0399.jpg/3321,1415,1081,2014/full/0/default.jpg", "next_meeting_iiif_url")</f>
        <v/>
      </c>
    </row>
    <row r="302" spans="1:26">
      <c r="A302" t="s">
        <v>1311</v>
      </c>
      <c r="B302" t="s">
        <v>63</v>
      </c>
      <c r="D302" t="b">
        <v>1</v>
      </c>
      <c r="E302" t="b">
        <v>1</v>
      </c>
      <c r="I302" t="s">
        <v>1312</v>
      </c>
      <c r="J302" t="n">
        <v>3856</v>
      </c>
      <c r="K302" t="n">
        <v>124</v>
      </c>
      <c r="L302" t="n">
        <v>246</v>
      </c>
      <c r="M302" t="n">
        <v>1</v>
      </c>
      <c r="N302" t="n">
        <v>1</v>
      </c>
      <c r="O302" t="n">
        <v>10</v>
      </c>
      <c r="P302" t="s">
        <v>29</v>
      </c>
      <c r="Q302">
        <f>HYPERLINK("https://images.diginfra.net/framed3.html?imagesetuuid=eefad0ef-c5b6-4672-8a4e-c123198eddbf&amp;uri=https://images.diginfra.net/iiif/NL-HaNA_1.01.02/3856/NL-HaNA_1.01.02_3856_0124.jpg", "viewer_url")</f>
        <v/>
      </c>
      <c r="R302">
        <f>HYPERLINK("https://images.diginfra.net/iiif/NL-HaNA_1.01.02/3856/NL-HaNA_1.01.02_3856_0124.jpg/1285,2014,1063,1432/full/0/default.jpg", "iiif_url")</f>
        <v/>
      </c>
      <c r="S302" t="s">
        <v>29</v>
      </c>
      <c r="T302" t="s">
        <v>1313</v>
      </c>
      <c r="U302">
        <f>HYPERLINK("https://images.diginfra.net/framed3.html?imagesetuuid=eefad0ef-c5b6-4672-8a4e-c123198eddbf&amp;uri=https://images.diginfra.net/iiif/NL-HaNA_1.01.02/3856/NL-HaNA_1.01.02_3856_0121.jpg", "prev_meeting_viewer_url")</f>
        <v/>
      </c>
      <c r="V302">
        <f>HYPERLINK("https://images.diginfra.net/iiif/NL-HaNA_1.01.02/3856/NL-HaNA_1.01.02_3856_0121.jpg/2331,1260,1071,2242/full/0/default.jpg", "prev_meeting_iiif_url")</f>
        <v/>
      </c>
      <c r="W302" t="s">
        <v>29</v>
      </c>
      <c r="X302" t="s">
        <v>1314</v>
      </c>
      <c r="Y302">
        <f>HYPERLINK("https://images.diginfra.net/framed3.html?imagesetuuid=eefad0ef-c5b6-4672-8a4e-c123198eddbf&amp;uri=https://images.diginfra.net/iiif/NL-HaNA_1.01.02/3856/NL-HaNA_1.01.02_3856_0125.jpg", "next_meeting_viewer_url")</f>
        <v/>
      </c>
      <c r="Z302">
        <f>HYPERLINK("https://images.diginfra.net/iiif/NL-HaNA_1.01.02/3856/NL-HaNA_1.01.02_3856_0125.jpg/1310,2480,1017,886/full/0/default.jpg", "next_meeting_iiif_url")</f>
        <v/>
      </c>
    </row>
    <row r="303" spans="1:26">
      <c r="A303" t="s">
        <v>1315</v>
      </c>
      <c r="B303" t="s">
        <v>53</v>
      </c>
      <c r="D303" t="b">
        <v>1</v>
      </c>
      <c r="E303" t="b">
        <v>0</v>
      </c>
      <c r="Q303">
        <f>HYPERLINK("None", "viewer_url")</f>
        <v/>
      </c>
      <c r="R303">
        <f>HYPERLINK("None", "iiif_url")</f>
        <v/>
      </c>
    </row>
    <row r="304" spans="1:26">
      <c r="A304" t="s">
        <v>1316</v>
      </c>
      <c r="B304" t="s">
        <v>42</v>
      </c>
      <c r="C304" t="s">
        <v>737</v>
      </c>
      <c r="D304" t="b">
        <v>1</v>
      </c>
      <c r="E304" t="b">
        <v>1</v>
      </c>
      <c r="I304" t="s">
        <v>1317</v>
      </c>
      <c r="J304" t="n">
        <v>3824</v>
      </c>
      <c r="K304" t="n">
        <v>198</v>
      </c>
      <c r="L304" t="n">
        <v>394</v>
      </c>
      <c r="M304" t="n">
        <v>0</v>
      </c>
      <c r="N304" t="n">
        <v>1</v>
      </c>
      <c r="O304" t="n">
        <v>0</v>
      </c>
      <c r="P304" t="s">
        <v>29</v>
      </c>
      <c r="Q304">
        <f>HYPERLINK("https://images.diginfra.net/framed3.html?imagesetuuid=dd191040-86df-4eff-a597-814a829dbed3&amp;uri=https://images.diginfra.net/iiif/NL-HaNA_1.01.02/3824/NL-HaNA_1.01.02_3824_0198.jpg", "viewer_url")</f>
        <v/>
      </c>
      <c r="R304">
        <f>HYPERLINK("https://images.diginfra.net/iiif/NL-HaNA_1.01.02/3824/NL-HaNA_1.01.02_3824_0198.jpg/307,2027,1094,1317/full/0/default.jpg", "iiif_url")</f>
        <v/>
      </c>
      <c r="S304" t="s">
        <v>29</v>
      </c>
      <c r="T304" t="s">
        <v>1318</v>
      </c>
      <c r="U304">
        <f>HYPERLINK("https://images.diginfra.net/framed3.html?imagesetuuid=dd191040-86df-4eff-a597-814a829dbed3&amp;uri=https://images.diginfra.net/iiif/NL-HaNA_1.01.02/3824/NL-HaNA_1.01.02_3824_0196.jpg", "prev_meeting_viewer_url")</f>
        <v/>
      </c>
      <c r="V304">
        <f>HYPERLINK("https://images.diginfra.net/iiif/NL-HaNA_1.01.02/3824/NL-HaNA_1.01.02_3824_0196.jpg/311,681,1103,2714/full/0/default.jpg", "prev_meeting_iiif_url")</f>
        <v/>
      </c>
      <c r="W304" t="s">
        <v>29</v>
      </c>
      <c r="X304" t="s">
        <v>1319</v>
      </c>
      <c r="Y304">
        <f>HYPERLINK("https://images.diginfra.net/framed3.html?imagesetuuid=dd191040-86df-4eff-a597-814a829dbed3&amp;uri=https://images.diginfra.net/iiif/NL-HaNA_1.01.02/3824/NL-HaNA_1.01.02_3824_0205.jpg", "next_meeting_viewer_url")</f>
        <v/>
      </c>
      <c r="Z304">
        <f>HYPERLINK("https://images.diginfra.net/iiif/NL-HaNA_1.01.02/3824/NL-HaNA_1.01.02_3824_0205.jpg/1275,2374,1110,951/full/0/default.jpg", "next_meeting_iiif_url")</f>
        <v/>
      </c>
    </row>
    <row r="305" spans="1:26">
      <c r="A305" t="s">
        <v>1320</v>
      </c>
      <c r="B305" t="s">
        <v>37</v>
      </c>
      <c r="C305" t="s">
        <v>1321</v>
      </c>
      <c r="D305" t="b">
        <v>1</v>
      </c>
      <c r="E305" t="b">
        <v>1</v>
      </c>
      <c r="I305" t="s">
        <v>1322</v>
      </c>
      <c r="J305" t="n">
        <v>3829</v>
      </c>
      <c r="K305" t="n">
        <v>199</v>
      </c>
      <c r="L305" t="n">
        <v>397</v>
      </c>
      <c r="M305" t="n">
        <v>1</v>
      </c>
      <c r="N305" t="n">
        <v>0</v>
      </c>
      <c r="O305" t="n">
        <v>0</v>
      </c>
      <c r="P305" t="s">
        <v>29</v>
      </c>
      <c r="Q305">
        <f>HYPERLINK("https://images.diginfra.net/framed3.html?imagesetuuid=4a630f3a-34aa-4b1a-92d1-c32d4455e96f&amp;uri=https://images.diginfra.net/iiif/NL-HaNA_1.01.02/3829/NL-HaNA_1.01.02_3829_0199.jpg", "viewer_url")</f>
        <v/>
      </c>
      <c r="R305">
        <f>HYPERLINK("https://images.diginfra.net/iiif/NL-HaNA_1.01.02/3829/NL-HaNA_1.01.02_3829_0199.jpg/3323,277,1094,3077/full/0/default.jpg", "iiif_url")</f>
        <v/>
      </c>
      <c r="S305" t="s">
        <v>29</v>
      </c>
      <c r="T305" t="s">
        <v>1323</v>
      </c>
      <c r="U305">
        <f>HYPERLINK("https://images.diginfra.net/framed3.html?imagesetuuid=4a630f3a-34aa-4b1a-92d1-c32d4455e96f&amp;uri=https://images.diginfra.net/iiif/NL-HaNA_1.01.02/3829/NL-HaNA_1.01.02_3829_0199.jpg", "prev_meeting_viewer_url")</f>
        <v/>
      </c>
      <c r="V305">
        <f>HYPERLINK("https://images.diginfra.net/iiif/NL-HaNA_1.01.02/3829/NL-HaNA_1.01.02_3829_0199.jpg/1169,1354,1115,2020/full/0/default.jpg", "prev_meeting_iiif_url")</f>
        <v/>
      </c>
      <c r="W305" t="s">
        <v>29</v>
      </c>
      <c r="X305" t="s">
        <v>1324</v>
      </c>
      <c r="Y305">
        <f>HYPERLINK("https://images.diginfra.net/framed3.html?imagesetuuid=4a630f3a-34aa-4b1a-92d1-c32d4455e96f&amp;uri=https://images.diginfra.net/iiif/NL-HaNA_1.01.02/3829/NL-HaNA_1.01.02_3829_0202.jpg", "next_meeting_viewer_url")</f>
        <v/>
      </c>
      <c r="Z305">
        <f>HYPERLINK("https://images.diginfra.net/iiif/NL-HaNA_1.01.02/3829/NL-HaNA_1.01.02_3829_0202.jpg/266,1870,1043,1474/full/0/default.jpg", "next_meeting_iiif_url")</f>
        <v/>
      </c>
    </row>
    <row r="306" spans="1:26">
      <c r="A306" t="s">
        <v>1325</v>
      </c>
      <c r="B306" t="s">
        <v>76</v>
      </c>
      <c r="C306" t="s">
        <v>1326</v>
      </c>
      <c r="D306" t="b">
        <v>1</v>
      </c>
      <c r="E306" t="b">
        <v>1</v>
      </c>
      <c r="I306" t="s">
        <v>1327</v>
      </c>
      <c r="J306" t="n">
        <v>3834</v>
      </c>
      <c r="K306" t="n">
        <v>454</v>
      </c>
      <c r="L306" t="n">
        <v>907</v>
      </c>
      <c r="M306" t="n">
        <v>1</v>
      </c>
      <c r="N306" t="n">
        <v>0</v>
      </c>
      <c r="O306" t="n">
        <v>30</v>
      </c>
      <c r="P306" t="s">
        <v>29</v>
      </c>
      <c r="Q306">
        <f>HYPERLINK("https://images.diginfra.net/framed3.html?imagesetuuid=bf11cd8e-e3f4-444c-9caa-dcdfd20137d7&amp;uri=https://images.diginfra.net/iiif/NL-HaNA_1.01.02/3834/NL-HaNA_1.01.02_3834_0454.jpg", "viewer_url")</f>
        <v/>
      </c>
      <c r="R306">
        <f>HYPERLINK("https://images.diginfra.net/iiif/NL-HaNA_1.01.02/3834/NL-HaNA_1.01.02_3834_0454.jpg/3369,1774,1087,1662/full/0/default.jpg", "iiif_url")</f>
        <v/>
      </c>
      <c r="S306" t="s">
        <v>29</v>
      </c>
      <c r="T306" t="s">
        <v>1328</v>
      </c>
      <c r="U306">
        <f>HYPERLINK("https://images.diginfra.net/framed3.html?imagesetuuid=bf11cd8e-e3f4-444c-9caa-dcdfd20137d7&amp;uri=https://images.diginfra.net/iiif/NL-HaNA_1.01.02/3834/NL-HaNA_1.01.02_3834_0453.jpg", "prev_meeting_viewer_url")</f>
        <v/>
      </c>
      <c r="V306">
        <f>HYPERLINK("https://images.diginfra.net/iiif/NL-HaNA_1.01.02/3834/NL-HaNA_1.01.02_3834_0453.jpg/2389,1708,1088,1785/full/0/default.jpg", "prev_meeting_iiif_url")</f>
        <v/>
      </c>
      <c r="W306" t="s">
        <v>29</v>
      </c>
      <c r="Y306">
        <f>HYPERLINK("https://images.diginfra.net/framed3.html?imagesetuuid=bf11cd8e-e3f4-444c-9caa-dcdfd20137d7&amp;uri=https://images.diginfra.net/iiif/NL-HaNA_1.01.02/3834/NL-HaNA_1.01.02_3834_0458.jpg", "next_meeting_viewer_url")</f>
        <v/>
      </c>
      <c r="Z306">
        <f>HYPERLINK("https://images.diginfra.net/iiif/NL-HaNA_1.01.02/3834/NL-HaNA_1.01.02_3834_0458.jpg/331,689,1074,2753/full/0/default.jpg", "next_meeting_iiif_url")</f>
        <v/>
      </c>
    </row>
    <row r="307" spans="1:26">
      <c r="A307" t="s">
        <v>1329</v>
      </c>
      <c r="B307" t="s">
        <v>63</v>
      </c>
      <c r="D307" t="b">
        <v>1</v>
      </c>
      <c r="E307" t="b">
        <v>0</v>
      </c>
      <c r="Q307">
        <f>HYPERLINK("None", "viewer_url")</f>
        <v/>
      </c>
      <c r="R307">
        <f>HYPERLINK("None", "iiif_url")</f>
        <v/>
      </c>
      <c r="S307" t="s">
        <v>33</v>
      </c>
      <c r="T307" t="s">
        <v>1330</v>
      </c>
      <c r="U307">
        <f>HYPERLINK("https://images.diginfra.net/framed3.html?imagesetuuid=4246d97e-5e7a-4171-b55e-14e0b73f61db&amp;uri=https://images.diginfra.net/iiif/NL-HaNA_1.01.02/3799/NL-HaNA_1.01.02_3799_0117.jpg", "prev_meeting_viewer_url")</f>
        <v/>
      </c>
      <c r="V307">
        <f>HYPERLINK("https://images.diginfra.net/iiif/NL-HaNA_1.01.02/3799/NL-HaNA_1.01.02_3799_0117.jpg/370,1797,1049,1614/full/0/default.jpg", "prev_meeting_iiif_url")</f>
        <v/>
      </c>
      <c r="W307" t="s">
        <v>29</v>
      </c>
      <c r="X307" t="s">
        <v>1331</v>
      </c>
      <c r="Y307">
        <f>HYPERLINK("https://images.diginfra.net/framed3.html?imagesetuuid=4246d97e-5e7a-4171-b55e-14e0b73f61db&amp;uri=https://images.diginfra.net/iiif/NL-HaNA_1.01.02/3799/NL-HaNA_1.01.02_3799_0118.jpg", "next_meeting_viewer_url")</f>
        <v/>
      </c>
      <c r="Z307">
        <f>HYPERLINK("https://images.diginfra.net/iiif/NL-HaNA_1.01.02/3799/NL-HaNA_1.01.02_3799_0118.jpg/1291,763,1086,2612/full/0/default.jpg", "next_meeting_iiif_url")</f>
        <v/>
      </c>
    </row>
    <row r="308" spans="1:26">
      <c r="A308" t="s">
        <v>1332</v>
      </c>
      <c r="B308" t="s">
        <v>63</v>
      </c>
      <c r="C308" t="s">
        <v>1333</v>
      </c>
      <c r="D308" t="b">
        <v>1</v>
      </c>
      <c r="E308" t="b">
        <v>1</v>
      </c>
      <c r="I308" t="s">
        <v>1334</v>
      </c>
      <c r="J308" t="n">
        <v>3765</v>
      </c>
      <c r="K308" t="n">
        <v>53</v>
      </c>
      <c r="L308" t="n">
        <v>105</v>
      </c>
      <c r="M308" t="n">
        <v>0</v>
      </c>
      <c r="N308" t="n">
        <v>1</v>
      </c>
      <c r="O308" t="n">
        <v>0</v>
      </c>
      <c r="P308" t="s">
        <v>29</v>
      </c>
      <c r="Q308">
        <f>HYPERLINK("https://images.diginfra.net/framed3.html?imagesetuuid=4dfc1a1b-8cdf-4492-b411-5e67950ce484&amp;uri=https://images.diginfra.net/iiif/NL-HaNA_1.01.02/3765/NL-HaNA_1.01.02_3765_0053.jpg", "viewer_url")</f>
        <v/>
      </c>
      <c r="R308">
        <f>HYPERLINK("https://images.diginfra.net/iiif/NL-HaNA_1.01.02/3765/NL-HaNA_1.01.02_3765_0053.jpg/2578,2225,1097,1172/full/0/default.jpg", "iiif_url")</f>
        <v/>
      </c>
      <c r="S308" t="s">
        <v>29</v>
      </c>
      <c r="T308" t="s">
        <v>1335</v>
      </c>
      <c r="U308">
        <f>HYPERLINK("https://images.diginfra.net/framed3.html?imagesetuuid=4dfc1a1b-8cdf-4492-b411-5e67950ce484&amp;uri=https://images.diginfra.net/iiif/NL-HaNA_1.01.02/3765/NL-HaNA_1.01.02_3765_0050.jpg", "prev_meeting_viewer_url")</f>
        <v/>
      </c>
      <c r="V308">
        <f>HYPERLINK("https://images.diginfra.net/iiif/NL-HaNA_1.01.02/3765/NL-HaNA_1.01.02_3765_0050.jpg/1243,2209,1112,1148/full/0/default.jpg", "prev_meeting_iiif_url")</f>
        <v/>
      </c>
      <c r="W308" t="s">
        <v>29</v>
      </c>
      <c r="X308" t="s">
        <v>1336</v>
      </c>
      <c r="Y308">
        <f>HYPERLINK("https://images.diginfra.net/framed3.html?imagesetuuid=4dfc1a1b-8cdf-4492-b411-5e67950ce484&amp;uri=https://images.diginfra.net/iiif/NL-HaNA_1.01.02/3765/NL-HaNA_1.01.02_3765_0055.jpg", "next_meeting_viewer_url")</f>
        <v/>
      </c>
      <c r="Z308">
        <f>HYPERLINK("https://images.diginfra.net/iiif/NL-HaNA_1.01.02/3765/NL-HaNA_1.01.02_3765_0055.jpg/1294,1233,1127,2209/full/0/default.jpg", "next_meeting_iiif_url")</f>
        <v/>
      </c>
    </row>
    <row r="309" spans="1:26">
      <c r="A309" t="s">
        <v>1337</v>
      </c>
      <c r="B309" t="s">
        <v>48</v>
      </c>
      <c r="D309" t="b">
        <v>0</v>
      </c>
      <c r="E309" t="b">
        <v>0</v>
      </c>
      <c r="Q309">
        <f>HYPERLINK("None", "viewer_url")</f>
        <v/>
      </c>
      <c r="R309">
        <f>HYPERLINK("None", "iiif_url")</f>
        <v/>
      </c>
      <c r="S309" t="s">
        <v>33</v>
      </c>
      <c r="U309">
        <f>HYPERLINK("https://images.diginfra.net/framed3.html?imagesetuuid=d79a5b0f-25ac-4440-9b23-adc237614d07&amp;uri=https://images.diginfra.net/iiif/NL-HaNA_1.01.02/3777/NL-HaNA_1.01.02_3777_0420.jpg", "prev_meeting_viewer_url")</f>
        <v/>
      </c>
      <c r="V309">
        <f>HYPERLINK("https://images.diginfra.net/iiif/NL-HaNA_1.01.02/3777/NL-HaNA_1.01.02_3777_0420.jpg/3426,915,1122,2533/full/0/default.jpg", "prev_meeting_iiif_url")</f>
        <v/>
      </c>
    </row>
    <row r="310" spans="1:26">
      <c r="A310" t="s">
        <v>1338</v>
      </c>
      <c r="B310" t="s">
        <v>37</v>
      </c>
      <c r="C310" t="s">
        <v>1339</v>
      </c>
      <c r="D310" t="b">
        <v>1</v>
      </c>
      <c r="E310" t="b">
        <v>1</v>
      </c>
      <c r="I310" t="s">
        <v>1340</v>
      </c>
      <c r="J310" t="n">
        <v>3815</v>
      </c>
      <c r="K310" t="n">
        <v>94</v>
      </c>
      <c r="L310" t="n">
        <v>186</v>
      </c>
      <c r="M310" t="n">
        <v>1</v>
      </c>
      <c r="N310" t="n">
        <v>2</v>
      </c>
      <c r="O310" t="n">
        <v>0</v>
      </c>
      <c r="P310" t="s">
        <v>29</v>
      </c>
      <c r="Q310">
        <f>HYPERLINK("https://images.diginfra.net/framed3.html?imagesetuuid=c649f39d-5b94-4d9d-8000-33acd4342c36&amp;uri=https://images.diginfra.net/iiif/NL-HaNA_1.01.02/3815/NL-HaNA_1.01.02_3815_0094.jpg", "viewer_url")</f>
        <v/>
      </c>
      <c r="R310">
        <f>HYPERLINK("https://images.diginfra.net/iiif/NL-HaNA_1.01.02/3815/NL-HaNA_1.01.02_3815_0094.jpg/1182,1827,1118,1576/full/0/default.jpg", "iiif_url")</f>
        <v/>
      </c>
      <c r="S310" t="s">
        <v>29</v>
      </c>
      <c r="T310" t="s">
        <v>1341</v>
      </c>
      <c r="U310">
        <f>HYPERLINK("https://images.diginfra.net/framed3.html?imagesetuuid=c649f39d-5b94-4d9d-8000-33acd4342c36&amp;uri=https://images.diginfra.net/iiif/NL-HaNA_1.01.02/3815/NL-HaNA_1.01.02_3815_0093.jpg", "prev_meeting_viewer_url")</f>
        <v/>
      </c>
      <c r="V310">
        <f>HYPERLINK("https://images.diginfra.net/iiif/NL-HaNA_1.01.02/3815/NL-HaNA_1.01.02_3815_0093.jpg/2435,1852,1087,1531/full/0/default.jpg", "prev_meeting_iiif_url")</f>
        <v/>
      </c>
      <c r="W310" t="s">
        <v>29</v>
      </c>
      <c r="X310" t="s">
        <v>1342</v>
      </c>
      <c r="Y310">
        <f>HYPERLINK("https://images.diginfra.net/framed3.html?imagesetuuid=c649f39d-5b94-4d9d-8000-33acd4342c36&amp;uri=https://images.diginfra.net/iiif/NL-HaNA_1.01.02/3815/NL-HaNA_1.01.02_3815_0094.jpg", "next_meeting_viewer_url")</f>
        <v/>
      </c>
      <c r="Z310">
        <f>HYPERLINK("https://images.diginfra.net/iiif/NL-HaNA_1.01.02/3815/NL-HaNA_1.01.02_3815_0094.jpg/2429,1749,1032,1736/full/0/default.jpg", "next_meeting_iiif_url")</f>
        <v/>
      </c>
    </row>
    <row r="311" spans="1:26">
      <c r="A311" t="s">
        <v>1343</v>
      </c>
      <c r="B311" t="s">
        <v>76</v>
      </c>
      <c r="C311" t="s">
        <v>1344</v>
      </c>
      <c r="D311" t="b">
        <v>1</v>
      </c>
      <c r="E311" t="b">
        <v>1</v>
      </c>
      <c r="I311" t="s">
        <v>1345</v>
      </c>
      <c r="J311" t="n">
        <v>3775</v>
      </c>
      <c r="K311" t="n">
        <v>248</v>
      </c>
      <c r="L311" t="n">
        <v>494</v>
      </c>
      <c r="M311" t="n">
        <v>0</v>
      </c>
      <c r="N311" t="n">
        <v>2</v>
      </c>
      <c r="O311" t="n">
        <v>0</v>
      </c>
      <c r="P311" t="s">
        <v>29</v>
      </c>
      <c r="Q311">
        <f>HYPERLINK("https://images.diginfra.net/framed3.html?imagesetuuid=e344f420-8808-4cb9-bb8a-07944ccb8c18&amp;uri=https://images.diginfra.net/iiif/NL-HaNA_1.01.02/3775/NL-HaNA_1.01.02_3775_0248.jpg", "viewer_url")</f>
        <v/>
      </c>
      <c r="R311">
        <f>HYPERLINK("https://images.diginfra.net/iiif/NL-HaNA_1.01.02/3775/NL-HaNA_1.01.02_3775_0248.jpg/289,2503,1025,837/full/0/default.jpg", "iiif_url")</f>
        <v/>
      </c>
      <c r="S311" t="s">
        <v>29</v>
      </c>
      <c r="T311" t="s">
        <v>1346</v>
      </c>
      <c r="U311">
        <f>HYPERLINK("https://images.diginfra.net/framed3.html?imagesetuuid=e344f420-8808-4cb9-bb8a-07944ccb8c18&amp;uri=https://images.diginfra.net/iiif/NL-HaNA_1.01.02/3775/NL-HaNA_1.01.02_3775_0247.jpg", "prev_meeting_viewer_url")</f>
        <v/>
      </c>
      <c r="V311">
        <f>HYPERLINK("https://images.diginfra.net/iiif/NL-HaNA_1.01.02/3775/NL-HaNA_1.01.02_3775_0247.jpg/396,2944,733,388/full/0/default.jpg", "prev_meeting_iiif_url")</f>
        <v/>
      </c>
      <c r="W311" t="s">
        <v>29</v>
      </c>
      <c r="X311" t="s">
        <v>1347</v>
      </c>
      <c r="Y311">
        <f>HYPERLINK("https://images.diginfra.net/framed3.html?imagesetuuid=e344f420-8808-4cb9-bb8a-07944ccb8c18&amp;uri=https://images.diginfra.net/iiif/NL-HaNA_1.01.02/3775/NL-HaNA_1.01.02_3775_0249.jpg", "next_meeting_viewer_url")</f>
        <v/>
      </c>
      <c r="Z311">
        <f>HYPERLINK("https://images.diginfra.net/iiif/NL-HaNA_1.01.02/3775/NL-HaNA_1.01.02_3775_0249.jpg/1171,1813,1065,1574/full/0/default.jpg", "next_meeting_iiif_url")</f>
        <v/>
      </c>
    </row>
    <row r="312" spans="1:26">
      <c r="A312" t="s">
        <v>1348</v>
      </c>
      <c r="B312" t="s">
        <v>48</v>
      </c>
      <c r="D312" t="b">
        <v>0</v>
      </c>
      <c r="E312" t="b">
        <v>0</v>
      </c>
      <c r="I312" t="s">
        <v>1349</v>
      </c>
      <c r="J312" t="n">
        <v>3781</v>
      </c>
      <c r="K312" t="n">
        <v>477</v>
      </c>
      <c r="L312" t="n">
        <v>952</v>
      </c>
      <c r="M312" t="n">
        <v>0</v>
      </c>
      <c r="N312" t="n">
        <v>2</v>
      </c>
      <c r="O312" t="n">
        <v>0</v>
      </c>
      <c r="P312" t="s">
        <v>33</v>
      </c>
      <c r="Q312">
        <f>HYPERLINK("https://images.diginfra.net/framed3.html?imagesetuuid=7806433b-7f26-4d4e-8e76-37d108a188de&amp;uri=https://images.diginfra.net/iiif/NL-HaNA_1.01.02/3781/NL-HaNA_1.01.02_3781_0477.jpg", "viewer_url")</f>
        <v/>
      </c>
      <c r="R312">
        <f>HYPERLINK("https://images.diginfra.net/iiif/NL-HaNA_1.01.02/3781/NL-HaNA_1.01.02_3781_0477.jpg/417,2556,1038,889/full/0/default.jpg", "iiif_url")</f>
        <v/>
      </c>
      <c r="S312" t="s">
        <v>29</v>
      </c>
      <c r="U312">
        <f>HYPERLINK("https://images.diginfra.net/framed3.html?imagesetuuid=7806433b-7f26-4d4e-8e76-37d108a188de&amp;uri=https://images.diginfra.net/iiif/NL-HaNA_1.01.02/3781/NL-HaNA_1.01.02_3781_0475.jpg", "prev_meeting_viewer_url")</f>
        <v/>
      </c>
      <c r="V312">
        <f>HYPERLINK("https://images.diginfra.net/iiif/NL-HaNA_1.01.02/3781/NL-HaNA_1.01.02_3781_0475.jpg/3435,723,1133,2713/full/0/default.jpg", "prev_meeting_iiif_url")</f>
        <v/>
      </c>
      <c r="W312" t="s">
        <v>33</v>
      </c>
      <c r="X312" t="s">
        <v>701</v>
      </c>
      <c r="Y312">
        <f>HYPERLINK("https://images.diginfra.net/framed3.html?imagesetuuid=7806433b-7f26-4d4e-8e76-37d108a188de&amp;uri=https://images.diginfra.net/iiif/NL-HaNA_1.01.02/3781/NL-HaNA_1.01.02_3781_0477.jpg", "next_meeting_viewer_url")</f>
        <v/>
      </c>
      <c r="Z312">
        <f>HYPERLINK("https://images.diginfra.net/iiif/NL-HaNA_1.01.02/3781/NL-HaNA_1.01.02_3781_0477.jpg/417,2556,1038,889/full/0/default.jpg", "next_meeting_iiif_url")</f>
        <v/>
      </c>
    </row>
    <row r="313" spans="1:26">
      <c r="A313" t="s">
        <v>1350</v>
      </c>
      <c r="B313" t="s">
        <v>63</v>
      </c>
      <c r="C313" t="s">
        <v>1351</v>
      </c>
      <c r="D313" t="b">
        <v>1</v>
      </c>
      <c r="E313" t="b">
        <v>1</v>
      </c>
      <c r="I313" t="s">
        <v>1352</v>
      </c>
      <c r="J313" t="n">
        <v>3836</v>
      </c>
      <c r="K313" t="n">
        <v>416</v>
      </c>
      <c r="L313" t="n">
        <v>831</v>
      </c>
      <c r="M313" t="n">
        <v>0</v>
      </c>
      <c r="N313" t="n">
        <v>2</v>
      </c>
      <c r="O313" t="n">
        <v>0</v>
      </c>
      <c r="P313" t="s">
        <v>29</v>
      </c>
      <c r="Q313">
        <f>HYPERLINK("https://images.diginfra.net/framed3.html?imagesetuuid=4afc9a09-602a-4496-bef5-1ae8940042a8&amp;uri=https://images.diginfra.net/iiif/NL-HaNA_1.01.02/3836/NL-HaNA_1.01.02_3836_0416.jpg", "viewer_url")</f>
        <v/>
      </c>
      <c r="R313">
        <f>HYPERLINK("https://images.diginfra.net/iiif/NL-HaNA_1.01.02/3836/NL-HaNA_1.01.02_3836_0416.jpg/2373,2385,1009,933/full/0/default.jpg", "iiif_url")</f>
        <v/>
      </c>
      <c r="S313" t="s">
        <v>29</v>
      </c>
      <c r="T313" t="s">
        <v>1353</v>
      </c>
      <c r="U313">
        <f>HYPERLINK("https://images.diginfra.net/framed3.html?imagesetuuid=4afc9a09-602a-4496-bef5-1ae8940042a8&amp;uri=https://images.diginfra.net/iiif/NL-HaNA_1.01.02/3836/NL-HaNA_1.01.02_3836_0415.jpg", "prev_meeting_viewer_url")</f>
        <v/>
      </c>
      <c r="V313">
        <f>HYPERLINK("https://images.diginfra.net/iiif/NL-HaNA_1.01.02/3836/NL-HaNA_1.01.02_3836_0415.jpg/1210,2073,1025,1173/full/0/default.jpg", "prev_meeting_iiif_url")</f>
        <v/>
      </c>
      <c r="W313" t="s">
        <v>29</v>
      </c>
      <c r="X313" t="s">
        <v>1354</v>
      </c>
      <c r="Y313">
        <f>HYPERLINK("https://images.diginfra.net/framed3.html?imagesetuuid=4afc9a09-602a-4496-bef5-1ae8940042a8&amp;uri=https://images.diginfra.net/iiif/NL-HaNA_1.01.02/3836/NL-HaNA_1.01.02_3836_0418.jpg", "next_meeting_viewer_url")</f>
        <v/>
      </c>
      <c r="Z313">
        <f>HYPERLINK("https://images.diginfra.net/iiif/NL-HaNA_1.01.02/3836/NL-HaNA_1.01.02_3836_0418.jpg/262,992,1072,2351/full/0/default.jpg", "next_meeting_iiif_url")</f>
        <v/>
      </c>
    </row>
    <row r="314" spans="1:26">
      <c r="A314" t="s">
        <v>1355</v>
      </c>
      <c r="B314" t="s">
        <v>42</v>
      </c>
      <c r="C314" t="s">
        <v>1356</v>
      </c>
      <c r="D314" t="b">
        <v>1</v>
      </c>
      <c r="E314" t="b">
        <v>1</v>
      </c>
      <c r="I314" t="s">
        <v>1357</v>
      </c>
      <c r="J314" t="n">
        <v>3830</v>
      </c>
      <c r="K314" t="n">
        <v>298</v>
      </c>
      <c r="L314" t="n">
        <v>594</v>
      </c>
      <c r="M314" t="n">
        <v>1</v>
      </c>
      <c r="N314" t="n">
        <v>1</v>
      </c>
      <c r="O314" t="n">
        <v>55</v>
      </c>
      <c r="P314" t="s">
        <v>29</v>
      </c>
      <c r="Q314">
        <f>HYPERLINK("https://images.diginfra.net/framed3.html?imagesetuuid=c4957ef5-1023-495b-ad5d-bfab5967cb29&amp;uri=https://images.diginfra.net/iiif/NL-HaNA_1.01.02/3830/NL-HaNA_1.01.02_3830_0298.jpg", "viewer_url")</f>
        <v/>
      </c>
      <c r="R314">
        <f>HYPERLINK("https://images.diginfra.net/iiif/NL-HaNA_1.01.02/3830/NL-HaNA_1.01.02_3830_0298.jpg/1250,2831,1077,546/full/0/default.jpg", "iiif_url")</f>
        <v/>
      </c>
      <c r="S314" t="s">
        <v>29</v>
      </c>
      <c r="T314" t="s">
        <v>1358</v>
      </c>
      <c r="U314">
        <f>HYPERLINK("https://images.diginfra.net/framed3.html?imagesetuuid=c4957ef5-1023-495b-ad5d-bfab5967cb29&amp;uri=https://images.diginfra.net/iiif/NL-HaNA_1.01.02/3830/NL-HaNA_1.01.02_3830_0294.jpg", "prev_meeting_viewer_url")</f>
        <v/>
      </c>
      <c r="V314">
        <f>HYPERLINK("https://images.diginfra.net/iiif/NL-HaNA_1.01.02/3830/NL-HaNA_1.01.02_3830_0294.jpg/3388,1699,1073,1560/full/0/default.jpg", "prev_meeting_iiif_url")</f>
        <v/>
      </c>
      <c r="W314" t="s">
        <v>29</v>
      </c>
      <c r="X314" t="s">
        <v>1359</v>
      </c>
      <c r="Y314">
        <f>HYPERLINK("https://images.diginfra.net/framed3.html?imagesetuuid=c4957ef5-1023-495b-ad5d-bfab5967cb29&amp;uri=https://images.diginfra.net/iiif/NL-HaNA_1.01.02/3830/NL-HaNA_1.01.02_3830_0299.jpg", "next_meeting_viewer_url")</f>
        <v/>
      </c>
      <c r="Z314">
        <f>HYPERLINK("https://images.diginfra.net/iiif/NL-HaNA_1.01.02/3830/NL-HaNA_1.01.02_3830_0299.jpg/1237,1395,1085,1913/full/0/default.jpg", "next_meeting_iiif_url")</f>
        <v/>
      </c>
    </row>
    <row r="315" spans="1:26">
      <c r="A315" t="s">
        <v>1360</v>
      </c>
      <c r="B315" t="s">
        <v>27</v>
      </c>
      <c r="D315" t="b">
        <v>0</v>
      </c>
      <c r="E315" t="b">
        <v>0</v>
      </c>
      <c r="I315" t="s">
        <v>1361</v>
      </c>
      <c r="J315" t="n">
        <v>3821</v>
      </c>
      <c r="K315" t="n">
        <v>172</v>
      </c>
      <c r="L315" t="n">
        <v>343</v>
      </c>
      <c r="M315" t="n">
        <v>0</v>
      </c>
      <c r="N315" t="n">
        <v>1</v>
      </c>
      <c r="O315" t="n">
        <v>17</v>
      </c>
      <c r="P315" t="s">
        <v>29</v>
      </c>
      <c r="Q315">
        <f>HYPERLINK("https://images.diginfra.net/framed3.html?imagesetuuid=d2997452-8788-4796-912c-2151f3b459f9&amp;uri=https://images.diginfra.net/iiif/NL-HaNA_1.01.02/3821/NL-HaNA_1.01.02_3821_0172.jpg", "viewer_url")</f>
        <v/>
      </c>
      <c r="R315">
        <f>HYPERLINK("https://images.diginfra.net/iiif/NL-HaNA_1.01.02/3821/NL-HaNA_1.01.02_3821_0172.jpg/2351,2245,1059,1180/full/0/default.jpg", "iiif_url")</f>
        <v/>
      </c>
      <c r="W315" t="s">
        <v>29</v>
      </c>
      <c r="X315" t="s">
        <v>1362</v>
      </c>
      <c r="Y315">
        <f>HYPERLINK("https://images.diginfra.net/framed3.html?imagesetuuid=d2997452-8788-4796-912c-2151f3b459f9&amp;uri=https://images.diginfra.net/iiif/NL-HaNA_1.01.02/3821/NL-HaNA_1.01.02_3821_0172.jpg", "next_meeting_viewer_url")</f>
        <v/>
      </c>
      <c r="Z315">
        <f>HYPERLINK("https://images.diginfra.net/iiif/NL-HaNA_1.01.02/3821/NL-HaNA_1.01.02_3821_0172.jpg/2351,2245,1059,1180/full/0/default.jpg", "next_meeting_iiif_url")</f>
        <v/>
      </c>
    </row>
    <row r="316" spans="1:26">
      <c r="A316" t="s">
        <v>1363</v>
      </c>
      <c r="B316" t="s">
        <v>76</v>
      </c>
      <c r="C316" t="s">
        <v>1364</v>
      </c>
      <c r="D316" t="b">
        <v>1</v>
      </c>
      <c r="E316" t="b">
        <v>1</v>
      </c>
      <c r="I316" t="s">
        <v>1365</v>
      </c>
      <c r="J316" t="n">
        <v>3762</v>
      </c>
      <c r="K316" t="n">
        <v>155</v>
      </c>
      <c r="L316" t="n">
        <v>309</v>
      </c>
      <c r="M316" t="n">
        <v>1</v>
      </c>
      <c r="N316" t="n">
        <v>2</v>
      </c>
      <c r="O316" t="n">
        <v>6</v>
      </c>
      <c r="P316" t="s">
        <v>29</v>
      </c>
      <c r="Q316">
        <f>HYPERLINK("https://images.diginfra.net/framed3.html?imagesetuuid=df3dafee-b161-42ae-8ffe-6d7f9dbb63ed&amp;uri=https://images.diginfra.net/iiif/NL-HaNA_1.01.02/3762/NL-HaNA_1.01.02_3762_0155.jpg", "viewer_url")</f>
        <v/>
      </c>
      <c r="R316">
        <f>HYPERLINK("https://images.diginfra.net/iiif/NL-HaNA_1.01.02/3762/NL-HaNA_1.01.02_3762_0155.jpg/3288,2610,1137,805/full/0/default.jpg", "iiif_url")</f>
        <v/>
      </c>
      <c r="S316" t="s">
        <v>29</v>
      </c>
      <c r="T316" t="s">
        <v>1366</v>
      </c>
      <c r="U316">
        <f>HYPERLINK("https://images.diginfra.net/framed3.html?imagesetuuid=df3dafee-b161-42ae-8ffe-6d7f9dbb63ed&amp;uri=https://images.diginfra.net/iiif/NL-HaNA_1.01.02/3762/NL-HaNA_1.01.02_3762_0153.jpg", "prev_meeting_viewer_url")</f>
        <v/>
      </c>
      <c r="V316">
        <f>HYPERLINK("https://images.diginfra.net/iiif/NL-HaNA_1.01.02/3762/NL-HaNA_1.01.02_3762_0153.jpg/1266,2769,1075,662/full/0/default.jpg", "prev_meeting_iiif_url")</f>
        <v/>
      </c>
      <c r="W316" t="s">
        <v>29</v>
      </c>
      <c r="X316" t="s">
        <v>1367</v>
      </c>
      <c r="Y316">
        <f>HYPERLINK("https://images.diginfra.net/framed3.html?imagesetuuid=df3dafee-b161-42ae-8ffe-6d7f9dbb63ed&amp;uri=https://images.diginfra.net/iiif/NL-HaNA_1.01.02/3762/NL-HaNA_1.01.02_3762_0160.jpg", "next_meeting_viewer_url")</f>
        <v/>
      </c>
      <c r="Z316">
        <f>HYPERLINK("https://images.diginfra.net/iiif/NL-HaNA_1.01.02/3762/NL-HaNA_1.01.02_3762_0160.jpg/2380,1912,1095,1528/full/0/default.jpg", "next_meeting_iiif_url")</f>
        <v/>
      </c>
    </row>
    <row r="317" spans="1:26">
      <c r="A317" t="s">
        <v>1368</v>
      </c>
      <c r="B317" t="s">
        <v>48</v>
      </c>
      <c r="D317" t="b">
        <v>0</v>
      </c>
      <c r="E317" t="b">
        <v>0</v>
      </c>
      <c r="I317" t="s">
        <v>1369</v>
      </c>
      <c r="J317" t="n">
        <v>3824</v>
      </c>
      <c r="K317" t="n">
        <v>534</v>
      </c>
      <c r="L317" t="n">
        <v>1066</v>
      </c>
      <c r="M317" t="n">
        <v>1</v>
      </c>
      <c r="N317" t="n">
        <v>1</v>
      </c>
      <c r="O317" t="n">
        <v>0</v>
      </c>
      <c r="P317" t="s">
        <v>29</v>
      </c>
      <c r="Q317">
        <f>HYPERLINK("https://images.diginfra.net/framed3.html?imagesetuuid=dd191040-86df-4eff-a597-814a829dbed3&amp;uri=https://images.diginfra.net/iiif/NL-HaNA_1.01.02/3824/NL-HaNA_1.01.02_3824_0534.jpg", "viewer_url")</f>
        <v/>
      </c>
      <c r="R317">
        <f>HYPERLINK("https://images.diginfra.net/iiif/NL-HaNA_1.01.02/3824/NL-HaNA_1.01.02_3824_0534.jpg/1250,500,1081,2839/full/0/default.jpg", "iiif_url")</f>
        <v/>
      </c>
      <c r="S317" t="s">
        <v>29</v>
      </c>
      <c r="T317" t="s">
        <v>1370</v>
      </c>
      <c r="U317">
        <f>HYPERLINK("https://images.diginfra.net/framed3.html?imagesetuuid=dd191040-86df-4eff-a597-814a829dbed3&amp;uri=https://images.diginfra.net/iiif/NL-HaNA_1.01.02/3824/NL-HaNA_1.01.02_3824_0531.jpg", "prev_meeting_viewer_url")</f>
        <v/>
      </c>
      <c r="V317">
        <f>HYPERLINK("https://images.diginfra.net/iiif/NL-HaNA_1.01.02/3824/NL-HaNA_1.01.02_3824_0531.jpg/2321,1227,1075,2112/full/0/default.jpg", "prev_meeting_iiif_url")</f>
        <v/>
      </c>
      <c r="W317" t="s">
        <v>29</v>
      </c>
      <c r="X317" t="s">
        <v>1371</v>
      </c>
      <c r="Y317">
        <f>HYPERLINK("https://images.diginfra.net/framed3.html?imagesetuuid=dd191040-86df-4eff-a597-814a829dbed3&amp;uri=https://images.diginfra.net/iiif/NL-HaNA_1.01.02/3824/NL-HaNA_1.01.02_3824_0534.jpg", "next_meeting_viewer_url")</f>
        <v/>
      </c>
      <c r="Z317">
        <f>HYPERLINK("https://images.diginfra.net/iiif/NL-HaNA_1.01.02/3824/NL-HaNA_1.01.02_3824_0534.jpg/1250,500,1081,2839/full/0/default.jpg", "next_meeting_iiif_url")</f>
        <v/>
      </c>
    </row>
    <row r="318" spans="1:26">
      <c r="A318" t="s">
        <v>1372</v>
      </c>
      <c r="B318" t="s">
        <v>42</v>
      </c>
      <c r="C318" t="s">
        <v>1373</v>
      </c>
      <c r="D318" t="b">
        <v>1</v>
      </c>
      <c r="E318" t="b">
        <v>1</v>
      </c>
      <c r="I318" t="s">
        <v>1374</v>
      </c>
      <c r="J318" t="n">
        <v>3836</v>
      </c>
      <c r="K318" t="n">
        <v>333</v>
      </c>
      <c r="L318" t="n">
        <v>664</v>
      </c>
      <c r="M318" t="n">
        <v>0</v>
      </c>
      <c r="N318" t="n">
        <v>1</v>
      </c>
      <c r="O318" t="n">
        <v>0</v>
      </c>
      <c r="P318" t="s">
        <v>29</v>
      </c>
      <c r="Q318">
        <f>HYPERLINK("https://images.diginfra.net/framed3.html?imagesetuuid=4afc9a09-602a-4496-bef5-1ae8940042a8&amp;uri=https://images.diginfra.net/iiif/NL-HaNA_1.01.02/3836/NL-HaNA_1.01.02_3836_0333.jpg", "viewer_url")</f>
        <v/>
      </c>
      <c r="R318">
        <f>HYPERLINK("https://images.diginfra.net/iiif/NL-HaNA_1.01.02/3836/NL-HaNA_1.01.02_3836_0333.jpg/190,860,1086,2552/full/0/default.jpg", "iiif_url")</f>
        <v/>
      </c>
      <c r="S318" t="s">
        <v>29</v>
      </c>
      <c r="T318" t="s">
        <v>1375</v>
      </c>
      <c r="U318">
        <f>HYPERLINK("https://images.diginfra.net/framed3.html?imagesetuuid=4afc9a09-602a-4496-bef5-1ae8940042a8&amp;uri=https://images.diginfra.net/iiif/NL-HaNA_1.01.02/3836/NL-HaNA_1.01.02_3836_0330.jpg", "prev_meeting_viewer_url")</f>
        <v/>
      </c>
      <c r="V318">
        <f>HYPERLINK("https://images.diginfra.net/iiif/NL-HaNA_1.01.02/3836/NL-HaNA_1.01.02_3836_0330.jpg/2311,1155,1100,2260/full/0/default.jpg", "prev_meeting_iiif_url")</f>
        <v/>
      </c>
      <c r="W318" t="s">
        <v>29</v>
      </c>
      <c r="X318" t="s">
        <v>1376</v>
      </c>
      <c r="Y318">
        <f>HYPERLINK("https://images.diginfra.net/framed3.html?imagesetuuid=4afc9a09-602a-4496-bef5-1ae8940042a8&amp;uri=https://images.diginfra.net/iiif/NL-HaNA_1.01.02/3836/NL-HaNA_1.01.02_3836_0334.jpg", "next_meeting_viewer_url")</f>
        <v/>
      </c>
      <c r="Z318">
        <f>HYPERLINK("https://images.diginfra.net/iiif/NL-HaNA_1.01.02/3836/NL-HaNA_1.01.02_3836_0334.jpg/1190,1838,1078,1588/full/0/default.jpg", "next_meeting_iiif_url")</f>
        <v/>
      </c>
    </row>
    <row r="319" spans="1:26">
      <c r="A319" t="s">
        <v>1377</v>
      </c>
      <c r="B319" t="s">
        <v>42</v>
      </c>
      <c r="C319" t="s">
        <v>1378</v>
      </c>
      <c r="D319" t="b">
        <v>1</v>
      </c>
      <c r="E319" t="b">
        <v>1</v>
      </c>
      <c r="I319" t="s">
        <v>1379</v>
      </c>
      <c r="J319" t="n">
        <v>3822</v>
      </c>
      <c r="K319" t="n">
        <v>410</v>
      </c>
      <c r="L319" t="n">
        <v>818</v>
      </c>
      <c r="M319" t="n">
        <v>0</v>
      </c>
      <c r="N319" t="n">
        <v>1</v>
      </c>
      <c r="O319" t="n">
        <v>0</v>
      </c>
      <c r="P319" t="s">
        <v>29</v>
      </c>
      <c r="Q319">
        <f>HYPERLINK("https://images.diginfra.net/framed3.html?imagesetuuid=e0965315-891d-46c1-9dac-fc6b729921cf&amp;uri=https://images.diginfra.net/iiif/NL-HaNA_1.01.02/3822/NL-HaNA_1.01.02_3822_0410.jpg", "viewer_url")</f>
        <v/>
      </c>
      <c r="R319">
        <f>HYPERLINK("https://images.diginfra.net/iiif/NL-HaNA_1.01.02/3822/NL-HaNA_1.01.02_3822_0410.jpg/226,1405,1085,1990/full/0/default.jpg", "iiif_url")</f>
        <v/>
      </c>
      <c r="S319" t="s">
        <v>29</v>
      </c>
      <c r="T319" t="s">
        <v>1380</v>
      </c>
      <c r="U319">
        <f>HYPERLINK("https://images.diginfra.net/framed3.html?imagesetuuid=e0965315-891d-46c1-9dac-fc6b729921cf&amp;uri=https://images.diginfra.net/iiif/NL-HaNA_1.01.02/3822/NL-HaNA_1.01.02_3822_0407.jpg", "prev_meeting_viewer_url")</f>
        <v/>
      </c>
      <c r="V319">
        <f>HYPERLINK("https://images.diginfra.net/iiif/NL-HaNA_1.01.02/3822/NL-HaNA_1.01.02_3822_0407.jpg/263,2801,1076,486/full/0/default.jpg", "prev_meeting_iiif_url")</f>
        <v/>
      </c>
      <c r="W319" t="s">
        <v>29</v>
      </c>
      <c r="Y319">
        <f>HYPERLINK("https://images.diginfra.net/framed3.html?imagesetuuid=e0965315-891d-46c1-9dac-fc6b729921cf&amp;uri=https://images.diginfra.net/iiif/NL-HaNA_1.01.02/3822/NL-HaNA_1.01.02_3822_0413.jpg", "next_meeting_viewer_url")</f>
        <v/>
      </c>
      <c r="Z319">
        <f>HYPERLINK("https://images.diginfra.net/iiif/NL-HaNA_1.01.02/3822/NL-HaNA_1.01.02_3822_0413.jpg/3257,2746,1062,636/full/0/default.jpg", "next_meeting_iiif_url")</f>
        <v/>
      </c>
    </row>
    <row r="320" spans="1:26">
      <c r="A320" t="s">
        <v>1381</v>
      </c>
      <c r="B320" t="s">
        <v>37</v>
      </c>
      <c r="C320" t="s">
        <v>1382</v>
      </c>
      <c r="D320" t="b">
        <v>1</v>
      </c>
      <c r="E320" t="b">
        <v>1</v>
      </c>
      <c r="I320" t="s">
        <v>1383</v>
      </c>
      <c r="J320" t="n">
        <v>3823</v>
      </c>
      <c r="K320" t="n">
        <v>391</v>
      </c>
      <c r="L320" t="n">
        <v>781</v>
      </c>
      <c r="M320" t="n">
        <v>0</v>
      </c>
      <c r="N320" t="n">
        <v>0</v>
      </c>
      <c r="O320" t="n">
        <v>31</v>
      </c>
      <c r="P320" t="s">
        <v>29</v>
      </c>
      <c r="Q320">
        <f>HYPERLINK("https://images.diginfra.net/framed3.html?imagesetuuid=08f55768-66d4-4560-816c-70f4ea910842&amp;uri=https://images.diginfra.net/iiif/NL-HaNA_1.01.02/3823/NL-HaNA_1.01.02_3823_0391.jpg", "viewer_url")</f>
        <v/>
      </c>
      <c r="R320">
        <f>HYPERLINK("https://images.diginfra.net/iiif/NL-HaNA_1.01.02/3823/NL-HaNA_1.01.02_3823_0391.jpg/2334,1748,1079,1595/full/0/default.jpg", "iiif_url")</f>
        <v/>
      </c>
      <c r="W320" t="s">
        <v>29</v>
      </c>
      <c r="X320" t="s">
        <v>1384</v>
      </c>
      <c r="Y320">
        <f>HYPERLINK("https://images.diginfra.net/framed3.html?imagesetuuid=08f55768-66d4-4560-816c-70f4ea910842&amp;uri=https://images.diginfra.net/iiif/NL-HaNA_1.01.02/3823/NL-HaNA_1.01.02_3823_0392.jpg", "next_meeting_viewer_url")</f>
        <v/>
      </c>
      <c r="Z320">
        <f>HYPERLINK("https://images.diginfra.net/iiif/NL-HaNA_1.01.02/3823/NL-HaNA_1.01.02_3823_0392.jpg/3306,266,1085,3076/full/0/default.jpg", "next_meeting_iiif_url")</f>
        <v/>
      </c>
    </row>
    <row r="321" spans="1:26">
      <c r="A321" t="s">
        <v>1385</v>
      </c>
      <c r="B321" t="s">
        <v>63</v>
      </c>
      <c r="D321" t="b">
        <v>1</v>
      </c>
      <c r="E321" t="b">
        <v>1</v>
      </c>
      <c r="I321" t="s">
        <v>1386</v>
      </c>
      <c r="J321" t="n">
        <v>3860</v>
      </c>
      <c r="K321" t="n">
        <v>31</v>
      </c>
      <c r="L321" t="n">
        <v>60</v>
      </c>
      <c r="M321" t="n">
        <v>1</v>
      </c>
      <c r="N321" t="n">
        <v>1</v>
      </c>
      <c r="O321" t="n">
        <v>2</v>
      </c>
      <c r="P321" t="s">
        <v>29</v>
      </c>
      <c r="Q321">
        <f>HYPERLINK("https://images.diginfra.net/framed3.html?imagesetuuid=85a72eaa-4faa-4148-a025-9b1c9fb4c2c1&amp;uri=https://images.diginfra.net/iiif/NL-HaNA_1.01.02/3860/NL-HaNA_1.01.02_3860_0031.jpg", "viewer_url")</f>
        <v/>
      </c>
      <c r="R321">
        <f>HYPERLINK("https://images.diginfra.net/iiif/NL-HaNA_1.01.02/3860/NL-HaNA_1.01.02_3860_0031.jpg/1438,2312,1026,1124/full/0/default.jpg", "iiif_url")</f>
        <v/>
      </c>
      <c r="S321" t="s">
        <v>29</v>
      </c>
      <c r="T321" t="s">
        <v>1387</v>
      </c>
      <c r="U321">
        <f>HYPERLINK("https://images.diginfra.net/framed3.html?imagesetuuid=85a72eaa-4faa-4148-a025-9b1c9fb4c2c1&amp;uri=https://images.diginfra.net/iiif/NL-HaNA_1.01.02/3860/NL-HaNA_1.01.02_3860_0029.jpg", "prev_meeting_viewer_url")</f>
        <v/>
      </c>
      <c r="V321">
        <f>HYPERLINK("https://images.diginfra.net/iiif/NL-HaNA_1.01.02/3860/NL-HaNA_1.01.02_3860_0029.jpg/415,1105,1071,2352/full/0/default.jpg", "prev_meeting_iiif_url")</f>
        <v/>
      </c>
      <c r="W321" t="s">
        <v>29</v>
      </c>
      <c r="X321" t="s">
        <v>1388</v>
      </c>
      <c r="Y321">
        <f>HYPERLINK("https://images.diginfra.net/framed3.html?imagesetuuid=85a72eaa-4faa-4148-a025-9b1c9fb4c2c1&amp;uri=https://images.diginfra.net/iiif/NL-HaNA_1.01.02/3860/NL-HaNA_1.01.02_3860_0033.jpg", "next_meeting_viewer_url")</f>
        <v/>
      </c>
      <c r="Z321">
        <f>HYPERLINK("https://images.diginfra.net/iiif/NL-HaNA_1.01.02/3860/NL-HaNA_1.01.02_3860_0033.jpg/3395,925,1083,2445/full/0/default.jpg", "next_meeting_iiif_url")</f>
        <v/>
      </c>
    </row>
    <row r="322" spans="1:26">
      <c r="A322" t="s">
        <v>1389</v>
      </c>
      <c r="B322" t="s">
        <v>53</v>
      </c>
      <c r="C322" t="s">
        <v>1151</v>
      </c>
      <c r="D322" t="b">
        <v>1</v>
      </c>
      <c r="E322" t="b">
        <v>1</v>
      </c>
      <c r="I322" t="s">
        <v>1390</v>
      </c>
      <c r="J322" t="n">
        <v>3765</v>
      </c>
      <c r="K322" t="n">
        <v>678</v>
      </c>
      <c r="L322" t="n">
        <v>1355</v>
      </c>
      <c r="M322" t="n">
        <v>1</v>
      </c>
      <c r="N322" t="n">
        <v>2</v>
      </c>
      <c r="O322" t="n">
        <v>0</v>
      </c>
      <c r="P322" t="s">
        <v>29</v>
      </c>
      <c r="Q322">
        <f>HYPERLINK("https://images.diginfra.net/framed3.html?imagesetuuid=4dfc1a1b-8cdf-4492-b411-5e67950ce484&amp;uri=https://images.diginfra.net/iiif/NL-HaNA_1.01.02/3765/NL-HaNA_1.01.02_3765_0678.jpg", "viewer_url")</f>
        <v/>
      </c>
      <c r="R322">
        <f>HYPERLINK("https://images.diginfra.net/iiif/NL-HaNA_1.01.02/3765/NL-HaNA_1.01.02_3765_0678.jpg/3518,2888,895,552/full/0/default.jpg", "iiif_url")</f>
        <v/>
      </c>
      <c r="W322" t="s">
        <v>29</v>
      </c>
      <c r="X322" t="s">
        <v>1391</v>
      </c>
      <c r="Y322">
        <f>HYPERLINK("https://images.diginfra.net/framed3.html?imagesetuuid=4dfc1a1b-8cdf-4492-b411-5e67950ce484&amp;uri=https://images.diginfra.net/iiif/NL-HaNA_1.01.02/3765/NL-HaNA_1.01.02_3765_0682.jpg", "next_meeting_viewer_url")</f>
        <v/>
      </c>
      <c r="Z322">
        <f>HYPERLINK("https://images.diginfra.net/iiif/NL-HaNA_1.01.02/3765/NL-HaNA_1.01.02_3765_0682.jpg/1378,1904,1101,1464/full/0/default.jpg", "next_meeting_iiif_url")</f>
        <v/>
      </c>
    </row>
    <row r="323" spans="1:26">
      <c r="A323" t="s">
        <v>1392</v>
      </c>
      <c r="B323" t="s">
        <v>53</v>
      </c>
      <c r="C323" t="s">
        <v>1393</v>
      </c>
      <c r="D323" t="b">
        <v>1</v>
      </c>
      <c r="E323" t="b">
        <v>1</v>
      </c>
      <c r="I323" t="s">
        <v>1394</v>
      </c>
      <c r="J323" t="n">
        <v>3762</v>
      </c>
      <c r="K323" t="n">
        <v>577</v>
      </c>
      <c r="L323" t="n">
        <v>1153</v>
      </c>
      <c r="M323" t="n">
        <v>0</v>
      </c>
      <c r="N323" t="n">
        <v>2</v>
      </c>
      <c r="O323" t="n">
        <v>0</v>
      </c>
      <c r="P323" t="s">
        <v>29</v>
      </c>
      <c r="Q323">
        <f>HYPERLINK("https://images.diginfra.net/framed3.html?imagesetuuid=df3dafee-b161-42ae-8ffe-6d7f9dbb63ed&amp;uri=https://images.diginfra.net/iiif/NL-HaNA_1.01.02/3762/NL-HaNA_1.01.02_3762_0577.jpg", "viewer_url")</f>
        <v/>
      </c>
      <c r="R323">
        <f>HYPERLINK("https://images.diginfra.net/iiif/NL-HaNA_1.01.02/3762/NL-HaNA_1.01.02_3762_0577.jpg/2345,1532,1077,1866/full/0/default.jpg", "iiif_url")</f>
        <v/>
      </c>
      <c r="S323" t="s">
        <v>29</v>
      </c>
      <c r="T323" t="s">
        <v>1395</v>
      </c>
      <c r="U323">
        <f>HYPERLINK("https://images.diginfra.net/framed3.html?imagesetuuid=df3dafee-b161-42ae-8ffe-6d7f9dbb63ed&amp;uri=https://images.diginfra.net/iiif/NL-HaNA_1.01.02/3762/NL-HaNA_1.01.02_3762_0577.jpg", "prev_meeting_viewer_url")</f>
        <v/>
      </c>
      <c r="V323">
        <f>HYPERLINK("https://images.diginfra.net/iiif/NL-HaNA_1.01.02/3762/NL-HaNA_1.01.02_3762_0577.jpg/356,327,1100,3087/full/0/default.jpg", "prev_meeting_iiif_url")</f>
        <v/>
      </c>
      <c r="W323" t="s">
        <v>29</v>
      </c>
      <c r="X323" t="s">
        <v>1396</v>
      </c>
      <c r="Y323">
        <f>HYPERLINK("https://images.diginfra.net/framed3.html?imagesetuuid=df3dafee-b161-42ae-8ffe-6d7f9dbb63ed&amp;uri=https://images.diginfra.net/iiif/NL-HaNA_1.01.02/3762/NL-HaNA_1.01.02_3762_0578.jpg", "next_meeting_viewer_url")</f>
        <v/>
      </c>
      <c r="Z323">
        <f>HYPERLINK("https://images.diginfra.net/iiif/NL-HaNA_1.01.02/3762/NL-HaNA_1.01.02_3762_0578.jpg/3364,2387,1051,941/full/0/default.jpg", "next_meeting_iiif_url")</f>
        <v/>
      </c>
    </row>
    <row r="324" spans="1:26">
      <c r="A324" t="s">
        <v>1397</v>
      </c>
      <c r="B324" t="s">
        <v>76</v>
      </c>
      <c r="C324" t="s">
        <v>1398</v>
      </c>
      <c r="D324" t="b">
        <v>1</v>
      </c>
      <c r="E324" t="b">
        <v>1</v>
      </c>
      <c r="I324" t="s">
        <v>1399</v>
      </c>
      <c r="J324" t="n">
        <v>3850</v>
      </c>
      <c r="K324" t="n">
        <v>200</v>
      </c>
      <c r="L324" t="n">
        <v>398</v>
      </c>
      <c r="M324" t="n">
        <v>1</v>
      </c>
      <c r="N324" t="n">
        <v>1</v>
      </c>
      <c r="O324" t="n">
        <v>0</v>
      </c>
      <c r="P324" t="s">
        <v>29</v>
      </c>
      <c r="Q324">
        <f>HYPERLINK("https://images.diginfra.net/framed3.html?imagesetuuid=c85930a5-cbb7-4080-aa48-a5bcfddd21f7&amp;uri=https://images.diginfra.net/iiif/NL-HaNA_1.01.02/3850/NL-HaNA_1.01.02_3850_0200.jpg", "viewer_url")</f>
        <v/>
      </c>
      <c r="R324">
        <f>HYPERLINK("https://images.diginfra.net/iiif/NL-HaNA_1.01.02/3850/NL-HaNA_1.01.02_3850_0200.jpg/1197,737,1083,2743/full/0/default.jpg", "iiif_url")</f>
        <v/>
      </c>
      <c r="S324" t="s">
        <v>29</v>
      </c>
      <c r="T324" t="s">
        <v>1400</v>
      </c>
      <c r="U324">
        <f>HYPERLINK("https://images.diginfra.net/framed3.html?imagesetuuid=c85930a5-cbb7-4080-aa48-a5bcfddd21f7&amp;uri=https://images.diginfra.net/iiif/NL-HaNA_1.01.02/3850/NL-HaNA_1.01.02_3850_0197.jpg", "prev_meeting_viewer_url")</f>
        <v/>
      </c>
      <c r="V324">
        <f>HYPERLINK("https://images.diginfra.net/iiif/NL-HaNA_1.01.02/3850/NL-HaNA_1.01.02_3850_0197.jpg/3304,1855,1020,1510/full/0/default.jpg", "prev_meeting_iiif_url")</f>
        <v/>
      </c>
      <c r="W324" t="s">
        <v>33</v>
      </c>
      <c r="X324" t="s">
        <v>1401</v>
      </c>
      <c r="Y324">
        <f>HYPERLINK("https://images.diginfra.net/framed3.html?imagesetuuid=c85930a5-cbb7-4080-aa48-a5bcfddd21f7&amp;uri=https://images.diginfra.net/iiif/NL-HaNA_1.01.02/3850/NL-HaNA_1.01.02_3850_0202.jpg", "next_meeting_viewer_url")</f>
        <v/>
      </c>
      <c r="Z324">
        <f>HYPERLINK("https://images.diginfra.net/iiif/NL-HaNA_1.01.02/3850/NL-HaNA_1.01.02_3850_0202.jpg/3336,2092,1042,1294/full/0/default.jpg", "next_meeting_iiif_url")</f>
        <v/>
      </c>
    </row>
    <row r="325" spans="1:26">
      <c r="A325" t="s">
        <v>1402</v>
      </c>
      <c r="B325" t="s">
        <v>63</v>
      </c>
      <c r="C325" t="s">
        <v>1403</v>
      </c>
      <c r="D325" t="b">
        <v>1</v>
      </c>
      <c r="E325" t="b">
        <v>1</v>
      </c>
      <c r="I325" t="s">
        <v>1404</v>
      </c>
      <c r="J325" t="n">
        <v>3781</v>
      </c>
      <c r="K325" t="n">
        <v>403</v>
      </c>
      <c r="L325" t="n">
        <v>805</v>
      </c>
      <c r="M325" t="n">
        <v>1</v>
      </c>
      <c r="N325" t="n">
        <v>1</v>
      </c>
      <c r="O325" t="n">
        <v>0</v>
      </c>
      <c r="P325" t="s">
        <v>29</v>
      </c>
      <c r="Q325">
        <f>HYPERLINK("https://images.diginfra.net/framed3.html?imagesetuuid=7806433b-7f26-4d4e-8e76-37d108a188de&amp;uri=https://images.diginfra.net/iiif/NL-HaNA_1.01.02/3781/NL-HaNA_1.01.02_3781_0403.jpg", "viewer_url")</f>
        <v/>
      </c>
      <c r="R325">
        <f>HYPERLINK("https://images.diginfra.net/iiif/NL-HaNA_1.01.02/3781/NL-HaNA_1.01.02_3781_0403.jpg/3496,1453,1103,2005/full/0/default.jpg", "iiif_url")</f>
        <v/>
      </c>
      <c r="S325" t="s">
        <v>29</v>
      </c>
      <c r="T325" t="s">
        <v>1405</v>
      </c>
      <c r="U325">
        <f>HYPERLINK("https://images.diginfra.net/framed3.html?imagesetuuid=7806433b-7f26-4d4e-8e76-37d108a188de&amp;uri=https://images.diginfra.net/iiif/NL-HaNA_1.01.02/3781/NL-HaNA_1.01.02_3781_0403.jpg", "prev_meeting_viewer_url")</f>
        <v/>
      </c>
      <c r="V325">
        <f>HYPERLINK("https://images.diginfra.net/iiif/NL-HaNA_1.01.02/3781/NL-HaNA_1.01.02_3781_0403.jpg/400,1402,1087,2045/full/0/default.jpg", "prev_meeting_iiif_url")</f>
        <v/>
      </c>
      <c r="W325" t="s">
        <v>29</v>
      </c>
      <c r="X325" t="s">
        <v>1406</v>
      </c>
      <c r="Y325">
        <f>HYPERLINK("https://images.diginfra.net/framed3.html?imagesetuuid=7806433b-7f26-4d4e-8e76-37d108a188de&amp;uri=https://images.diginfra.net/iiif/NL-HaNA_1.01.02/3781/NL-HaNA_1.01.02_3781_0404.jpg", "next_meeting_viewer_url")</f>
        <v/>
      </c>
      <c r="Z325">
        <f>HYPERLINK("https://images.diginfra.net/iiif/NL-HaNA_1.01.02/3781/NL-HaNA_1.01.02_3781_0404.jpg/2538,2089,1092,1384/full/0/default.jpg", "next_meeting_iiif_url")</f>
        <v/>
      </c>
    </row>
    <row r="326" spans="1:26">
      <c r="A326" t="s">
        <v>1407</v>
      </c>
      <c r="B326" t="s">
        <v>76</v>
      </c>
      <c r="C326" t="s">
        <v>1408</v>
      </c>
      <c r="D326" t="b">
        <v>1</v>
      </c>
      <c r="E326" t="b">
        <v>1</v>
      </c>
      <c r="I326" t="s">
        <v>1409</v>
      </c>
      <c r="J326" t="n">
        <v>3806</v>
      </c>
      <c r="K326" t="n">
        <v>412</v>
      </c>
      <c r="L326" t="n">
        <v>823</v>
      </c>
      <c r="M326" t="n">
        <v>1</v>
      </c>
      <c r="N326" t="n">
        <v>2</v>
      </c>
      <c r="O326" t="n">
        <v>0</v>
      </c>
      <c r="P326" t="s">
        <v>29</v>
      </c>
      <c r="Q326">
        <f>HYPERLINK("https://images.diginfra.net/framed3.html?imagesetuuid=0c00a1f2-d59c-4408-905f-fe388b02204f&amp;uri=https://images.diginfra.net/iiif/NL-HaNA_1.01.02/3806/NL-HaNA_1.01.02_3806_0412.jpg", "viewer_url")</f>
        <v/>
      </c>
      <c r="R326">
        <f>HYPERLINK("https://images.diginfra.net/iiif/NL-HaNA_1.01.02/3806/NL-HaNA_1.01.02_3806_0412.jpg/3444,1542,1052,1868/full/0/default.jpg", "iiif_url")</f>
        <v/>
      </c>
      <c r="S326" t="s">
        <v>29</v>
      </c>
      <c r="T326" t="s">
        <v>1410</v>
      </c>
      <c r="U326">
        <f>HYPERLINK("https://images.diginfra.net/framed3.html?imagesetuuid=0c00a1f2-d59c-4408-905f-fe388b02204f&amp;uri=https://images.diginfra.net/iiif/NL-HaNA_1.01.02/3806/NL-HaNA_1.01.02_3806_0411.jpg", "prev_meeting_viewer_url")</f>
        <v/>
      </c>
      <c r="V326">
        <f>HYPERLINK("https://images.diginfra.net/iiif/NL-HaNA_1.01.02/3806/NL-HaNA_1.01.02_3806_0411.jpg/1290,2630,1055,712/full/0/default.jpg", "prev_meeting_iiif_url")</f>
        <v/>
      </c>
      <c r="W326" t="s">
        <v>29</v>
      </c>
      <c r="X326" t="s">
        <v>1411</v>
      </c>
      <c r="Y326">
        <f>HYPERLINK("https://images.diginfra.net/framed3.html?imagesetuuid=0c00a1f2-d59c-4408-905f-fe388b02204f&amp;uri=https://images.diginfra.net/iiif/NL-HaNA_1.01.02/3806/NL-HaNA_1.01.02_3806_0414.jpg", "next_meeting_viewer_url")</f>
        <v/>
      </c>
      <c r="Z326">
        <f>HYPERLINK("https://images.diginfra.net/iiif/NL-HaNA_1.01.02/3806/NL-HaNA_1.01.02_3806_0414.jpg/2456,1174,1089,2238/full/0/default.jpg", "next_meeting_iiif_url")</f>
        <v/>
      </c>
    </row>
    <row r="327" spans="1:26">
      <c r="A327" t="s">
        <v>1412</v>
      </c>
      <c r="B327" t="s">
        <v>76</v>
      </c>
      <c r="C327" t="s">
        <v>1413</v>
      </c>
      <c r="D327" t="b">
        <v>1</v>
      </c>
      <c r="E327" t="b">
        <v>1</v>
      </c>
      <c r="I327" t="s">
        <v>1414</v>
      </c>
      <c r="J327" t="n">
        <v>3805</v>
      </c>
      <c r="K327" t="n">
        <v>253</v>
      </c>
      <c r="L327" t="n">
        <v>504</v>
      </c>
      <c r="M327" t="n">
        <v>1</v>
      </c>
      <c r="N327" t="n">
        <v>0</v>
      </c>
      <c r="O327" t="n">
        <v>0</v>
      </c>
      <c r="P327" t="s">
        <v>29</v>
      </c>
      <c r="Q327">
        <f>HYPERLINK("https://images.diginfra.net/framed3.html?imagesetuuid=e8c5617e-c060-4d57-a0d9-c22a4796ba85&amp;uri=https://images.diginfra.net/iiif/NL-HaNA_1.01.02/3805/NL-HaNA_1.01.02_3805_0253.jpg", "viewer_url")</f>
        <v/>
      </c>
      <c r="R327">
        <f>HYPERLINK("https://images.diginfra.net/iiif/NL-HaNA_1.01.02/3805/NL-HaNA_1.01.02_3805_0253.jpg/1223,474,1112,2870/full/0/default.jpg", "iiif_url")</f>
        <v/>
      </c>
      <c r="S327" t="s">
        <v>29</v>
      </c>
      <c r="U327">
        <f>HYPERLINK("https://images.diginfra.net/framed3.html?imagesetuuid=e8c5617e-c060-4d57-a0d9-c22a4796ba85&amp;uri=https://images.diginfra.net/iiif/NL-HaNA_1.01.02/3805/NL-HaNA_1.01.02_3805_0250.jpg", "prev_meeting_viewer_url")</f>
        <v/>
      </c>
      <c r="V327">
        <f>HYPERLINK("https://images.diginfra.net/iiif/NL-HaNA_1.01.02/3805/NL-HaNA_1.01.02_3805_0250.jpg/1195,347,1115,2979/full/0/default.jpg", "prev_meeting_iiif_url")</f>
        <v/>
      </c>
      <c r="W327" t="s">
        <v>29</v>
      </c>
      <c r="X327" t="s">
        <v>1415</v>
      </c>
      <c r="Y327">
        <f>HYPERLINK("https://images.diginfra.net/framed3.html?imagesetuuid=e8c5617e-c060-4d57-a0d9-c22a4796ba85&amp;uri=https://images.diginfra.net/iiif/NL-HaNA_1.01.02/3805/NL-HaNA_1.01.02_3805_0253.jpg", "next_meeting_viewer_url")</f>
        <v/>
      </c>
      <c r="Z327">
        <f>HYPERLINK("https://images.diginfra.net/iiif/NL-HaNA_1.01.02/3805/NL-HaNA_1.01.02_3805_0253.jpg/2386,1112,1111,2307/full/0/default.jpg", "next_meeting_iiif_url")</f>
        <v/>
      </c>
    </row>
    <row r="328" spans="1:26">
      <c r="A328" t="s">
        <v>1416</v>
      </c>
      <c r="B328" t="s">
        <v>48</v>
      </c>
      <c r="D328" t="b">
        <v>0</v>
      </c>
      <c r="E328" t="b">
        <v>0</v>
      </c>
      <c r="I328" t="s">
        <v>1417</v>
      </c>
      <c r="J328" t="n">
        <v>3848</v>
      </c>
      <c r="K328" t="n">
        <v>370</v>
      </c>
      <c r="L328" t="n">
        <v>739</v>
      </c>
      <c r="M328" t="n">
        <v>0</v>
      </c>
      <c r="N328" t="n">
        <v>2</v>
      </c>
      <c r="O328" t="n">
        <v>0</v>
      </c>
      <c r="P328" t="s">
        <v>29</v>
      </c>
      <c r="Q328">
        <f>HYPERLINK("https://images.diginfra.net/framed3.html?imagesetuuid=0359a1ea-7930-4de5-8687-7aa11d9043bd&amp;uri=https://images.diginfra.net/iiif/NL-HaNA_1.01.02/3848/NL-HaNA_1.01.02_3848_0370.jpg", "viewer_url")</f>
        <v/>
      </c>
      <c r="R328">
        <f>HYPERLINK("https://images.diginfra.net/iiif/NL-HaNA_1.01.02/3848/NL-HaNA_1.01.02_3848_0370.jpg/3239,1090,1071,2354/full/0/default.jpg", "iiif_url")</f>
        <v/>
      </c>
      <c r="S328" t="s">
        <v>29</v>
      </c>
      <c r="T328" t="s">
        <v>1418</v>
      </c>
      <c r="U328">
        <f>HYPERLINK("https://images.diginfra.net/framed3.html?imagesetuuid=0359a1ea-7930-4de5-8687-7aa11d9043bd&amp;uri=https://images.diginfra.net/iiif/NL-HaNA_1.01.02/3848/NL-HaNA_1.01.02_3848_0364.jpg", "prev_meeting_viewer_url")</f>
        <v/>
      </c>
      <c r="V328">
        <f>HYPERLINK("https://images.diginfra.net/iiif/NL-HaNA_1.01.02/3848/NL-HaNA_1.01.02_3848_0364.jpg/2353,872,1023,1868/full/0/default.jpg", "prev_meeting_iiif_url")</f>
        <v/>
      </c>
      <c r="W328" t="s">
        <v>29</v>
      </c>
      <c r="X328" t="s">
        <v>1419</v>
      </c>
      <c r="Y328">
        <f>HYPERLINK("https://images.diginfra.net/framed3.html?imagesetuuid=0359a1ea-7930-4de5-8687-7aa11d9043bd&amp;uri=https://images.diginfra.net/iiif/NL-HaNA_1.01.02/3848/NL-HaNA_1.01.02_3848_0370.jpg", "next_meeting_viewer_url")</f>
        <v/>
      </c>
      <c r="Z328">
        <f>HYPERLINK("https://images.diginfra.net/iiif/NL-HaNA_1.01.02/3848/NL-HaNA_1.01.02_3848_0370.jpg/3239,1090,1071,2354/full/0/default.jpg", "next_meeting_iiif_url")</f>
        <v/>
      </c>
    </row>
    <row r="329" spans="1:26">
      <c r="A329" t="s">
        <v>1420</v>
      </c>
      <c r="B329" t="s">
        <v>48</v>
      </c>
      <c r="D329" t="b">
        <v>0</v>
      </c>
      <c r="E329" t="b">
        <v>0</v>
      </c>
      <c r="I329" t="s">
        <v>1421</v>
      </c>
      <c r="J329" t="n">
        <v>3786</v>
      </c>
      <c r="K329" t="n">
        <v>69</v>
      </c>
      <c r="L329" t="n">
        <v>137</v>
      </c>
      <c r="M329" t="n">
        <v>1</v>
      </c>
      <c r="N329" t="n">
        <v>1</v>
      </c>
      <c r="O329" t="n">
        <v>0</v>
      </c>
      <c r="P329" t="s">
        <v>29</v>
      </c>
      <c r="Q329">
        <f>HYPERLINK("https://images.diginfra.net/framed3.html?imagesetuuid=508661ee-474e-44be-a74a-8aac34348aeb&amp;uri=https://images.diginfra.net/iiif/NL-HaNA_1.01.02/3786/NL-HaNA_1.01.02_3786_0069.jpg", "viewer_url")</f>
        <v/>
      </c>
      <c r="R329">
        <f>HYPERLINK("https://images.diginfra.net/iiif/NL-HaNA_1.01.02/3786/NL-HaNA_1.01.02_3786_0069.jpg/3347,615,1100,2859/full/0/default.jpg", "iiif_url")</f>
        <v/>
      </c>
      <c r="S329" t="s">
        <v>29</v>
      </c>
      <c r="T329" t="s">
        <v>913</v>
      </c>
      <c r="U329">
        <f>HYPERLINK("https://images.diginfra.net/framed3.html?imagesetuuid=508661ee-474e-44be-a74a-8aac34348aeb&amp;uri=https://images.diginfra.net/iiif/NL-HaNA_1.01.02/3786/NL-HaNA_1.01.02_3786_0069.jpg", "prev_meeting_viewer_url")</f>
        <v/>
      </c>
      <c r="V329">
        <f>HYPERLINK("https://images.diginfra.net/iiif/NL-HaNA_1.01.02/3786/NL-HaNA_1.01.02_3786_0069.jpg/340,1084,1124,2350/full/0/default.jpg", "prev_meeting_iiif_url")</f>
        <v/>
      </c>
      <c r="W329" t="s">
        <v>29</v>
      </c>
      <c r="X329" t="s">
        <v>1422</v>
      </c>
      <c r="Y329">
        <f>HYPERLINK("https://images.diginfra.net/framed3.html?imagesetuuid=508661ee-474e-44be-a74a-8aac34348aeb&amp;uri=https://images.diginfra.net/iiif/NL-HaNA_1.01.02/3786/NL-HaNA_1.01.02_3786_0069.jpg", "next_meeting_viewer_url")</f>
        <v/>
      </c>
      <c r="Z329">
        <f>HYPERLINK("https://images.diginfra.net/iiif/NL-HaNA_1.01.02/3786/NL-HaNA_1.01.02_3786_0069.jpg/3347,615,1100,2859/full/0/default.jpg", "next_meeting_iiif_url")</f>
        <v/>
      </c>
    </row>
    <row r="330" spans="1:26">
      <c r="A330" t="s">
        <v>1423</v>
      </c>
      <c r="B330" t="s">
        <v>63</v>
      </c>
      <c r="C330" t="s">
        <v>1424</v>
      </c>
      <c r="D330" t="b">
        <v>1</v>
      </c>
      <c r="E330" t="b">
        <v>1</v>
      </c>
      <c r="I330" t="s">
        <v>1425</v>
      </c>
      <c r="J330" t="n">
        <v>3765</v>
      </c>
      <c r="K330" t="n">
        <v>354</v>
      </c>
      <c r="L330" t="n">
        <v>706</v>
      </c>
      <c r="M330" t="n">
        <v>0</v>
      </c>
      <c r="N330" t="n">
        <v>1</v>
      </c>
      <c r="O330" t="n">
        <v>0</v>
      </c>
      <c r="P330" t="s">
        <v>29</v>
      </c>
      <c r="Q330">
        <f>HYPERLINK("https://images.diginfra.net/framed3.html?imagesetuuid=4dfc1a1b-8cdf-4492-b411-5e67950ce484&amp;uri=https://images.diginfra.net/iiif/NL-HaNA_1.01.02/3765/NL-HaNA_1.01.02_3765_0354.jpg", "viewer_url")</f>
        <v/>
      </c>
      <c r="R330">
        <f>HYPERLINK("https://images.diginfra.net/iiif/NL-HaNA_1.01.02/3765/NL-HaNA_1.01.02_3765_0354.jpg/302,2398,1045,938/full/0/default.jpg", "iiif_url")</f>
        <v/>
      </c>
      <c r="S330" t="s">
        <v>29</v>
      </c>
      <c r="T330" t="s">
        <v>1426</v>
      </c>
      <c r="U330">
        <f>HYPERLINK("https://images.diginfra.net/framed3.html?imagesetuuid=4dfc1a1b-8cdf-4492-b411-5e67950ce484&amp;uri=https://images.diginfra.net/iiif/NL-HaNA_1.01.02/3765/NL-HaNA_1.01.02_3765_0352.jpg", "prev_meeting_viewer_url")</f>
        <v/>
      </c>
      <c r="V330">
        <f>HYPERLINK("https://images.diginfra.net/iiif/NL-HaNA_1.01.02/3765/NL-HaNA_1.01.02_3765_0352.jpg/434,3045,743,305/full/0/default.jpg", "prev_meeting_iiif_url")</f>
        <v/>
      </c>
      <c r="W330" t="s">
        <v>29</v>
      </c>
      <c r="X330" t="s">
        <v>1427</v>
      </c>
      <c r="Y330">
        <f>HYPERLINK("https://images.diginfra.net/framed3.html?imagesetuuid=4dfc1a1b-8cdf-4492-b411-5e67950ce484&amp;uri=https://images.diginfra.net/iiif/NL-HaNA_1.01.02/3765/NL-HaNA_1.01.02_3765_0357.jpg", "next_meeting_viewer_url")</f>
        <v/>
      </c>
      <c r="Z330">
        <f>HYPERLINK("https://images.diginfra.net/iiif/NL-HaNA_1.01.02/3765/NL-HaNA_1.01.02_3765_0357.jpg/1255,899,1119,2455/full/0/default.jpg", "next_meeting_iiif_url")</f>
        <v/>
      </c>
    </row>
    <row r="331" spans="1:26">
      <c r="A331" t="s">
        <v>1428</v>
      </c>
      <c r="B331" t="s">
        <v>27</v>
      </c>
      <c r="C331" t="s">
        <v>1429</v>
      </c>
      <c r="D331" t="b">
        <v>1</v>
      </c>
      <c r="E331" t="b">
        <v>1</v>
      </c>
      <c r="I331" t="s">
        <v>1430</v>
      </c>
      <c r="J331" t="n">
        <v>3800</v>
      </c>
      <c r="K331" t="n">
        <v>384</v>
      </c>
      <c r="L331" t="n">
        <v>767</v>
      </c>
      <c r="M331" t="n">
        <v>0</v>
      </c>
      <c r="N331" t="n">
        <v>1</v>
      </c>
      <c r="O331" t="n">
        <v>0</v>
      </c>
      <c r="P331" t="s">
        <v>29</v>
      </c>
      <c r="Q331">
        <f>HYPERLINK("https://images.diginfra.net/framed3.html?imagesetuuid=a9adb8ed-3212-4745-a472-51257845b9e2&amp;uri=https://images.diginfra.net/iiif/NL-HaNA_1.01.02/3800/NL-HaNA_1.01.02_3800_0384.jpg", "viewer_url")</f>
        <v/>
      </c>
      <c r="R331">
        <f>HYPERLINK("https://images.diginfra.net/iiif/NL-HaNA_1.01.02/3800/NL-HaNA_1.01.02_3800_0384.jpg/2344,2216,1095,1236/full/0/default.jpg", "iiif_url")</f>
        <v/>
      </c>
      <c r="S331" t="s">
        <v>29</v>
      </c>
      <c r="T331" t="s">
        <v>1431</v>
      </c>
      <c r="U331">
        <f>HYPERLINK("https://images.diginfra.net/framed3.html?imagesetuuid=a9adb8ed-3212-4745-a472-51257845b9e2&amp;uri=https://images.diginfra.net/iiif/NL-HaNA_1.01.02/3800/NL-HaNA_1.01.02_3800_0382.jpg", "prev_meeting_viewer_url")</f>
        <v/>
      </c>
      <c r="V331">
        <f>HYPERLINK("https://images.diginfra.net/iiif/NL-HaNA_1.01.02/3800/NL-HaNA_1.01.02_3800_0382.jpg/2384,2216,1036,1144/full/0/default.jpg", "prev_meeting_iiif_url")</f>
        <v/>
      </c>
      <c r="W331" t="s">
        <v>29</v>
      </c>
      <c r="X331" t="s">
        <v>1432</v>
      </c>
      <c r="Y331">
        <f>HYPERLINK("https://images.diginfra.net/framed3.html?imagesetuuid=a9adb8ed-3212-4745-a472-51257845b9e2&amp;uri=https://images.diginfra.net/iiif/NL-HaNA_1.01.02/3800/NL-HaNA_1.01.02_3800_0385.jpg", "next_meeting_viewer_url")</f>
        <v/>
      </c>
      <c r="Z331">
        <f>HYPERLINK("https://images.diginfra.net/iiif/NL-HaNA_1.01.02/3800/NL-HaNA_1.01.02_3800_0385.jpg/1198,1426,1091,2003/full/0/default.jpg", "next_meeting_iiif_url")</f>
        <v/>
      </c>
    </row>
    <row r="332" spans="1:26">
      <c r="A332" t="s">
        <v>1433</v>
      </c>
      <c r="B332" t="s">
        <v>63</v>
      </c>
      <c r="C332" t="s">
        <v>1434</v>
      </c>
      <c r="D332" t="b">
        <v>1</v>
      </c>
      <c r="E332" t="b">
        <v>1</v>
      </c>
      <c r="I332" t="s">
        <v>1435</v>
      </c>
      <c r="J332" t="n">
        <v>3817</v>
      </c>
      <c r="K332" t="n">
        <v>516</v>
      </c>
      <c r="L332" t="n">
        <v>1030</v>
      </c>
      <c r="M332" t="n">
        <v>0</v>
      </c>
      <c r="N332" t="n">
        <v>2</v>
      </c>
      <c r="O332" t="n">
        <v>0</v>
      </c>
      <c r="P332" t="s">
        <v>29</v>
      </c>
      <c r="Q332">
        <f>HYPERLINK("https://images.diginfra.net/framed3.html?imagesetuuid=c13c7ed6-75ba-4433-9b44-0db683995fb3&amp;uri=https://images.diginfra.net/iiif/NL-HaNA_1.01.02/3817/NL-HaNA_1.01.02_3817_0516.jpg", "viewer_url")</f>
        <v/>
      </c>
      <c r="R332">
        <f>HYPERLINK("https://images.diginfra.net/iiif/NL-HaNA_1.01.02/3817/NL-HaNA_1.01.02_3817_0516.jpg/231,2315,1077,1011/full/0/default.jpg", "iiif_url")</f>
        <v/>
      </c>
      <c r="S332" t="s">
        <v>29</v>
      </c>
      <c r="T332" t="s">
        <v>1436</v>
      </c>
      <c r="U332">
        <f>HYPERLINK("https://images.diginfra.net/framed3.html?imagesetuuid=c13c7ed6-75ba-4433-9b44-0db683995fb3&amp;uri=https://images.diginfra.net/iiif/NL-HaNA_1.01.02/3817/NL-HaNA_1.01.02_3817_0515.jpg", "prev_meeting_viewer_url")</f>
        <v/>
      </c>
      <c r="V332">
        <f>HYPERLINK("https://images.diginfra.net/iiif/NL-HaNA_1.01.02/3817/NL-HaNA_1.01.02_3817_0515.jpg/200,2588,1114,742/full/0/default.jpg", "prev_meeting_iiif_url")</f>
        <v/>
      </c>
      <c r="W332" t="s">
        <v>29</v>
      </c>
      <c r="X332" t="s">
        <v>1437</v>
      </c>
      <c r="Y332">
        <f>HYPERLINK("https://images.diginfra.net/framed3.html?imagesetuuid=c13c7ed6-75ba-4433-9b44-0db683995fb3&amp;uri=https://images.diginfra.net/iiif/NL-HaNA_1.01.02/3817/NL-HaNA_1.01.02_3817_0517.jpg", "next_meeting_viewer_url")</f>
        <v/>
      </c>
      <c r="Z332">
        <f>HYPERLINK("https://images.diginfra.net/iiif/NL-HaNA_1.01.02/3817/NL-HaNA_1.01.02_3817_0517.jpg/212,2646,1096,719/full/0/default.jpg", "next_meeting_iiif_url")</f>
        <v/>
      </c>
    </row>
    <row r="333" spans="1:26">
      <c r="A333" t="s">
        <v>1438</v>
      </c>
      <c r="B333" t="s">
        <v>48</v>
      </c>
      <c r="D333" t="b">
        <v>0</v>
      </c>
      <c r="E333" t="b">
        <v>0</v>
      </c>
      <c r="I333" t="s">
        <v>1439</v>
      </c>
      <c r="J333" t="n">
        <v>3793</v>
      </c>
      <c r="K333" t="n">
        <v>323</v>
      </c>
      <c r="L333" t="n">
        <v>644</v>
      </c>
      <c r="M333" t="n">
        <v>1</v>
      </c>
      <c r="N333" t="n">
        <v>2</v>
      </c>
      <c r="O333" t="n">
        <v>0</v>
      </c>
      <c r="P333" t="s">
        <v>29</v>
      </c>
      <c r="Q333">
        <f>HYPERLINK("https://images.diginfra.net/framed3.html?imagesetuuid=8305a309-5c79-4c0c-a981-7e350c76be32&amp;uri=https://images.diginfra.net/iiif/NL-HaNA_1.01.02/3793/NL-HaNA_1.01.02_3793_0323.jpg", "viewer_url")</f>
        <v/>
      </c>
      <c r="R333">
        <f>HYPERLINK("https://images.diginfra.net/iiif/NL-HaNA_1.01.02/3793/NL-HaNA_1.01.02_3793_0323.jpg/1202,1996,1090,1362/full/0/default.jpg", "iiif_url")</f>
        <v/>
      </c>
      <c r="S333" t="s">
        <v>29</v>
      </c>
      <c r="T333" t="s">
        <v>1440</v>
      </c>
      <c r="U333">
        <f>HYPERLINK("https://images.diginfra.net/framed3.html?imagesetuuid=8305a309-5c79-4c0c-a981-7e350c76be32&amp;uri=https://images.diginfra.net/iiif/NL-HaNA_1.01.02/3793/NL-HaNA_1.01.02_3793_0322.jpg", "prev_meeting_viewer_url")</f>
        <v/>
      </c>
      <c r="V333">
        <f>HYPERLINK("https://images.diginfra.net/iiif/NL-HaNA_1.01.02/3793/NL-HaNA_1.01.02_3793_0322.jpg/286,336,1103,3091/full/0/default.jpg", "prev_meeting_iiif_url")</f>
        <v/>
      </c>
      <c r="W333" t="s">
        <v>29</v>
      </c>
      <c r="X333" t="s">
        <v>1441</v>
      </c>
      <c r="Y333">
        <f>HYPERLINK("https://images.diginfra.net/framed3.html?imagesetuuid=8305a309-5c79-4c0c-a981-7e350c76be32&amp;uri=https://images.diginfra.net/iiif/NL-HaNA_1.01.02/3793/NL-HaNA_1.01.02_3793_0323.jpg", "next_meeting_viewer_url")</f>
        <v/>
      </c>
      <c r="Z333">
        <f>HYPERLINK("https://images.diginfra.net/iiif/NL-HaNA_1.01.02/3793/NL-HaNA_1.01.02_3793_0323.jpg/1202,1996,1090,1362/full/0/default.jpg", "next_meeting_iiif_url")</f>
        <v/>
      </c>
    </row>
    <row r="334" spans="1:26">
      <c r="A334" t="s">
        <v>1442</v>
      </c>
      <c r="B334" t="s">
        <v>37</v>
      </c>
      <c r="C334" t="s">
        <v>1443</v>
      </c>
      <c r="D334" t="b">
        <v>1</v>
      </c>
      <c r="E334" t="b">
        <v>1</v>
      </c>
      <c r="I334" t="s">
        <v>1444</v>
      </c>
      <c r="J334" t="n">
        <v>3765</v>
      </c>
      <c r="K334" t="n">
        <v>291</v>
      </c>
      <c r="L334" t="n">
        <v>581</v>
      </c>
      <c r="M334" t="n">
        <v>0</v>
      </c>
      <c r="N334" t="n">
        <v>1</v>
      </c>
      <c r="O334" t="n">
        <v>0</v>
      </c>
      <c r="P334" t="s">
        <v>29</v>
      </c>
      <c r="Q334">
        <f>HYPERLINK("https://images.diginfra.net/framed3.html?imagesetuuid=4dfc1a1b-8cdf-4492-b411-5e67950ce484&amp;uri=https://images.diginfra.net/iiif/NL-HaNA_1.01.02/3765/NL-HaNA_1.01.02_3765_0291.jpg", "viewer_url")</f>
        <v/>
      </c>
      <c r="R334">
        <f>HYPERLINK("https://images.diginfra.net/iiif/NL-HaNA_1.01.02/3765/NL-HaNA_1.01.02_3765_0291.jpg/2531,2469,1076,891/full/0/default.jpg", "iiif_url")</f>
        <v/>
      </c>
      <c r="S334" t="s">
        <v>29</v>
      </c>
      <c r="T334" t="s">
        <v>1445</v>
      </c>
      <c r="U334">
        <f>HYPERLINK("https://images.diginfra.net/framed3.html?imagesetuuid=4dfc1a1b-8cdf-4492-b411-5e67950ce484&amp;uri=https://images.diginfra.net/iiif/NL-HaNA_1.01.02/3765/NL-HaNA_1.01.02_3765_0288.jpg", "prev_meeting_viewer_url")</f>
        <v/>
      </c>
      <c r="V334">
        <f>HYPERLINK("https://images.diginfra.net/iiif/NL-HaNA_1.01.02/3765/NL-HaNA_1.01.02_3765_0288.jpg/3474,2037,1093,1329/full/0/default.jpg", "prev_meeting_iiif_url")</f>
        <v/>
      </c>
      <c r="W334" t="s">
        <v>29</v>
      </c>
      <c r="X334" t="s">
        <v>1446</v>
      </c>
      <c r="Y334">
        <f>HYPERLINK("https://images.diginfra.net/framed3.html?imagesetuuid=4dfc1a1b-8cdf-4492-b411-5e67950ce484&amp;uri=https://images.diginfra.net/iiif/NL-HaNA_1.01.02/3765/NL-HaNA_1.01.02_3765_0293.jpg", "next_meeting_viewer_url")</f>
        <v/>
      </c>
      <c r="Z334">
        <f>HYPERLINK("https://images.diginfra.net/iiif/NL-HaNA_1.01.02/3765/NL-HaNA_1.01.02_3765_0293.jpg/1153,1729,1107,1673/full/0/default.jpg", "next_meeting_iiif_url")</f>
        <v/>
      </c>
    </row>
    <row r="335" spans="1:26">
      <c r="A335" t="s">
        <v>1447</v>
      </c>
      <c r="B335" t="s">
        <v>63</v>
      </c>
      <c r="C335" t="s">
        <v>1448</v>
      </c>
      <c r="D335" t="b">
        <v>1</v>
      </c>
      <c r="E335" t="b">
        <v>1</v>
      </c>
      <c r="I335" t="s">
        <v>1449</v>
      </c>
      <c r="J335" t="n">
        <v>3771</v>
      </c>
      <c r="K335" t="n">
        <v>134</v>
      </c>
      <c r="L335" t="n">
        <v>267</v>
      </c>
      <c r="M335" t="n">
        <v>0</v>
      </c>
      <c r="N335" t="n">
        <v>1</v>
      </c>
      <c r="O335" t="n">
        <v>0</v>
      </c>
      <c r="P335" t="s">
        <v>29</v>
      </c>
      <c r="Q335">
        <f>HYPERLINK("https://images.diginfra.net/framed3.html?imagesetuuid=16b7bf4c-5e05-4e5e-b109-cf178ead6c3f&amp;uri=https://images.diginfra.net/iiif/NL-HaNA_1.01.02/3771/NL-HaNA_1.01.02_3771_0134.jpg", "viewer_url")</f>
        <v/>
      </c>
      <c r="R335">
        <f>HYPERLINK("https://images.diginfra.net/iiif/NL-HaNA_1.01.02/3771/NL-HaNA_1.01.02_3771_0134.jpg/2449,2177,1057,1252/full/0/default.jpg", "iiif_url")</f>
        <v/>
      </c>
      <c r="S335" t="s">
        <v>29</v>
      </c>
      <c r="T335" t="s">
        <v>1450</v>
      </c>
      <c r="U335">
        <f>HYPERLINK("https://images.diginfra.net/framed3.html?imagesetuuid=16b7bf4c-5e05-4e5e-b109-cf178ead6c3f&amp;uri=https://images.diginfra.net/iiif/NL-HaNA_1.01.02/3771/NL-HaNA_1.01.02_3771_0131.jpg", "prev_meeting_viewer_url")</f>
        <v/>
      </c>
      <c r="V335">
        <f>HYPERLINK("https://images.diginfra.net/iiif/NL-HaNA_1.01.02/3771/NL-HaNA_1.01.02_3771_0131.jpg/3447,1538,1078,1920/full/0/default.jpg", "prev_meeting_iiif_url")</f>
        <v/>
      </c>
      <c r="W335" t="s">
        <v>29</v>
      </c>
      <c r="X335" t="s">
        <v>1451</v>
      </c>
      <c r="Y335">
        <f>HYPERLINK("https://images.diginfra.net/framed3.html?imagesetuuid=16b7bf4c-5e05-4e5e-b109-cf178ead6c3f&amp;uri=https://images.diginfra.net/iiif/NL-HaNA_1.01.02/3771/NL-HaNA_1.01.02_3771_0135.jpg", "next_meeting_viewer_url")</f>
        <v/>
      </c>
      <c r="Z335">
        <f>HYPERLINK("https://images.diginfra.net/iiif/NL-HaNA_1.01.02/3771/NL-HaNA_1.01.02_3771_0135.jpg/3430,689,1098,2679/full/0/default.jpg", "next_meeting_iiif_url")</f>
        <v/>
      </c>
    </row>
    <row r="336" spans="1:26">
      <c r="A336" t="s">
        <v>1452</v>
      </c>
      <c r="B336" t="s">
        <v>63</v>
      </c>
      <c r="C336" t="s">
        <v>1453</v>
      </c>
      <c r="D336" t="b">
        <v>1</v>
      </c>
      <c r="E336" t="b">
        <v>1</v>
      </c>
      <c r="I336" t="s">
        <v>1454</v>
      </c>
      <c r="J336" t="n">
        <v>3820</v>
      </c>
      <c r="K336" t="n">
        <v>419</v>
      </c>
      <c r="L336" t="n">
        <v>836</v>
      </c>
      <c r="M336" t="n">
        <v>0</v>
      </c>
      <c r="N336" t="n">
        <v>1</v>
      </c>
      <c r="O336" t="n">
        <v>0</v>
      </c>
      <c r="P336" t="s">
        <v>33</v>
      </c>
      <c r="Q336">
        <f>HYPERLINK("https://images.diginfra.net/framed3.html?imagesetuuid=06387344-f6be-4f89-be7c-57105578c47e&amp;uri=https://images.diginfra.net/iiif/NL-HaNA_1.01.02/3820/NL-HaNA_1.01.02_3820_0419.jpg", "viewer_url")</f>
        <v/>
      </c>
      <c r="R336">
        <f>HYPERLINK("https://images.diginfra.net/iiif/NL-HaNA_1.01.02/3820/NL-HaNA_1.01.02_3820_0419.jpg/196,1836,1073,1420/full/0/default.jpg", "iiif_url")</f>
        <v/>
      </c>
      <c r="S336" t="s">
        <v>29</v>
      </c>
      <c r="T336" t="s">
        <v>1455</v>
      </c>
      <c r="U336">
        <f>HYPERLINK("https://images.diginfra.net/framed3.html?imagesetuuid=06387344-f6be-4f89-be7c-57105578c47e&amp;uri=https://images.diginfra.net/iiif/NL-HaNA_1.01.02/3820/NL-HaNA_1.01.02_3820_0418.jpg", "prev_meeting_viewer_url")</f>
        <v/>
      </c>
      <c r="V336">
        <f>HYPERLINK("https://images.diginfra.net/iiif/NL-HaNA_1.01.02/3820/NL-HaNA_1.01.02_3820_0418.jpg/2339,594,1013,1110/full/0/default.jpg", "prev_meeting_iiif_url")</f>
        <v/>
      </c>
    </row>
    <row r="337" spans="1:26">
      <c r="A337" t="s">
        <v>1456</v>
      </c>
      <c r="B337" t="s">
        <v>37</v>
      </c>
      <c r="C337" t="s">
        <v>1457</v>
      </c>
      <c r="D337" t="b">
        <v>1</v>
      </c>
      <c r="E337" t="b">
        <v>1</v>
      </c>
      <c r="I337" t="s">
        <v>1458</v>
      </c>
      <c r="J337" t="n">
        <v>3808</v>
      </c>
      <c r="K337" t="n">
        <v>325</v>
      </c>
      <c r="L337" t="n">
        <v>649</v>
      </c>
      <c r="M337" t="n">
        <v>0</v>
      </c>
      <c r="N337" t="n">
        <v>4</v>
      </c>
      <c r="O337" t="n">
        <v>0</v>
      </c>
      <c r="P337" t="s">
        <v>33</v>
      </c>
      <c r="Q337">
        <f>HYPERLINK("https://images.diginfra.net/framed3.html?imagesetuuid=d7b14369-fedc-4c2f-b4ba-0014f4e297b6&amp;uri=https://images.diginfra.net/iiif/NL-HaNA_1.01.02/3808/NL-HaNA_1.01.02_3808_0325.jpg", "viewer_url")</f>
        <v/>
      </c>
      <c r="R337">
        <f>HYPERLINK("https://images.diginfra.net/iiif/NL-HaNA_1.01.02/3808/NL-HaNA_1.01.02_3808_0325.jpg/2379,2875,939,503/full/0/default.jpg", "iiif_url")</f>
        <v/>
      </c>
      <c r="S337" t="s">
        <v>29</v>
      </c>
      <c r="T337" t="s">
        <v>1459</v>
      </c>
      <c r="U337">
        <f>HYPERLINK("https://images.diginfra.net/framed3.html?imagesetuuid=d7b14369-fedc-4c2f-b4ba-0014f4e297b6&amp;uri=https://images.diginfra.net/iiif/NL-HaNA_1.01.02/3808/NL-HaNA_1.01.02_3808_0325.jpg", "prev_meeting_viewer_url")</f>
        <v/>
      </c>
      <c r="V337">
        <f>HYPERLINK("https://images.diginfra.net/iiif/NL-HaNA_1.01.02/3808/NL-HaNA_1.01.02_3808_0325.jpg/1277,2978,1043,416/full/0/default.jpg", "prev_meeting_iiif_url")</f>
        <v/>
      </c>
    </row>
    <row r="338" spans="1:26">
      <c r="A338" t="s">
        <v>1460</v>
      </c>
      <c r="B338" t="s">
        <v>63</v>
      </c>
      <c r="C338" t="s">
        <v>1461</v>
      </c>
      <c r="D338" t="b">
        <v>1</v>
      </c>
      <c r="E338" t="b">
        <v>1</v>
      </c>
      <c r="I338" t="s">
        <v>1462</v>
      </c>
      <c r="J338" t="n">
        <v>3773</v>
      </c>
      <c r="K338" t="n">
        <v>414</v>
      </c>
      <c r="L338" t="n">
        <v>826</v>
      </c>
      <c r="M338" t="n">
        <v>1</v>
      </c>
      <c r="N338" t="n">
        <v>2</v>
      </c>
      <c r="O338" t="n">
        <v>0</v>
      </c>
      <c r="P338" t="s">
        <v>29</v>
      </c>
      <c r="Q338">
        <f>HYPERLINK("https://images.diginfra.net/framed3.html?imagesetuuid=0d0ede5e-a7f6-4a03-b996-493e50528c24&amp;uri=https://images.diginfra.net/iiif/NL-HaNA_1.01.02/3773/NL-HaNA_1.01.02_3773_0414.jpg", "viewer_url")</f>
        <v/>
      </c>
      <c r="R338">
        <f>HYPERLINK("https://images.diginfra.net/iiif/NL-HaNA_1.01.02/3773/NL-HaNA_1.01.02_3773_0414.jpg/1238,2871,1041,516/full/0/default.jpg", "iiif_url")</f>
        <v/>
      </c>
      <c r="S338" t="s">
        <v>29</v>
      </c>
      <c r="T338" t="s">
        <v>1463</v>
      </c>
      <c r="U338">
        <f>HYPERLINK("https://images.diginfra.net/framed3.html?imagesetuuid=0d0ede5e-a7f6-4a03-b996-493e50528c24&amp;uri=https://images.diginfra.net/iiif/NL-HaNA_1.01.02/3773/NL-HaNA_1.01.02_3773_0411.jpg", "prev_meeting_viewer_url")</f>
        <v/>
      </c>
      <c r="V338">
        <f>HYPERLINK("https://images.diginfra.net/iiif/NL-HaNA_1.01.02/3773/NL-HaNA_1.01.02_3773_0411.jpg/1196,1079,1103,2197/full/0/default.jpg", "prev_meeting_iiif_url")</f>
        <v/>
      </c>
      <c r="W338" t="s">
        <v>29</v>
      </c>
      <c r="X338" t="s">
        <v>1464</v>
      </c>
      <c r="Y338">
        <f>HYPERLINK("https://images.diginfra.net/framed3.html?imagesetuuid=0d0ede5e-a7f6-4a03-b996-493e50528c24&amp;uri=https://images.diginfra.net/iiif/NL-HaNA_1.01.02/3773/NL-HaNA_1.01.02_3773_0417.jpg", "next_meeting_viewer_url")</f>
        <v/>
      </c>
      <c r="Z338">
        <f>HYPERLINK("https://images.diginfra.net/iiif/NL-HaNA_1.01.02/3773/NL-HaNA_1.01.02_3773_0417.jpg/230,2684,1039,687/full/0/default.jpg", "next_meeting_iiif_url")</f>
        <v/>
      </c>
    </row>
    <row r="339" spans="1:26">
      <c r="A339" t="s">
        <v>1465</v>
      </c>
      <c r="B339" t="s">
        <v>63</v>
      </c>
      <c r="C339" t="s">
        <v>1466</v>
      </c>
      <c r="D339" t="b">
        <v>1</v>
      </c>
      <c r="E339" t="b">
        <v>1</v>
      </c>
      <c r="I339" t="s">
        <v>1467</v>
      </c>
      <c r="J339" t="n">
        <v>3825</v>
      </c>
      <c r="K339" t="n">
        <v>128</v>
      </c>
      <c r="L339" t="n">
        <v>254</v>
      </c>
      <c r="M339" t="n">
        <v>1</v>
      </c>
      <c r="N339" t="n">
        <v>0</v>
      </c>
      <c r="O339" t="n">
        <v>0</v>
      </c>
      <c r="P339" t="s">
        <v>29</v>
      </c>
      <c r="Q339">
        <f>HYPERLINK("https://images.diginfra.net/framed3.html?imagesetuuid=3e55157c-ed48-4a0c-b4a9-bb205866d7cd&amp;uri=https://images.diginfra.net/iiif/NL-HaNA_1.01.02/3825/NL-HaNA_1.01.02_3825_0128.jpg", "viewer_url")</f>
        <v/>
      </c>
      <c r="R339">
        <f>HYPERLINK("https://images.diginfra.net/iiif/NL-HaNA_1.01.02/3825/NL-HaNA_1.01.02_3825_0128.jpg/1278,208,1076,3087/full/0/default.jpg", "iiif_url")</f>
        <v/>
      </c>
      <c r="S339" t="s">
        <v>29</v>
      </c>
      <c r="T339" t="s">
        <v>1468</v>
      </c>
      <c r="U339">
        <f>HYPERLINK("https://images.diginfra.net/framed3.html?imagesetuuid=3e55157c-ed48-4a0c-b4a9-bb205866d7cd&amp;uri=https://images.diginfra.net/iiif/NL-HaNA_1.01.02/3825/NL-HaNA_1.01.02_3825_0125.jpg", "prev_meeting_viewer_url")</f>
        <v/>
      </c>
      <c r="V339">
        <f>HYPERLINK("https://images.diginfra.net/iiif/NL-HaNA_1.01.02/3825/NL-HaNA_1.01.02_3825_0125.jpg/3403,2353,1070,931/full/0/default.jpg", "prev_meeting_iiif_url")</f>
        <v/>
      </c>
      <c r="W339" t="s">
        <v>29</v>
      </c>
      <c r="X339" t="s">
        <v>1469</v>
      </c>
      <c r="Y339">
        <f>HYPERLINK("https://images.diginfra.net/framed3.html?imagesetuuid=3e55157c-ed48-4a0c-b4a9-bb205866d7cd&amp;uri=https://images.diginfra.net/iiif/NL-HaNA_1.01.02/3825/NL-HaNA_1.01.02_3825_0129.jpg", "next_meeting_viewer_url")</f>
        <v/>
      </c>
      <c r="Z339">
        <f>HYPERLINK("https://images.diginfra.net/iiif/NL-HaNA_1.01.02/3825/NL-HaNA_1.01.02_3825_0129.jpg/3369,313,1083,2945/full/0/default.jpg", "next_meeting_iiif_url")</f>
        <v/>
      </c>
    </row>
    <row r="340" spans="1:26">
      <c r="A340" t="s">
        <v>1470</v>
      </c>
      <c r="B340" t="s">
        <v>27</v>
      </c>
      <c r="C340" t="s">
        <v>1471</v>
      </c>
      <c r="D340" t="b">
        <v>1</v>
      </c>
      <c r="E340" t="b">
        <v>1</v>
      </c>
      <c r="I340" t="s">
        <v>1472</v>
      </c>
      <c r="J340" t="n">
        <v>3776</v>
      </c>
      <c r="K340" t="n">
        <v>59</v>
      </c>
      <c r="L340" t="n">
        <v>117</v>
      </c>
      <c r="M340" t="n">
        <v>1</v>
      </c>
      <c r="N340" t="n">
        <v>2</v>
      </c>
      <c r="O340" t="n">
        <v>0</v>
      </c>
      <c r="P340" t="s">
        <v>29</v>
      </c>
      <c r="Q340">
        <f>HYPERLINK("https://images.diginfra.net/framed3.html?imagesetuuid=cce3dc39-04f4-4d57-b3db-fdf0a2653e66&amp;uri=https://images.diginfra.net/iiif/NL-HaNA_1.01.02/3776/NL-HaNA_1.01.02_3776_0059.jpg", "viewer_url")</f>
        <v/>
      </c>
      <c r="R340">
        <f>HYPERLINK("https://images.diginfra.net/iiif/NL-HaNA_1.01.02/3776/NL-HaNA_1.01.02_3776_0059.jpg/3467,913,1125,2589/full/0/default.jpg", "iiif_url")</f>
        <v/>
      </c>
      <c r="S340" t="s">
        <v>29</v>
      </c>
      <c r="T340" t="s">
        <v>732</v>
      </c>
      <c r="U340">
        <f>HYPERLINK("https://images.diginfra.net/framed3.html?imagesetuuid=cce3dc39-04f4-4d57-b3db-fdf0a2653e66&amp;uri=https://images.diginfra.net/iiif/NL-HaNA_1.01.02/3776/NL-HaNA_1.01.02_3776_0057.jpg", "prev_meeting_viewer_url")</f>
        <v/>
      </c>
      <c r="V340">
        <f>HYPERLINK("https://images.diginfra.net/iiif/NL-HaNA_1.01.02/3776/NL-HaNA_1.01.02_3776_0057.jpg/421,631,1098,2737/full/0/default.jpg", "prev_meeting_iiif_url")</f>
        <v/>
      </c>
      <c r="W340" t="s">
        <v>29</v>
      </c>
      <c r="X340" t="s">
        <v>1473</v>
      </c>
      <c r="Y340">
        <f>HYPERLINK("https://images.diginfra.net/framed3.html?imagesetuuid=cce3dc39-04f4-4d57-b3db-fdf0a2653e66&amp;uri=https://images.diginfra.net/iiif/NL-HaNA_1.01.02/3776/NL-HaNA_1.01.02_3776_0061.jpg", "next_meeting_viewer_url")</f>
        <v/>
      </c>
      <c r="Z340">
        <f>HYPERLINK("https://images.diginfra.net/iiif/NL-HaNA_1.01.02/3776/NL-HaNA_1.01.02_3776_0061.jpg/2468,755,1116,2681/full/0/default.jpg", "next_meeting_iiif_url")</f>
        <v/>
      </c>
    </row>
    <row r="341" spans="1:26">
      <c r="A341" t="s">
        <v>1474</v>
      </c>
      <c r="B341" t="s">
        <v>53</v>
      </c>
      <c r="C341" t="s">
        <v>1475</v>
      </c>
      <c r="D341" t="b">
        <v>1</v>
      </c>
      <c r="E341" t="b">
        <v>1</v>
      </c>
      <c r="I341" t="s">
        <v>1476</v>
      </c>
      <c r="J341" t="n">
        <v>3835</v>
      </c>
      <c r="K341" t="n">
        <v>121</v>
      </c>
      <c r="L341" t="n">
        <v>240</v>
      </c>
      <c r="M341" t="n">
        <v>1</v>
      </c>
      <c r="N341" t="n">
        <v>1</v>
      </c>
      <c r="O341" t="n">
        <v>0</v>
      </c>
      <c r="P341" t="s">
        <v>29</v>
      </c>
      <c r="Q341">
        <f>HYPERLINK("https://images.diginfra.net/framed3.html?imagesetuuid=473594ee-2ab0-4fbf-9da7-0e9d12acef41&amp;uri=https://images.diginfra.net/iiif/NL-HaNA_1.01.02/3835/NL-HaNA_1.01.02_3835_0121.jpg", "viewer_url")</f>
        <v/>
      </c>
      <c r="R341">
        <f>HYPERLINK("https://images.diginfra.net/iiif/NL-HaNA_1.01.02/3835/NL-HaNA_1.01.02_3835_0121.jpg/1219,1276,1090,1937/full/0/default.jpg", "iiif_url")</f>
        <v/>
      </c>
      <c r="S341" t="s">
        <v>29</v>
      </c>
      <c r="T341" t="s">
        <v>1477</v>
      </c>
      <c r="U341">
        <f>HYPERLINK("https://images.diginfra.net/framed3.html?imagesetuuid=473594ee-2ab0-4fbf-9da7-0e9d12acef41&amp;uri=https://images.diginfra.net/iiif/NL-HaNA_1.01.02/3835/NL-HaNA_1.01.02_3835_0120.jpg", "prev_meeting_viewer_url")</f>
        <v/>
      </c>
      <c r="V341">
        <f>HYPERLINK("https://images.diginfra.net/iiif/NL-HaNA_1.01.02/3835/NL-HaNA_1.01.02_3835_0120.jpg/368,1927,1026,1434/full/0/default.jpg", "prev_meeting_iiif_url")</f>
        <v/>
      </c>
      <c r="W341" t="s">
        <v>29</v>
      </c>
      <c r="X341" t="s">
        <v>1478</v>
      </c>
      <c r="Y341">
        <f>HYPERLINK("https://images.diginfra.net/framed3.html?imagesetuuid=473594ee-2ab0-4fbf-9da7-0e9d12acef41&amp;uri=https://images.diginfra.net/iiif/NL-HaNA_1.01.02/3835/NL-HaNA_1.01.02_3835_0122.jpg", "next_meeting_viewer_url")</f>
        <v/>
      </c>
      <c r="Z341">
        <f>HYPERLINK("https://images.diginfra.net/iiif/NL-HaNA_1.01.02/3835/NL-HaNA_1.01.02_3835_0122.jpg/1237,1692,1032,1562/full/0/default.jpg", "next_meeting_iiif_url")</f>
        <v/>
      </c>
    </row>
    <row r="342" spans="1:26">
      <c r="A342" t="s">
        <v>1479</v>
      </c>
      <c r="B342" t="s">
        <v>42</v>
      </c>
      <c r="C342" t="s">
        <v>1480</v>
      </c>
      <c r="D342" t="b">
        <v>1</v>
      </c>
      <c r="E342" t="b">
        <v>1</v>
      </c>
      <c r="I342" t="s">
        <v>1481</v>
      </c>
      <c r="J342" t="n">
        <v>3784</v>
      </c>
      <c r="K342" t="n">
        <v>397</v>
      </c>
      <c r="L342" t="n">
        <v>792</v>
      </c>
      <c r="M342" t="n">
        <v>1</v>
      </c>
      <c r="N342" t="n">
        <v>1</v>
      </c>
      <c r="O342" t="n">
        <v>0</v>
      </c>
      <c r="P342" t="s">
        <v>29</v>
      </c>
      <c r="Q342">
        <f>HYPERLINK("https://images.diginfra.net/framed3.html?imagesetuuid=cb2f6e2d-502d-41d8-a51c-455c64ed98c9&amp;uri=https://images.diginfra.net/iiif/NL-HaNA_1.01.02/3784/NL-HaNA_1.01.02_3784_0397.jpg", "viewer_url")</f>
        <v/>
      </c>
      <c r="R342">
        <f>HYPERLINK("https://images.diginfra.net/iiif/NL-HaNA_1.01.02/3784/NL-HaNA_1.01.02_3784_0397.jpg/1238,2769,1040,652/full/0/default.jpg", "iiif_url")</f>
        <v/>
      </c>
      <c r="S342" t="s">
        <v>29</v>
      </c>
      <c r="T342" t="s">
        <v>1482</v>
      </c>
      <c r="U342">
        <f>HYPERLINK("https://images.diginfra.net/framed3.html?imagesetuuid=cb2f6e2d-502d-41d8-a51c-455c64ed98c9&amp;uri=https://images.diginfra.net/iiif/NL-HaNA_1.01.02/3784/NL-HaNA_1.01.02_3784_0394.jpg", "prev_meeting_viewer_url")</f>
        <v/>
      </c>
      <c r="V342">
        <f>HYPERLINK("https://images.diginfra.net/iiif/NL-HaNA_1.01.02/3784/NL-HaNA_1.01.02_3784_0394.jpg/2313,289,1116,3075/full/0/default.jpg", "prev_meeting_iiif_url")</f>
        <v/>
      </c>
      <c r="W342" t="s">
        <v>29</v>
      </c>
      <c r="X342" t="s">
        <v>1483</v>
      </c>
      <c r="Y342">
        <f>HYPERLINK("https://images.diginfra.net/framed3.html?imagesetuuid=cb2f6e2d-502d-41d8-a51c-455c64ed98c9&amp;uri=https://images.diginfra.net/iiif/NL-HaNA_1.01.02/3784/NL-HaNA_1.01.02_3784_0398.jpg", "next_meeting_viewer_url")</f>
        <v/>
      </c>
      <c r="Z342">
        <f>HYPERLINK("https://images.diginfra.net/iiif/NL-HaNA_1.01.02/3784/NL-HaNA_1.01.02_3784_0398.jpg/969,2544,1281,881/full/0/default.jpg", "next_meeting_iiif_url")</f>
        <v/>
      </c>
    </row>
    <row r="343" spans="1:26">
      <c r="A343" t="s">
        <v>1484</v>
      </c>
      <c r="B343" t="s">
        <v>53</v>
      </c>
      <c r="C343" t="s">
        <v>1485</v>
      </c>
      <c r="D343" t="b">
        <v>1</v>
      </c>
      <c r="E343" t="b">
        <v>1</v>
      </c>
      <c r="I343" t="s">
        <v>1486</v>
      </c>
      <c r="J343" t="n">
        <v>3775</v>
      </c>
      <c r="K343" t="n">
        <v>311</v>
      </c>
      <c r="L343" t="n">
        <v>620</v>
      </c>
      <c r="M343" t="n">
        <v>0</v>
      </c>
      <c r="N343" t="n">
        <v>2</v>
      </c>
      <c r="O343" t="n">
        <v>0</v>
      </c>
      <c r="P343" t="s">
        <v>29</v>
      </c>
      <c r="Q343">
        <f>HYPERLINK("https://images.diginfra.net/framed3.html?imagesetuuid=e344f420-8808-4cb9-bb8a-07944ccb8c18&amp;uri=https://images.diginfra.net/iiif/NL-HaNA_1.01.02/3775/NL-HaNA_1.01.02_3775_0311.jpg", "viewer_url")</f>
        <v/>
      </c>
      <c r="R343">
        <f>HYPERLINK("https://images.diginfra.net/iiif/NL-HaNA_1.01.02/3775/NL-HaNA_1.01.02_3775_0311.jpg/163,1953,1101,1283/full/0/default.jpg", "iiif_url")</f>
        <v/>
      </c>
      <c r="W343" t="s">
        <v>33</v>
      </c>
      <c r="X343" t="s">
        <v>1487</v>
      </c>
      <c r="Y343">
        <f>HYPERLINK("https://images.diginfra.net/framed3.html?imagesetuuid=e344f420-8808-4cb9-bb8a-07944ccb8c18&amp;uri=https://images.diginfra.net/iiif/NL-HaNA_1.01.02/3775/NL-HaNA_1.01.02_3775_0312.jpg", "next_meeting_viewer_url")</f>
        <v/>
      </c>
      <c r="Z343">
        <f>HYPERLINK("https://images.diginfra.net/iiif/NL-HaNA_1.01.02/3775/NL-HaNA_1.01.02_3775_0312.jpg/209,1259,1094,2042/full/0/default.jpg", "next_meeting_iiif_url")</f>
        <v/>
      </c>
    </row>
    <row r="344" spans="1:26">
      <c r="A344" t="s">
        <v>1488</v>
      </c>
      <c r="B344" t="s">
        <v>53</v>
      </c>
      <c r="C344" t="s">
        <v>1489</v>
      </c>
      <c r="D344" t="b">
        <v>1</v>
      </c>
      <c r="E344" t="b">
        <v>1</v>
      </c>
      <c r="I344" t="s">
        <v>1490</v>
      </c>
      <c r="J344" t="n">
        <v>3786</v>
      </c>
      <c r="K344" t="n">
        <v>51</v>
      </c>
      <c r="L344" t="n">
        <v>101</v>
      </c>
      <c r="M344" t="n">
        <v>0</v>
      </c>
      <c r="N344" t="n">
        <v>2</v>
      </c>
      <c r="O344" t="n">
        <v>0</v>
      </c>
      <c r="P344" t="s">
        <v>29</v>
      </c>
      <c r="Q344">
        <f>HYPERLINK("https://images.diginfra.net/framed3.html?imagesetuuid=508661ee-474e-44be-a74a-8aac34348aeb&amp;uri=https://images.diginfra.net/iiif/NL-HaNA_1.01.02/3786/NL-HaNA_1.01.02_3786_0051.jpg", "viewer_url")</f>
        <v/>
      </c>
      <c r="R344">
        <f>HYPERLINK("https://images.diginfra.net/iiif/NL-HaNA_1.01.02/3786/NL-HaNA_1.01.02_3786_0051.jpg/2404,2280,1091,1116/full/0/default.jpg", "iiif_url")</f>
        <v/>
      </c>
      <c r="S344" t="s">
        <v>29</v>
      </c>
      <c r="T344" t="s">
        <v>1491</v>
      </c>
      <c r="U344">
        <f>HYPERLINK("https://images.diginfra.net/framed3.html?imagesetuuid=508661ee-474e-44be-a74a-8aac34348aeb&amp;uri=https://images.diginfra.net/iiif/NL-HaNA_1.01.02/3786/NL-HaNA_1.01.02_3786_0050.jpg", "prev_meeting_viewer_url")</f>
        <v/>
      </c>
      <c r="V344">
        <f>HYPERLINK("https://images.diginfra.net/iiif/NL-HaNA_1.01.02/3786/NL-HaNA_1.01.02_3786_0050.jpg/3366,2137,1071,1214/full/0/default.jpg", "prev_meeting_iiif_url")</f>
        <v/>
      </c>
      <c r="W344" t="s">
        <v>29</v>
      </c>
      <c r="X344" t="s">
        <v>1492</v>
      </c>
      <c r="Y344">
        <f>HYPERLINK("https://images.diginfra.net/framed3.html?imagesetuuid=508661ee-474e-44be-a74a-8aac34348aeb&amp;uri=https://images.diginfra.net/iiif/NL-HaNA_1.01.02/3786/NL-HaNA_1.01.02_3786_0052.jpg", "next_meeting_viewer_url")</f>
        <v/>
      </c>
      <c r="Z344">
        <f>HYPERLINK("https://images.diginfra.net/iiif/NL-HaNA_1.01.02/3786/NL-HaNA_1.01.02_3786_0052.jpg/301,506,1082,2901/full/0/default.jpg", "next_meeting_iiif_url")</f>
        <v/>
      </c>
    </row>
    <row r="345" spans="1:26">
      <c r="A345" t="s">
        <v>1493</v>
      </c>
      <c r="B345" t="s">
        <v>76</v>
      </c>
      <c r="C345" t="s">
        <v>1494</v>
      </c>
      <c r="D345" t="b">
        <v>1</v>
      </c>
      <c r="E345" t="b">
        <v>1</v>
      </c>
      <c r="I345" t="s">
        <v>1495</v>
      </c>
      <c r="J345" t="n">
        <v>3803</v>
      </c>
      <c r="K345" t="n">
        <v>221</v>
      </c>
      <c r="L345" t="n">
        <v>440</v>
      </c>
      <c r="M345" t="n">
        <v>0</v>
      </c>
      <c r="N345" t="n">
        <v>1</v>
      </c>
      <c r="O345" t="n">
        <v>0</v>
      </c>
      <c r="P345" t="s">
        <v>29</v>
      </c>
      <c r="Q345">
        <f>HYPERLINK("https://images.diginfra.net/framed3.html?imagesetuuid=38df7783-1913-47c1-b96e-bdb08c6574dc&amp;uri=https://images.diginfra.net/iiif/NL-HaNA_1.01.02/3803/NL-HaNA_1.01.02_3803_0221.jpg", "viewer_url")</f>
        <v/>
      </c>
      <c r="R345">
        <f>HYPERLINK("https://images.diginfra.net/iiif/NL-HaNA_1.01.02/3803/NL-HaNA_1.01.02_3803_0221.jpg/226,1082,1098,2312/full/0/default.jpg", "iiif_url")</f>
        <v/>
      </c>
      <c r="S345" t="s">
        <v>29</v>
      </c>
      <c r="T345" t="s">
        <v>1496</v>
      </c>
      <c r="U345">
        <f>HYPERLINK("https://images.diginfra.net/framed3.html?imagesetuuid=38df7783-1913-47c1-b96e-bdb08c6574dc&amp;uri=https://images.diginfra.net/iiif/NL-HaNA_1.01.02/3803/NL-HaNA_1.01.02_3803_0219.jpg", "prev_meeting_viewer_url")</f>
        <v/>
      </c>
      <c r="V345">
        <f>HYPERLINK("https://images.diginfra.net/iiif/NL-HaNA_1.01.02/3803/NL-HaNA_1.01.02_3803_0219.jpg/3330,1563,1131,1749/full/0/default.jpg", "prev_meeting_iiif_url")</f>
        <v/>
      </c>
      <c r="W345" t="s">
        <v>29</v>
      </c>
      <c r="X345" t="s">
        <v>1497</v>
      </c>
      <c r="Y345">
        <f>HYPERLINK("https://images.diginfra.net/framed3.html?imagesetuuid=38df7783-1913-47c1-b96e-bdb08c6574dc&amp;uri=https://images.diginfra.net/iiif/NL-HaNA_1.01.02/3803/NL-HaNA_1.01.02_3803_0223.jpg", "next_meeting_viewer_url")</f>
        <v/>
      </c>
      <c r="Z345">
        <f>HYPERLINK("https://images.diginfra.net/iiif/NL-HaNA_1.01.02/3803/NL-HaNA_1.01.02_3803_0223.jpg/3264,908,1099,2517/full/0/default.jpg", "next_meeting_iiif_url")</f>
        <v/>
      </c>
    </row>
    <row r="346" spans="1:26">
      <c r="A346" t="s">
        <v>1498</v>
      </c>
      <c r="B346" t="s">
        <v>76</v>
      </c>
      <c r="C346" t="s">
        <v>1499</v>
      </c>
      <c r="D346" t="b">
        <v>1</v>
      </c>
      <c r="E346" t="b">
        <v>1</v>
      </c>
      <c r="I346" t="s">
        <v>1500</v>
      </c>
      <c r="J346" t="n">
        <v>3782</v>
      </c>
      <c r="K346" t="n">
        <v>478</v>
      </c>
      <c r="L346" t="n">
        <v>954</v>
      </c>
      <c r="M346" t="n">
        <v>1</v>
      </c>
      <c r="N346" t="n">
        <v>2</v>
      </c>
      <c r="O346" t="n">
        <v>0</v>
      </c>
      <c r="P346" t="s">
        <v>29</v>
      </c>
      <c r="Q346">
        <f>HYPERLINK("https://images.diginfra.net/framed3.html?imagesetuuid=6d3687da-fdc8-4a47-ac98-f85d45f74cb7&amp;uri=https://images.diginfra.net/iiif/NL-HaNA_1.01.02/3782/NL-HaNA_1.01.02_3782_0478.jpg", "viewer_url")</f>
        <v/>
      </c>
      <c r="R346">
        <f>HYPERLINK("https://images.diginfra.net/iiif/NL-HaNA_1.01.02/3782/NL-HaNA_1.01.02_3782_0478.jpg/1249,866,1107,2536/full/0/default.jpg", "iiif_url")</f>
        <v/>
      </c>
      <c r="S346" t="s">
        <v>29</v>
      </c>
      <c r="T346" t="s">
        <v>1501</v>
      </c>
      <c r="U346">
        <f>HYPERLINK("https://images.diginfra.net/framed3.html?imagesetuuid=6d3687da-fdc8-4a47-ac98-f85d45f74cb7&amp;uri=https://images.diginfra.net/iiif/NL-HaNA_1.01.02/3782/NL-HaNA_1.01.02_3782_0477.jpg", "prev_meeting_viewer_url")</f>
        <v/>
      </c>
      <c r="V346">
        <f>HYPERLINK("https://images.diginfra.net/iiif/NL-HaNA_1.01.02/3782/NL-HaNA_1.01.02_3782_0477.jpg/2551,2729,1038,685/full/0/default.jpg", "prev_meeting_iiif_url")</f>
        <v/>
      </c>
      <c r="W346" t="s">
        <v>29</v>
      </c>
      <c r="X346" t="s">
        <v>1502</v>
      </c>
      <c r="Y346">
        <f>HYPERLINK("https://images.diginfra.net/framed3.html?imagesetuuid=6d3687da-fdc8-4a47-ac98-f85d45f74cb7&amp;uri=https://images.diginfra.net/iiif/NL-HaNA_1.01.02/3782/NL-HaNA_1.01.02_3782_0478.jpg", "next_meeting_viewer_url")</f>
        <v/>
      </c>
      <c r="Z346">
        <f>HYPERLINK("https://images.diginfra.net/iiif/NL-HaNA_1.01.02/3782/NL-HaNA_1.01.02_3782_0478.jpg/2514,2723,1032,699/full/0/default.jpg", "next_meeting_iiif_url")</f>
        <v/>
      </c>
    </row>
    <row r="347" spans="1:26">
      <c r="A347" t="s">
        <v>1503</v>
      </c>
      <c r="B347" t="s">
        <v>48</v>
      </c>
      <c r="D347" t="b">
        <v>0</v>
      </c>
      <c r="E347" t="b">
        <v>0</v>
      </c>
      <c r="I347" t="s">
        <v>1504</v>
      </c>
      <c r="J347" t="n">
        <v>3822</v>
      </c>
      <c r="K347" t="n">
        <v>162</v>
      </c>
      <c r="L347" t="n">
        <v>322</v>
      </c>
      <c r="M347" t="n">
        <v>0</v>
      </c>
      <c r="N347" t="n">
        <v>1</v>
      </c>
      <c r="O347" t="n">
        <v>0</v>
      </c>
      <c r="P347" t="s">
        <v>29</v>
      </c>
      <c r="Q347">
        <f>HYPERLINK("https://images.diginfra.net/framed3.html?imagesetuuid=e0965315-891d-46c1-9dac-fc6b729921cf&amp;uri=https://images.diginfra.net/iiif/NL-HaNA_1.01.02/3822/NL-HaNA_1.01.02_3822_0162.jpg", "viewer_url")</f>
        <v/>
      </c>
      <c r="R347">
        <f>HYPERLINK("https://images.diginfra.net/iiif/NL-HaNA_1.01.02/3822/NL-HaNA_1.01.02_3822_0162.jpg/253,855,1076,2515/full/0/default.jpg", "iiif_url")</f>
        <v/>
      </c>
      <c r="S347" t="s">
        <v>29</v>
      </c>
      <c r="T347" t="s">
        <v>1505</v>
      </c>
      <c r="U347">
        <f>HYPERLINK("https://images.diginfra.net/framed3.html?imagesetuuid=e0965315-891d-46c1-9dac-fc6b729921cf&amp;uri=https://images.diginfra.net/iiif/NL-HaNA_1.01.02/3822/NL-HaNA_1.01.02_3822_0161.jpg", "prev_meeting_viewer_url")</f>
        <v/>
      </c>
      <c r="V347">
        <f>HYPERLINK("https://images.diginfra.net/iiif/NL-HaNA_1.01.02/3822/NL-HaNA_1.01.02_3822_0161.jpg/242,1312,1067,2060/full/0/default.jpg", "prev_meeting_iiif_url")</f>
        <v/>
      </c>
      <c r="W347" t="s">
        <v>29</v>
      </c>
      <c r="X347" t="s">
        <v>1506</v>
      </c>
      <c r="Y347">
        <f>HYPERLINK("https://images.diginfra.net/framed3.html?imagesetuuid=e0965315-891d-46c1-9dac-fc6b729921cf&amp;uri=https://images.diginfra.net/iiif/NL-HaNA_1.01.02/3822/NL-HaNA_1.01.02_3822_0162.jpg", "next_meeting_viewer_url")</f>
        <v/>
      </c>
      <c r="Z347">
        <f>HYPERLINK("https://images.diginfra.net/iiif/NL-HaNA_1.01.02/3822/NL-HaNA_1.01.02_3822_0162.jpg/253,855,1076,2515/full/0/default.jpg", "next_meeting_iiif_url")</f>
        <v/>
      </c>
    </row>
    <row r="348" spans="1:26">
      <c r="A348" t="s">
        <v>1507</v>
      </c>
      <c r="B348" t="s">
        <v>48</v>
      </c>
      <c r="D348" t="b">
        <v>0</v>
      </c>
      <c r="E348" t="b">
        <v>0</v>
      </c>
      <c r="I348" t="s">
        <v>1508</v>
      </c>
      <c r="J348" t="n">
        <v>3839</v>
      </c>
      <c r="K348" t="n">
        <v>242</v>
      </c>
      <c r="L348" t="n">
        <v>482</v>
      </c>
      <c r="M348" t="n">
        <v>1</v>
      </c>
      <c r="N348" t="n">
        <v>2</v>
      </c>
      <c r="O348" t="n">
        <v>0</v>
      </c>
      <c r="P348" t="s">
        <v>29</v>
      </c>
      <c r="Q348">
        <f>HYPERLINK("https://images.diginfra.net/framed3.html?imagesetuuid=bd074b51-3206-4dd9-b65b-2a404481d480&amp;uri=https://images.diginfra.net/iiif/NL-HaNA_1.01.02/3839/NL-HaNA_1.01.02_3839_0242.jpg", "viewer_url")</f>
        <v/>
      </c>
      <c r="R348">
        <f>HYPERLINK("https://images.diginfra.net/iiif/NL-HaNA_1.01.02/3839/NL-HaNA_1.01.02_3839_0242.jpg/1238,2552,1018,871/full/0/default.jpg", "iiif_url")</f>
        <v/>
      </c>
      <c r="S348" t="s">
        <v>29</v>
      </c>
      <c r="T348" t="s">
        <v>1509</v>
      </c>
      <c r="U348">
        <f>HYPERLINK("https://images.diginfra.net/framed3.html?imagesetuuid=bd074b51-3206-4dd9-b65b-2a404481d480&amp;uri=https://images.diginfra.net/iiif/NL-HaNA_1.01.02/3839/NL-HaNA_1.01.02_3839_0241.jpg", "prev_meeting_viewer_url")</f>
        <v/>
      </c>
      <c r="V348">
        <f>HYPERLINK("https://images.diginfra.net/iiif/NL-HaNA_1.01.02/3839/NL-HaNA_1.01.02_3839_0241.jpg/182,1214,1079,2206/full/0/default.jpg", "prev_meeting_iiif_url")</f>
        <v/>
      </c>
      <c r="W348" t="s">
        <v>29</v>
      </c>
      <c r="X348" t="s">
        <v>1510</v>
      </c>
      <c r="Y348">
        <f>HYPERLINK("https://images.diginfra.net/framed3.html?imagesetuuid=bd074b51-3206-4dd9-b65b-2a404481d480&amp;uri=https://images.diginfra.net/iiif/NL-HaNA_1.01.02/3839/NL-HaNA_1.01.02_3839_0242.jpg", "next_meeting_viewer_url")</f>
        <v/>
      </c>
      <c r="Z348">
        <f>HYPERLINK("https://images.diginfra.net/iiif/NL-HaNA_1.01.02/3839/NL-HaNA_1.01.02_3839_0242.jpg/1238,2552,1018,871/full/0/default.jpg", "next_meeting_iiif_url")</f>
        <v/>
      </c>
    </row>
    <row r="349" spans="1:26">
      <c r="A349" t="s">
        <v>1511</v>
      </c>
      <c r="B349" t="s">
        <v>27</v>
      </c>
      <c r="D349" t="b">
        <v>0</v>
      </c>
      <c r="E349" t="b">
        <v>0</v>
      </c>
      <c r="I349" t="s">
        <v>1512</v>
      </c>
      <c r="J349" t="n">
        <v>3813</v>
      </c>
      <c r="K349" t="n">
        <v>187</v>
      </c>
      <c r="L349" t="n">
        <v>373</v>
      </c>
      <c r="M349" t="n">
        <v>1</v>
      </c>
      <c r="N349" t="n">
        <v>4</v>
      </c>
      <c r="O349" t="n">
        <v>0</v>
      </c>
      <c r="P349" t="s">
        <v>29</v>
      </c>
      <c r="Q349">
        <f>HYPERLINK("https://images.diginfra.net/framed3.html?imagesetuuid=19a3f39b-117a-4ab7-b45b-5e134b099649&amp;uri=https://images.diginfra.net/iiif/NL-HaNA_1.01.02/3813/NL-HaNA_1.01.02_3813_0187.jpg", "viewer_url")</f>
        <v/>
      </c>
      <c r="R349">
        <f>HYPERLINK("https://images.diginfra.net/iiif/NL-HaNA_1.01.02/3813/NL-HaNA_1.01.02_3813_0187.jpg/3537,2957,750,374/full/0/default.jpg", "iiif_url")</f>
        <v/>
      </c>
      <c r="S349" t="s">
        <v>29</v>
      </c>
      <c r="T349" t="s">
        <v>1513</v>
      </c>
      <c r="U349">
        <f>HYPERLINK("https://images.diginfra.net/framed3.html?imagesetuuid=19a3f39b-117a-4ab7-b45b-5e134b099649&amp;uri=https://images.diginfra.net/iiif/NL-HaNA_1.01.02/3813/NL-HaNA_1.01.02_3813_0185.jpg", "prev_meeting_viewer_url")</f>
        <v/>
      </c>
      <c r="V349">
        <f>HYPERLINK("https://images.diginfra.net/iiif/NL-HaNA_1.01.02/3813/NL-HaNA_1.01.02_3813_0185.jpg/2409,2683,1055,691/full/0/default.jpg", "prev_meeting_iiif_url")</f>
        <v/>
      </c>
      <c r="W349" t="s">
        <v>29</v>
      </c>
      <c r="X349" t="s">
        <v>1514</v>
      </c>
      <c r="Y349">
        <f>HYPERLINK("https://images.diginfra.net/framed3.html?imagesetuuid=19a3f39b-117a-4ab7-b45b-5e134b099649&amp;uri=https://images.diginfra.net/iiif/NL-HaNA_1.01.02/3813/NL-HaNA_1.01.02_3813_0187.jpg", "next_meeting_viewer_url")</f>
        <v/>
      </c>
      <c r="Z349">
        <f>HYPERLINK("https://images.diginfra.net/iiif/NL-HaNA_1.01.02/3813/NL-HaNA_1.01.02_3813_0187.jpg/3537,2957,750,374/full/0/default.jpg", "next_meeting_iiif_url")</f>
        <v/>
      </c>
    </row>
    <row r="350" spans="1:26">
      <c r="A350" t="s">
        <v>1515</v>
      </c>
      <c r="B350" t="s">
        <v>48</v>
      </c>
      <c r="D350" t="b">
        <v>0</v>
      </c>
      <c r="E350" t="b">
        <v>0</v>
      </c>
      <c r="I350" t="s">
        <v>1516</v>
      </c>
      <c r="J350" t="n">
        <v>3789</v>
      </c>
      <c r="K350" t="n">
        <v>258</v>
      </c>
      <c r="L350" t="n">
        <v>515</v>
      </c>
      <c r="M350" t="n">
        <v>0</v>
      </c>
      <c r="N350" t="n">
        <v>0</v>
      </c>
      <c r="O350" t="n">
        <v>0</v>
      </c>
      <c r="P350" t="s">
        <v>33</v>
      </c>
      <c r="Q350">
        <f>HYPERLINK("https://images.diginfra.net/framed3.html?imagesetuuid=b2a3e6f4-5cd7-4539-b0af-036095fc5ec2&amp;uri=https://images.diginfra.net/iiif/NL-HaNA_1.01.02/3789/NL-HaNA_1.01.02_3789_0258.jpg", "viewer_url")</f>
        <v/>
      </c>
      <c r="R350">
        <f>HYPERLINK("https://images.diginfra.net/iiif/NL-HaNA_1.01.02/3789/NL-HaNA_1.01.02_3789_0258.jpg/2476,463,1112,2911/full/0/default.jpg", "iiif_url")</f>
        <v/>
      </c>
      <c r="S350" t="s">
        <v>29</v>
      </c>
      <c r="T350" t="s">
        <v>1517</v>
      </c>
      <c r="U350">
        <f>HYPERLINK("https://images.diginfra.net/framed3.html?imagesetuuid=b2a3e6f4-5cd7-4539-b0af-036095fc5ec2&amp;uri=https://images.diginfra.net/iiif/NL-HaNA_1.01.02/3789/NL-HaNA_1.01.02_3789_0257.jpg", "prev_meeting_viewer_url")</f>
        <v/>
      </c>
      <c r="V350">
        <f>HYPERLINK("https://images.diginfra.net/iiif/NL-HaNA_1.01.02/3789/NL-HaNA_1.01.02_3789_0257.jpg/2516,1554,1078,1902/full/0/default.jpg", "prev_meeting_iiif_url")</f>
        <v/>
      </c>
      <c r="W350" t="s">
        <v>33</v>
      </c>
      <c r="X350" t="s">
        <v>1518</v>
      </c>
      <c r="Y350">
        <f>HYPERLINK("https://images.diginfra.net/framed3.html?imagesetuuid=b2a3e6f4-5cd7-4539-b0af-036095fc5ec2&amp;uri=https://images.diginfra.net/iiif/NL-HaNA_1.01.02/3789/NL-HaNA_1.01.02_3789_0258.jpg", "next_meeting_viewer_url")</f>
        <v/>
      </c>
      <c r="Z350">
        <f>HYPERLINK("https://images.diginfra.net/iiif/NL-HaNA_1.01.02/3789/NL-HaNA_1.01.02_3789_0258.jpg/2476,463,1112,2911/full/0/default.jpg", "next_meeting_iiif_url")</f>
        <v/>
      </c>
    </row>
    <row r="351" spans="1:26">
      <c r="A351" t="s">
        <v>1519</v>
      </c>
      <c r="B351" t="s">
        <v>53</v>
      </c>
      <c r="D351" t="b">
        <v>1</v>
      </c>
      <c r="E351" t="b">
        <v>0</v>
      </c>
      <c r="Q351">
        <f>HYPERLINK("None", "viewer_url")</f>
        <v/>
      </c>
      <c r="R351">
        <f>HYPERLINK("None", "iiif_url")</f>
        <v/>
      </c>
      <c r="W351" t="s">
        <v>29</v>
      </c>
      <c r="X351" t="s">
        <v>1520</v>
      </c>
      <c r="Y351">
        <f>HYPERLINK("https://images.diginfra.net/framed3.html?imagesetuuid=e344f420-8808-4cb9-bb8a-07944ccb8c18&amp;uri=https://images.diginfra.net/iiif/NL-HaNA_1.01.02/3775/NL-HaNA_1.01.02_3775_0345.jpg", "next_meeting_viewer_url")</f>
        <v/>
      </c>
      <c r="Z351">
        <f>HYPERLINK("https://images.diginfra.net/iiif/NL-HaNA_1.01.02/3775/NL-HaNA_1.01.02_3775_0345.jpg/3109,716,1120,2696/full/0/default.jpg", "next_meeting_iiif_url")</f>
        <v/>
      </c>
    </row>
    <row r="352" spans="1:26">
      <c r="A352" t="s">
        <v>1521</v>
      </c>
      <c r="B352" t="s">
        <v>42</v>
      </c>
      <c r="C352" t="s">
        <v>1522</v>
      </c>
      <c r="D352" t="b">
        <v>1</v>
      </c>
      <c r="E352" t="b">
        <v>1</v>
      </c>
      <c r="I352" t="s">
        <v>1523</v>
      </c>
      <c r="J352" t="n">
        <v>3851</v>
      </c>
      <c r="K352" t="n">
        <v>25</v>
      </c>
      <c r="L352" t="n">
        <v>49</v>
      </c>
      <c r="M352" t="n">
        <v>1</v>
      </c>
      <c r="N352" t="n">
        <v>2</v>
      </c>
      <c r="O352" t="n">
        <v>0</v>
      </c>
      <c r="P352" t="s">
        <v>33</v>
      </c>
      <c r="Q352">
        <f>HYPERLINK("https://images.diginfra.net/framed3.html?imagesetuuid=27660c50-4382-4d81-bab3-9b18ce5e4c3c&amp;uri=https://images.diginfra.net/iiif/NL-HaNA_1.01.02/3851/NL-HaNA_1.01.02_3851_0025.jpg", "viewer_url")</f>
        <v/>
      </c>
      <c r="R352">
        <f>HYPERLINK("https://images.diginfra.net/iiif/NL-HaNA_1.01.02/3851/NL-HaNA_1.01.02_3851_0025.jpg/3413,1717,1061,1664/full/0/default.jpg", "iiif_url")</f>
        <v/>
      </c>
      <c r="S352" t="s">
        <v>29</v>
      </c>
      <c r="T352" t="s">
        <v>295</v>
      </c>
      <c r="U352">
        <f>HYPERLINK("https://images.diginfra.net/framed3.html?imagesetuuid=27660c50-4382-4d81-bab3-9b18ce5e4c3c&amp;uri=https://images.diginfra.net/iiif/NL-HaNA_1.01.02/3851/NL-HaNA_1.01.02_3851_0024.jpg", "prev_meeting_viewer_url")</f>
        <v/>
      </c>
      <c r="V352">
        <f>HYPERLINK("https://images.diginfra.net/iiif/NL-HaNA_1.01.02/3851/NL-HaNA_1.01.02_3851_0024.jpg/1517,2915,751,503/full/0/default.jpg", "prev_meeting_iiif_url")</f>
        <v/>
      </c>
    </row>
    <row r="353" spans="1:26">
      <c r="A353" t="s">
        <v>1524</v>
      </c>
      <c r="B353" t="s">
        <v>76</v>
      </c>
      <c r="C353" t="s">
        <v>1525</v>
      </c>
      <c r="D353" t="b">
        <v>1</v>
      </c>
      <c r="E353" t="b">
        <v>1</v>
      </c>
      <c r="I353" t="s">
        <v>1526</v>
      </c>
      <c r="J353" t="n">
        <v>3762</v>
      </c>
      <c r="K353" t="n">
        <v>142</v>
      </c>
      <c r="L353" t="n">
        <v>283</v>
      </c>
      <c r="M353" t="n">
        <v>0</v>
      </c>
      <c r="N353" t="n">
        <v>2</v>
      </c>
      <c r="O353" t="n">
        <v>0</v>
      </c>
      <c r="P353" t="s">
        <v>29</v>
      </c>
      <c r="Q353">
        <f>HYPERLINK("https://images.diginfra.net/framed3.html?imagesetuuid=df3dafee-b161-42ae-8ffe-6d7f9dbb63ed&amp;uri=https://images.diginfra.net/iiif/NL-HaNA_1.01.02/3762/NL-HaNA_1.01.02_3762_0142.jpg", "viewer_url")</f>
        <v/>
      </c>
      <c r="R353">
        <f>HYPERLINK("https://images.diginfra.net/iiif/NL-HaNA_1.01.02/3762/NL-HaNA_1.01.02_3762_0142.jpg/2375,2204,1046,1139/full/0/default.jpg", "iiif_url")</f>
        <v/>
      </c>
      <c r="S353" t="s">
        <v>29</v>
      </c>
      <c r="T353" t="s">
        <v>1527</v>
      </c>
      <c r="U353">
        <f>HYPERLINK("https://images.diginfra.net/framed3.html?imagesetuuid=df3dafee-b161-42ae-8ffe-6d7f9dbb63ed&amp;uri=https://images.diginfra.net/iiif/NL-HaNA_1.01.02/3762/NL-HaNA_1.01.02_3762_0140.jpg", "prev_meeting_viewer_url")</f>
        <v/>
      </c>
      <c r="V353">
        <f>HYPERLINK("https://images.diginfra.net/iiif/NL-HaNA_1.01.02/3762/NL-HaNA_1.01.02_3762_0140.jpg/2335,1501,1104,1864/full/0/default.jpg", "prev_meeting_iiif_url")</f>
        <v/>
      </c>
      <c r="W353" t="s">
        <v>29</v>
      </c>
      <c r="X353" t="s">
        <v>1528</v>
      </c>
      <c r="Y353">
        <f>HYPERLINK("https://images.diginfra.net/framed3.html?imagesetuuid=df3dafee-b161-42ae-8ffe-6d7f9dbb63ed&amp;uri=https://images.diginfra.net/iiif/NL-HaNA_1.01.02/3762/NL-HaNA_1.01.02_3762_0145.jpg", "next_meeting_viewer_url")</f>
        <v/>
      </c>
      <c r="Z353">
        <f>HYPERLINK("https://images.diginfra.net/iiif/NL-HaNA_1.01.02/3762/NL-HaNA_1.01.02_3762_0145.jpg/2322,819,1097,2606/full/0/default.jpg", "next_meeting_iiif_url")</f>
        <v/>
      </c>
    </row>
    <row r="354" spans="1:26">
      <c r="A354" t="s">
        <v>1529</v>
      </c>
      <c r="B354" t="s">
        <v>37</v>
      </c>
      <c r="C354" t="s">
        <v>1530</v>
      </c>
      <c r="D354" t="b">
        <v>1</v>
      </c>
      <c r="E354" t="b">
        <v>1</v>
      </c>
      <c r="I354" t="s">
        <v>1531</v>
      </c>
      <c r="J354" t="n">
        <v>3760</v>
      </c>
      <c r="K354" t="n">
        <v>179</v>
      </c>
      <c r="L354" t="n">
        <v>356</v>
      </c>
      <c r="M354" t="n">
        <v>0</v>
      </c>
      <c r="N354" t="n">
        <v>0</v>
      </c>
      <c r="O354" t="n">
        <v>24</v>
      </c>
      <c r="P354" t="s">
        <v>29</v>
      </c>
      <c r="Q354">
        <f>HYPERLINK("https://images.diginfra.net/framed3.html?imagesetuuid=dc1aea1e-5e7b-4d50-b913-c0d5902dbd85&amp;uri=https://images.diginfra.net/iiif/NL-HaNA_1.01.02/3760/NL-HaNA_1.01.02_3760_0179.jpg", "viewer_url")</f>
        <v/>
      </c>
      <c r="R354">
        <f>HYPERLINK("https://images.diginfra.net/iiif/NL-HaNA_1.01.02/3760/NL-HaNA_1.01.02_3760_0179.jpg/255,1050,1116,2303/full/0/default.jpg", "iiif_url")</f>
        <v/>
      </c>
      <c r="S354" t="s">
        <v>29</v>
      </c>
      <c r="T354" t="s">
        <v>1532</v>
      </c>
      <c r="U354">
        <f>HYPERLINK("https://images.diginfra.net/framed3.html?imagesetuuid=dc1aea1e-5e7b-4d50-b913-c0d5902dbd85&amp;uri=https://images.diginfra.net/iiif/NL-HaNA_1.01.02/3760/NL-HaNA_1.01.02_3760_0175.jpg", "prev_meeting_viewer_url")</f>
        <v/>
      </c>
      <c r="V354">
        <f>HYPERLINK("https://images.diginfra.net/iiif/NL-HaNA_1.01.02/3760/NL-HaNA_1.01.02_3760_0175.jpg/2324,550,1075,2849/full/0/default.jpg", "prev_meeting_iiif_url")</f>
        <v/>
      </c>
      <c r="W354" t="s">
        <v>29</v>
      </c>
      <c r="X354" t="s">
        <v>1533</v>
      </c>
      <c r="Y354">
        <f>HYPERLINK("https://images.diginfra.net/framed3.html?imagesetuuid=dc1aea1e-5e7b-4d50-b913-c0d5902dbd85&amp;uri=https://images.diginfra.net/iiif/NL-HaNA_1.01.02/3760/NL-HaNA_1.01.02_3760_0182.jpg", "next_meeting_viewer_url")</f>
        <v/>
      </c>
      <c r="Z354">
        <f>HYPERLINK("https://images.diginfra.net/iiif/NL-HaNA_1.01.02/3760/NL-HaNA_1.01.02_3760_0182.jpg/362,2663,896,699/full/0/default.jpg", "next_meeting_iiif_url")</f>
        <v/>
      </c>
    </row>
    <row r="355" spans="1:26">
      <c r="A355" t="s">
        <v>1534</v>
      </c>
      <c r="B355" t="s">
        <v>27</v>
      </c>
      <c r="C355" t="s">
        <v>1535</v>
      </c>
      <c r="D355" t="b">
        <v>1</v>
      </c>
      <c r="E355" t="b">
        <v>1</v>
      </c>
      <c r="I355" t="s">
        <v>1536</v>
      </c>
      <c r="J355" t="n">
        <v>3794</v>
      </c>
      <c r="K355" t="n">
        <v>89</v>
      </c>
      <c r="L355" t="n">
        <v>177</v>
      </c>
      <c r="M355" t="n">
        <v>1</v>
      </c>
      <c r="N355" t="n">
        <v>1</v>
      </c>
      <c r="O355" t="n">
        <v>0</v>
      </c>
      <c r="P355" t="s">
        <v>29</v>
      </c>
      <c r="Q355">
        <f>HYPERLINK("https://images.diginfra.net/framed3.html?imagesetuuid=5debb5c6-ae39-480e-845e-6e10690f8984&amp;uri=https://images.diginfra.net/iiif/NL-HaNA_1.01.02/3794/NL-HaNA_1.01.02_3794_0089.jpg", "viewer_url")</f>
        <v/>
      </c>
      <c r="R355">
        <f>HYPERLINK("https://images.diginfra.net/iiif/NL-HaNA_1.01.02/3794/NL-HaNA_1.01.02_3794_0089.jpg/3400,511,1098,2861/full/0/default.jpg", "iiif_url")</f>
        <v/>
      </c>
      <c r="S355" t="s">
        <v>29</v>
      </c>
      <c r="T355" t="s">
        <v>1537</v>
      </c>
      <c r="U355">
        <f>HYPERLINK("https://images.diginfra.net/framed3.html?imagesetuuid=5debb5c6-ae39-480e-845e-6e10690f8984&amp;uri=https://images.diginfra.net/iiif/NL-HaNA_1.01.02/3794/NL-HaNA_1.01.02_3794_0088.jpg", "prev_meeting_viewer_url")</f>
        <v/>
      </c>
      <c r="V355">
        <f>HYPERLINK("https://images.diginfra.net/iiif/NL-HaNA_1.01.02/3794/NL-HaNA_1.01.02_3794_0088.jpg/3417,764,1097,2599/full/0/default.jpg", "prev_meeting_iiif_url")</f>
        <v/>
      </c>
      <c r="W355" t="s">
        <v>29</v>
      </c>
      <c r="X355" t="s">
        <v>1538</v>
      </c>
      <c r="Y355">
        <f>HYPERLINK("https://images.diginfra.net/framed3.html?imagesetuuid=5debb5c6-ae39-480e-845e-6e10690f8984&amp;uri=https://images.diginfra.net/iiif/NL-HaNA_1.01.02/3794/NL-HaNA_1.01.02_3794_0091.jpg", "next_meeting_viewer_url")</f>
        <v/>
      </c>
      <c r="Z355">
        <f>HYPERLINK("https://images.diginfra.net/iiif/NL-HaNA_1.01.02/3794/NL-HaNA_1.01.02_3794_0091.jpg/1311,2440,1029,906/full/0/default.jpg", "next_meeting_iiif_url")</f>
        <v/>
      </c>
    </row>
    <row r="356" spans="1:26">
      <c r="A356" t="s">
        <v>1539</v>
      </c>
      <c r="B356" t="s">
        <v>53</v>
      </c>
      <c r="C356" t="s">
        <v>1540</v>
      </c>
      <c r="D356" t="b">
        <v>1</v>
      </c>
      <c r="E356" t="b">
        <v>1</v>
      </c>
      <c r="I356" t="s">
        <v>1541</v>
      </c>
      <c r="J356" t="n">
        <v>3791</v>
      </c>
      <c r="K356" t="n">
        <v>338</v>
      </c>
      <c r="L356" t="n">
        <v>674</v>
      </c>
      <c r="M356" t="n">
        <v>1</v>
      </c>
      <c r="N356" t="n">
        <v>1</v>
      </c>
      <c r="O356" t="n">
        <v>0</v>
      </c>
      <c r="P356" t="s">
        <v>29</v>
      </c>
      <c r="Q356">
        <f>HYPERLINK("https://images.diginfra.net/framed3.html?imagesetuuid=e5198992-3bac-4cce-bc59-b70724ee426a&amp;uri=https://images.diginfra.net/iiif/NL-HaNA_1.01.02/3791/NL-HaNA_1.01.02_3791_0338.jpg", "viewer_url")</f>
        <v/>
      </c>
      <c r="R356">
        <f>HYPERLINK("https://images.diginfra.net/iiif/NL-HaNA_1.01.02/3791/NL-HaNA_1.01.02_3791_0338.jpg/1142,687,1136,2695/full/0/default.jpg", "iiif_url")</f>
        <v/>
      </c>
      <c r="S356" t="s">
        <v>29</v>
      </c>
      <c r="T356" t="s">
        <v>1542</v>
      </c>
      <c r="U356">
        <f>HYPERLINK("https://images.diginfra.net/framed3.html?imagesetuuid=e5198992-3bac-4cce-bc59-b70724ee426a&amp;uri=https://images.diginfra.net/iiif/NL-HaNA_1.01.02/3791/NL-HaNA_1.01.02_3791_0337.jpg", "prev_meeting_viewer_url")</f>
        <v/>
      </c>
      <c r="V356">
        <f>HYPERLINK("https://images.diginfra.net/iiif/NL-HaNA_1.01.02/3791/NL-HaNA_1.01.02_3791_0337.jpg/1165,887,1130,2580/full/0/default.jpg", "prev_meeting_iiif_url")</f>
        <v/>
      </c>
      <c r="W356" t="s">
        <v>29</v>
      </c>
      <c r="X356" t="s">
        <v>1543</v>
      </c>
      <c r="Y356">
        <f>HYPERLINK("https://images.diginfra.net/framed3.html?imagesetuuid=e5198992-3bac-4cce-bc59-b70724ee426a&amp;uri=https://images.diginfra.net/iiif/NL-HaNA_1.01.02/3791/NL-HaNA_1.01.02_3791_0338.jpg", "next_meeting_viewer_url")</f>
        <v/>
      </c>
      <c r="Z356">
        <f>HYPERLINK("https://images.diginfra.net/iiif/NL-HaNA_1.01.02/3791/NL-HaNA_1.01.02_3791_0338.jpg/3364,1455,1086,1962/full/0/default.jpg", "next_meeting_iiif_url")</f>
        <v/>
      </c>
    </row>
    <row r="357" spans="1:26">
      <c r="A357" t="s">
        <v>1544</v>
      </c>
      <c r="B357" t="s">
        <v>53</v>
      </c>
      <c r="C357" t="s">
        <v>975</v>
      </c>
      <c r="D357" t="b">
        <v>1</v>
      </c>
      <c r="E357" t="b">
        <v>1</v>
      </c>
      <c r="I357" t="s">
        <v>1545</v>
      </c>
      <c r="J357" t="n">
        <v>3792</v>
      </c>
      <c r="K357" t="n">
        <v>313</v>
      </c>
      <c r="L357" t="n">
        <v>624</v>
      </c>
      <c r="M357" t="n">
        <v>1</v>
      </c>
      <c r="N357" t="n">
        <v>1</v>
      </c>
      <c r="O357" t="n">
        <v>0</v>
      </c>
      <c r="P357" t="s">
        <v>29</v>
      </c>
      <c r="Q357">
        <f>HYPERLINK("https://images.diginfra.net/framed3.html?imagesetuuid=507d79a4-2a42-4e84-afa5-a9ccb1e544fe&amp;uri=https://images.diginfra.net/iiif/NL-HaNA_1.01.02/3792/NL-HaNA_1.01.02_3792_0313.jpg", "viewer_url")</f>
        <v/>
      </c>
      <c r="R357">
        <f>HYPERLINK("https://images.diginfra.net/iiif/NL-HaNA_1.01.02/3792/NL-HaNA_1.01.02_3792_0313.jpg/1181,1876,1109,1602/full/0/default.jpg", "iiif_url")</f>
        <v/>
      </c>
      <c r="W357" t="s">
        <v>29</v>
      </c>
      <c r="X357" t="s">
        <v>1546</v>
      </c>
      <c r="Y357">
        <f>HYPERLINK("https://images.diginfra.net/framed3.html?imagesetuuid=507d79a4-2a42-4e84-afa5-a9ccb1e544fe&amp;uri=https://images.diginfra.net/iiif/NL-HaNA_1.01.02/3792/NL-HaNA_1.01.02_3792_0314.jpg", "next_meeting_viewer_url")</f>
        <v/>
      </c>
      <c r="Z357">
        <f>HYPERLINK("https://images.diginfra.net/iiif/NL-HaNA_1.01.02/3792/NL-HaNA_1.01.02_3792_0314.jpg/356,2673,1019,728/full/0/default.jpg", "next_meeting_iiif_url")</f>
        <v/>
      </c>
    </row>
    <row r="358" spans="1:26">
      <c r="A358" t="s">
        <v>1547</v>
      </c>
      <c r="B358" t="s">
        <v>42</v>
      </c>
      <c r="C358" t="s">
        <v>1548</v>
      </c>
      <c r="D358" t="b">
        <v>1</v>
      </c>
      <c r="E358" t="b">
        <v>1</v>
      </c>
      <c r="I358" t="s">
        <v>1549</v>
      </c>
      <c r="J358" t="n">
        <v>3816</v>
      </c>
      <c r="K358" t="n">
        <v>281</v>
      </c>
      <c r="L358" t="n">
        <v>561</v>
      </c>
      <c r="M358" t="n">
        <v>1</v>
      </c>
      <c r="N358" t="n">
        <v>1</v>
      </c>
      <c r="O358" t="n">
        <v>0</v>
      </c>
      <c r="P358" t="s">
        <v>33</v>
      </c>
      <c r="Q358">
        <f>HYPERLINK("https://images.diginfra.net/framed3.html?imagesetuuid=1c2c3458-ea9f-4ec5-811c-cef54972a496&amp;uri=https://images.diginfra.net/iiif/NL-HaNA_1.01.02/3816/NL-HaNA_1.01.02_3816_0281.jpg", "viewer_url")</f>
        <v/>
      </c>
      <c r="R358">
        <f>HYPERLINK("https://images.diginfra.net/iiif/NL-HaNA_1.01.02/3816/NL-HaNA_1.01.02_3816_0281.jpg/3370,569,1091,2718/full/0/default.jpg", "iiif_url")</f>
        <v/>
      </c>
      <c r="S358" t="s">
        <v>29</v>
      </c>
      <c r="T358" t="s">
        <v>1550</v>
      </c>
      <c r="U358">
        <f>HYPERLINK("https://images.diginfra.net/framed3.html?imagesetuuid=1c2c3458-ea9f-4ec5-811c-cef54972a496&amp;uri=https://images.diginfra.net/iiif/NL-HaNA_1.01.02/3816/NL-HaNA_1.01.02_3816_0280.jpg", "prev_meeting_viewer_url")</f>
        <v/>
      </c>
      <c r="V358">
        <f>HYPERLINK("https://images.diginfra.net/iiif/NL-HaNA_1.01.02/3816/NL-HaNA_1.01.02_3816_0280.jpg/2492,1623,1046,1783/full/0/default.jpg", "prev_meeting_iiif_url")</f>
        <v/>
      </c>
    </row>
    <row r="359" spans="1:26">
      <c r="A359" t="s">
        <v>1551</v>
      </c>
      <c r="B359" t="s">
        <v>53</v>
      </c>
      <c r="C359" t="s">
        <v>1552</v>
      </c>
      <c r="D359" t="b">
        <v>1</v>
      </c>
      <c r="E359" t="b">
        <v>1</v>
      </c>
      <c r="I359" t="s">
        <v>1553</v>
      </c>
      <c r="J359" t="n">
        <v>3789</v>
      </c>
      <c r="K359" t="n">
        <v>88</v>
      </c>
      <c r="L359" t="n">
        <v>174</v>
      </c>
      <c r="M359" t="n">
        <v>1</v>
      </c>
      <c r="N359" t="n">
        <v>1</v>
      </c>
      <c r="O359" t="n">
        <v>0</v>
      </c>
      <c r="P359" t="s">
        <v>29</v>
      </c>
      <c r="Q359">
        <f>HYPERLINK("https://images.diginfra.net/framed3.html?imagesetuuid=b2a3e6f4-5cd7-4539-b0af-036095fc5ec2&amp;uri=https://images.diginfra.net/iiif/NL-HaNA_1.01.02/3789/NL-HaNA_1.01.02_3789_0088.jpg", "viewer_url")</f>
        <v/>
      </c>
      <c r="R359">
        <f>HYPERLINK("https://images.diginfra.net/iiif/NL-HaNA_1.01.02/3789/NL-HaNA_1.01.02_3789_0088.jpg/1275,1148,1106,2327/full/0/default.jpg", "iiif_url")</f>
        <v/>
      </c>
      <c r="S359" t="s">
        <v>29</v>
      </c>
      <c r="T359" t="s">
        <v>1554</v>
      </c>
      <c r="U359">
        <f>HYPERLINK("https://images.diginfra.net/framed3.html?imagesetuuid=b2a3e6f4-5cd7-4539-b0af-036095fc5ec2&amp;uri=https://images.diginfra.net/iiif/NL-HaNA_1.01.02/3789/NL-HaNA_1.01.02_3789_0087.jpg", "prev_meeting_viewer_url")</f>
        <v/>
      </c>
      <c r="V359">
        <f>HYPERLINK("https://images.diginfra.net/iiif/NL-HaNA_1.01.02/3789/NL-HaNA_1.01.02_3789_0087.jpg/1312,2711,1036,743/full/0/default.jpg", "prev_meeting_iiif_url")</f>
        <v/>
      </c>
      <c r="W359" t="s">
        <v>29</v>
      </c>
      <c r="X359" t="s">
        <v>1555</v>
      </c>
      <c r="Y359">
        <f>HYPERLINK("https://images.diginfra.net/framed3.html?imagesetuuid=b2a3e6f4-5cd7-4539-b0af-036095fc5ec2&amp;uri=https://images.diginfra.net/iiif/NL-HaNA_1.01.02/3789/NL-HaNA_1.01.02_3789_0089.jpg", "next_meeting_viewer_url")</f>
        <v/>
      </c>
      <c r="Z359">
        <f>HYPERLINK("https://images.diginfra.net/iiif/NL-HaNA_1.01.02/3789/NL-HaNA_1.01.02_3789_0089.jpg/2527,1800,1079,1599/full/0/default.jpg", "next_meeting_iiif_url")</f>
        <v/>
      </c>
    </row>
    <row r="360" spans="1:26">
      <c r="A360" t="s">
        <v>1556</v>
      </c>
      <c r="B360" t="s">
        <v>42</v>
      </c>
      <c r="C360" t="s">
        <v>1557</v>
      </c>
      <c r="D360" t="b">
        <v>1</v>
      </c>
      <c r="E360" t="b">
        <v>1</v>
      </c>
      <c r="I360" t="s">
        <v>1558</v>
      </c>
      <c r="J360" t="n">
        <v>3825</v>
      </c>
      <c r="K360" t="n">
        <v>536</v>
      </c>
      <c r="L360" t="n">
        <v>1070</v>
      </c>
      <c r="M360" t="n">
        <v>0</v>
      </c>
      <c r="N360" t="n">
        <v>2</v>
      </c>
      <c r="O360" t="n">
        <v>0</v>
      </c>
      <c r="P360" t="s">
        <v>33</v>
      </c>
      <c r="Q360">
        <f>HYPERLINK("https://images.diginfra.net/framed3.html?imagesetuuid=3e55157c-ed48-4a0c-b4a9-bb205866d7cd&amp;uri=https://images.diginfra.net/iiif/NL-HaNA_1.01.02/3825/NL-HaNA_1.01.02_3825_0536.jpg", "viewer_url")</f>
        <v/>
      </c>
      <c r="R360">
        <f>HYPERLINK("https://images.diginfra.net/iiif/NL-HaNA_1.01.02/3825/NL-HaNA_1.01.02_3825_0536.jpg/379,2917,985,436/full/0/default.jpg", "iiif_url")</f>
        <v/>
      </c>
      <c r="S360" t="s">
        <v>29</v>
      </c>
      <c r="T360" t="s">
        <v>1559</v>
      </c>
      <c r="U360">
        <f>HYPERLINK("https://images.diginfra.net/framed3.html?imagesetuuid=3e55157c-ed48-4a0c-b4a9-bb205866d7cd&amp;uri=https://images.diginfra.net/iiif/NL-HaNA_1.01.02/3825/NL-HaNA_1.01.02_3825_0533.jpg", "prev_meeting_viewer_url")</f>
        <v/>
      </c>
      <c r="V360">
        <f>HYPERLINK("https://images.diginfra.net/iiif/NL-HaNA_1.01.02/3825/NL-HaNA_1.01.02_3825_0533.jpg/2397,911,1082,2362/full/0/default.jpg", "prev_meeting_iiif_url")</f>
        <v/>
      </c>
    </row>
    <row r="361" spans="1:26">
      <c r="A361" t="s">
        <v>1560</v>
      </c>
      <c r="B361" t="s">
        <v>48</v>
      </c>
      <c r="D361" t="b">
        <v>0</v>
      </c>
      <c r="E361" t="b">
        <v>0</v>
      </c>
      <c r="I361" t="s">
        <v>1561</v>
      </c>
      <c r="J361" t="n">
        <v>3797</v>
      </c>
      <c r="K361" t="n">
        <v>217</v>
      </c>
      <c r="L361" t="n">
        <v>432</v>
      </c>
      <c r="M361" t="n">
        <v>0</v>
      </c>
      <c r="N361" t="n">
        <v>2</v>
      </c>
      <c r="O361" t="n">
        <v>0</v>
      </c>
      <c r="P361" t="s">
        <v>29</v>
      </c>
      <c r="Q361">
        <f>HYPERLINK("https://images.diginfra.net/framed3.html?imagesetuuid=02516f87-475f-4001-a332-8d96f5aecb93&amp;uri=https://images.diginfra.net/iiif/NL-HaNA_1.01.02/3797/NL-HaNA_1.01.02_3797_0217.jpg", "viewer_url")</f>
        <v/>
      </c>
      <c r="R361">
        <f>HYPERLINK("https://images.diginfra.net/iiif/NL-HaNA_1.01.02/3797/NL-HaNA_1.01.02_3797_0217.jpg/286,1070,1086,2331/full/0/default.jpg", "iiif_url")</f>
        <v/>
      </c>
      <c r="S361" t="s">
        <v>29</v>
      </c>
      <c r="T361" t="s">
        <v>1562</v>
      </c>
      <c r="U361">
        <f>HYPERLINK("https://images.diginfra.net/framed3.html?imagesetuuid=02516f87-475f-4001-a332-8d96f5aecb93&amp;uri=https://images.diginfra.net/iiif/NL-HaNA_1.01.02/3797/NL-HaNA_1.01.02_3797_0216.jpg", "prev_meeting_viewer_url")</f>
        <v/>
      </c>
      <c r="V361">
        <f>HYPERLINK("https://images.diginfra.net/iiif/NL-HaNA_1.01.02/3797/NL-HaNA_1.01.02_3797_0216.jpg/2503,2231,1031,1167/full/0/default.jpg", "prev_meeting_iiif_url")</f>
        <v/>
      </c>
      <c r="W361" t="s">
        <v>29</v>
      </c>
      <c r="X361" t="s">
        <v>1563</v>
      </c>
      <c r="Y361">
        <f>HYPERLINK("https://images.diginfra.net/framed3.html?imagesetuuid=02516f87-475f-4001-a332-8d96f5aecb93&amp;uri=https://images.diginfra.net/iiif/NL-HaNA_1.01.02/3797/NL-HaNA_1.01.02_3797_0217.jpg", "next_meeting_viewer_url")</f>
        <v/>
      </c>
      <c r="Z361">
        <f>HYPERLINK("https://images.diginfra.net/iiif/NL-HaNA_1.01.02/3797/NL-HaNA_1.01.02_3797_0217.jpg/286,1070,1086,2331/full/0/default.jpg", "next_meeting_iiif_url")</f>
        <v/>
      </c>
    </row>
    <row r="362" spans="1:26">
      <c r="A362" t="s">
        <v>1564</v>
      </c>
      <c r="B362" t="s">
        <v>53</v>
      </c>
      <c r="D362" t="b">
        <v>1</v>
      </c>
      <c r="E362" t="b">
        <v>0</v>
      </c>
      <c r="Q362">
        <f>HYPERLINK("None", "viewer_url")</f>
        <v/>
      </c>
      <c r="R362">
        <f>HYPERLINK("None", "iiif_url")</f>
        <v/>
      </c>
      <c r="S362" t="s">
        <v>33</v>
      </c>
      <c r="T362" t="s">
        <v>1565</v>
      </c>
      <c r="U362">
        <f>HYPERLINK("https://images.diginfra.net/framed3.html?imagesetuuid=8305a309-5c79-4c0c-a981-7e350c76be32&amp;uri=https://images.diginfra.net/iiif/NL-HaNA_1.01.02/3793/NL-HaNA_1.01.02_3793_0334.jpg", "prev_meeting_viewer_url")</f>
        <v/>
      </c>
      <c r="V362">
        <f>HYPERLINK("https://images.diginfra.net/iiif/NL-HaNA_1.01.02/3793/NL-HaNA_1.01.02_3793_0334.jpg/3469,1865,1079,1567/full/0/default.jpg", "prev_meeting_iiif_url")</f>
        <v/>
      </c>
      <c r="W362" t="s">
        <v>29</v>
      </c>
      <c r="X362" t="s">
        <v>1566</v>
      </c>
      <c r="Y362">
        <f>HYPERLINK("https://images.diginfra.net/framed3.html?imagesetuuid=8305a309-5c79-4c0c-a981-7e350c76be32&amp;uri=https://images.diginfra.net/iiif/NL-HaNA_1.01.02/3793/NL-HaNA_1.01.02_3793_0337.jpg", "next_meeting_viewer_url")</f>
        <v/>
      </c>
      <c r="Z362">
        <f>HYPERLINK("https://images.diginfra.net/iiif/NL-HaNA_1.01.02/3793/NL-HaNA_1.01.02_3793_0337.jpg/317,2138,1094,1272/full/0/default.jpg", "next_meeting_iiif_url")</f>
        <v/>
      </c>
    </row>
    <row r="363" spans="1:26">
      <c r="A363" t="s">
        <v>1567</v>
      </c>
      <c r="B363" t="s">
        <v>48</v>
      </c>
      <c r="D363" t="b">
        <v>0</v>
      </c>
      <c r="E363" t="b">
        <v>0</v>
      </c>
      <c r="I363" t="s">
        <v>1568</v>
      </c>
      <c r="J363" t="n">
        <v>3792</v>
      </c>
      <c r="K363" t="n">
        <v>40</v>
      </c>
      <c r="L363" t="n">
        <v>78</v>
      </c>
      <c r="M363" t="n">
        <v>0</v>
      </c>
      <c r="N363" t="n">
        <v>1</v>
      </c>
      <c r="O363" t="n">
        <v>0</v>
      </c>
      <c r="P363" t="s">
        <v>29</v>
      </c>
      <c r="Q363">
        <f>HYPERLINK("https://images.diginfra.net/framed3.html?imagesetuuid=507d79a4-2a42-4e84-afa5-a9ccb1e544fe&amp;uri=https://images.diginfra.net/iiif/NL-HaNA_1.01.02/3792/NL-HaNA_1.01.02_3792_0040.jpg", "viewer_url")</f>
        <v/>
      </c>
      <c r="R363">
        <f>HYPERLINK("https://images.diginfra.net/iiif/NL-HaNA_1.01.02/3792/NL-HaNA_1.01.02_3792_0040.jpg/359,2101,1041,1323/full/0/default.jpg", "iiif_url")</f>
        <v/>
      </c>
      <c r="W363" t="s">
        <v>29</v>
      </c>
      <c r="X363" t="s">
        <v>1569</v>
      </c>
      <c r="Y363">
        <f>HYPERLINK("https://images.diginfra.net/framed3.html?imagesetuuid=507d79a4-2a42-4e84-afa5-a9ccb1e544fe&amp;uri=https://images.diginfra.net/iiif/NL-HaNA_1.01.02/3792/NL-HaNA_1.01.02_3792_0040.jpg", "next_meeting_viewer_url")</f>
        <v/>
      </c>
      <c r="Z363">
        <f>HYPERLINK("https://images.diginfra.net/iiif/NL-HaNA_1.01.02/3792/NL-HaNA_1.01.02_3792_0040.jpg/359,2101,1041,1323/full/0/default.jpg", "next_meeting_iiif_url")</f>
        <v/>
      </c>
    </row>
    <row r="364" spans="1:26">
      <c r="A364" t="s">
        <v>1570</v>
      </c>
      <c r="B364" t="s">
        <v>27</v>
      </c>
      <c r="D364" t="b">
        <v>0</v>
      </c>
      <c r="E364" t="b">
        <v>0</v>
      </c>
      <c r="I364" t="s">
        <v>1571</v>
      </c>
      <c r="J364" t="n">
        <v>3846</v>
      </c>
      <c r="K364" t="n">
        <v>159</v>
      </c>
      <c r="L364" t="n">
        <v>316</v>
      </c>
      <c r="M364" t="n">
        <v>1</v>
      </c>
      <c r="N364" t="n">
        <v>3</v>
      </c>
      <c r="O364" t="n">
        <v>0</v>
      </c>
      <c r="P364" t="s">
        <v>29</v>
      </c>
      <c r="Q364">
        <f>HYPERLINK("https://images.diginfra.net/framed3.html?imagesetuuid=5c344aa2-2016-4230-9286-e37531acd6d5&amp;uri=https://images.diginfra.net/iiif/NL-HaNA_1.01.02/3846/NL-HaNA_1.01.02_3846_0159.jpg", "viewer_url")</f>
        <v/>
      </c>
      <c r="R364">
        <f>HYPERLINK("https://images.diginfra.net/iiif/NL-HaNA_1.01.02/3846/NL-HaNA_1.01.02_3846_0159.jpg/1435,2352,1026,1175/full/0/default.jpg", "iiif_url")</f>
        <v/>
      </c>
      <c r="W364" t="s">
        <v>29</v>
      </c>
      <c r="X364" t="s">
        <v>1572</v>
      </c>
      <c r="Y364">
        <f>HYPERLINK("https://images.diginfra.net/framed3.html?imagesetuuid=5c344aa2-2016-4230-9286-e37531acd6d5&amp;uri=https://images.diginfra.net/iiif/NL-HaNA_1.01.02/3846/NL-HaNA_1.01.02_3846_0159.jpg", "next_meeting_viewer_url")</f>
        <v/>
      </c>
      <c r="Z364">
        <f>HYPERLINK("https://images.diginfra.net/iiif/NL-HaNA_1.01.02/3846/NL-HaNA_1.01.02_3846_0159.jpg/1435,2352,1026,1175/full/0/default.jpg", "next_meeting_iiif_url")</f>
        <v/>
      </c>
    </row>
    <row r="365" spans="1:26">
      <c r="A365" t="s">
        <v>1573</v>
      </c>
      <c r="B365" t="s">
        <v>53</v>
      </c>
      <c r="C365" t="s">
        <v>1574</v>
      </c>
      <c r="D365" t="b">
        <v>1</v>
      </c>
      <c r="E365" t="b">
        <v>1</v>
      </c>
      <c r="I365" t="s">
        <v>1575</v>
      </c>
      <c r="J365" t="n">
        <v>3762</v>
      </c>
      <c r="K365" t="n">
        <v>589</v>
      </c>
      <c r="L365" t="n">
        <v>1177</v>
      </c>
      <c r="M365" t="n">
        <v>0</v>
      </c>
      <c r="N365" t="n">
        <v>1</v>
      </c>
      <c r="O365" t="n">
        <v>0</v>
      </c>
      <c r="P365" t="s">
        <v>29</v>
      </c>
      <c r="Q365">
        <f>HYPERLINK("https://images.diginfra.net/framed3.html?imagesetuuid=df3dafee-b161-42ae-8ffe-6d7f9dbb63ed&amp;uri=https://images.diginfra.net/iiif/NL-HaNA_1.01.02/3762/NL-HaNA_1.01.02_3762_0589.jpg", "viewer_url")</f>
        <v/>
      </c>
      <c r="R365">
        <f>HYPERLINK("https://images.diginfra.net/iiif/NL-HaNA_1.01.02/3762/NL-HaNA_1.01.02_3762_0589.jpg/2368,1001,1094,2398/full/0/default.jpg", "iiif_url")</f>
        <v/>
      </c>
      <c r="S365" t="s">
        <v>29</v>
      </c>
      <c r="T365" t="s">
        <v>1576</v>
      </c>
      <c r="U365">
        <f>HYPERLINK("https://images.diginfra.net/framed3.html?imagesetuuid=df3dafee-b161-42ae-8ffe-6d7f9dbb63ed&amp;uri=https://images.diginfra.net/iiif/NL-HaNA_1.01.02/3762/NL-HaNA_1.01.02_3762_0587.jpg", "prev_meeting_viewer_url")</f>
        <v/>
      </c>
      <c r="V365">
        <f>HYPERLINK("https://images.diginfra.net/iiif/NL-HaNA_1.01.02/3762/NL-HaNA_1.01.02_3762_0587.jpg/371,1510,1097,1863/full/0/default.jpg", "prev_meeting_iiif_url")</f>
        <v/>
      </c>
      <c r="W365" t="s">
        <v>29</v>
      </c>
      <c r="X365" t="s">
        <v>1577</v>
      </c>
      <c r="Y365">
        <f>HYPERLINK("https://images.diginfra.net/framed3.html?imagesetuuid=df3dafee-b161-42ae-8ffe-6d7f9dbb63ed&amp;uri=https://images.diginfra.net/iiif/NL-HaNA_1.01.02/3762/NL-HaNA_1.01.02_3762_0591.jpg", "next_meeting_viewer_url")</f>
        <v/>
      </c>
      <c r="Z365">
        <f>HYPERLINK("https://images.diginfra.net/iiif/NL-HaNA_1.01.02/3762/NL-HaNA_1.01.02_3762_0591.jpg/379,1813,1094,1563/full/0/default.jpg", "next_meeting_iiif_url")</f>
        <v/>
      </c>
    </row>
    <row r="366" spans="1:26">
      <c r="A366" t="s">
        <v>1578</v>
      </c>
      <c r="B366" t="s">
        <v>48</v>
      </c>
      <c r="D366" t="b">
        <v>0</v>
      </c>
      <c r="E366" t="b">
        <v>0</v>
      </c>
      <c r="I366" t="s">
        <v>1579</v>
      </c>
      <c r="J366" t="n">
        <v>3846</v>
      </c>
      <c r="K366" t="n">
        <v>340</v>
      </c>
      <c r="L366" t="n">
        <v>679</v>
      </c>
      <c r="M366" t="n">
        <v>1</v>
      </c>
      <c r="N366" t="n">
        <v>2</v>
      </c>
      <c r="O366" t="n">
        <v>0</v>
      </c>
      <c r="P366" t="s">
        <v>29</v>
      </c>
      <c r="Q366">
        <f>HYPERLINK("https://images.diginfra.net/framed3.html?imagesetuuid=5c344aa2-2016-4230-9286-e37531acd6d5&amp;uri=https://images.diginfra.net/iiif/NL-HaNA_1.01.02/3846/NL-HaNA_1.01.02_3846_0340.jpg", "viewer_url")</f>
        <v/>
      </c>
      <c r="R366">
        <f>HYPERLINK("https://images.diginfra.net/iiif/NL-HaNA_1.01.02/3846/NL-HaNA_1.01.02_3846_0340.jpg/3600,1451,1052,2097/full/0/default.jpg", "iiif_url")</f>
        <v/>
      </c>
      <c r="S366" t="s">
        <v>29</v>
      </c>
      <c r="T366" t="s">
        <v>1580</v>
      </c>
      <c r="U366">
        <f>HYPERLINK("https://images.diginfra.net/framed3.html?imagesetuuid=5c344aa2-2016-4230-9286-e37531acd6d5&amp;uri=https://images.diginfra.net/iiif/NL-HaNA_1.01.02/3846/NL-HaNA_1.01.02_3846_0338.jpg", "prev_meeting_viewer_url")</f>
        <v/>
      </c>
      <c r="V366">
        <f>HYPERLINK("https://images.diginfra.net/iiif/NL-HaNA_1.01.02/3846/NL-HaNA_1.01.02_3846_0338.jpg/513,1923,1029,1652/full/0/default.jpg", "prev_meeting_iiif_url")</f>
        <v/>
      </c>
      <c r="W366" t="s">
        <v>29</v>
      </c>
      <c r="X366" t="s">
        <v>1581</v>
      </c>
      <c r="Y366">
        <f>HYPERLINK("https://images.diginfra.net/framed3.html?imagesetuuid=5c344aa2-2016-4230-9286-e37531acd6d5&amp;uri=https://images.diginfra.net/iiif/NL-HaNA_1.01.02/3846/NL-HaNA_1.01.02_3846_0340.jpg", "next_meeting_viewer_url")</f>
        <v/>
      </c>
      <c r="Z366">
        <f>HYPERLINK("https://images.diginfra.net/iiif/NL-HaNA_1.01.02/3846/NL-HaNA_1.01.02_3846_0340.jpg/3600,1451,1052,2097/full/0/default.jpg", "next_meeting_iiif_url")</f>
        <v/>
      </c>
    </row>
    <row r="367" spans="1:26">
      <c r="A367" t="s">
        <v>1582</v>
      </c>
      <c r="B367" t="s">
        <v>37</v>
      </c>
      <c r="C367" t="s">
        <v>1583</v>
      </c>
      <c r="D367" t="b">
        <v>1</v>
      </c>
      <c r="E367" t="b">
        <v>1</v>
      </c>
      <c r="I367" t="s">
        <v>1584</v>
      </c>
      <c r="J367" t="n">
        <v>3764</v>
      </c>
      <c r="K367" t="n">
        <v>316</v>
      </c>
      <c r="L367" t="n">
        <v>631</v>
      </c>
      <c r="M367" t="n">
        <v>0</v>
      </c>
      <c r="N367" t="n">
        <v>1</v>
      </c>
      <c r="O367" t="n">
        <v>0</v>
      </c>
      <c r="P367" t="s">
        <v>29</v>
      </c>
      <c r="Q367">
        <f>HYPERLINK("https://images.diginfra.net/framed3.html?imagesetuuid=111590de-8f08-498e-8bad-f6a289f87065&amp;uri=https://images.diginfra.net/iiif/NL-HaNA_1.01.02/3764/NL-HaNA_1.01.02_3764_0316.jpg", "viewer_url")</f>
        <v/>
      </c>
      <c r="R367">
        <f>HYPERLINK("https://images.diginfra.net/iiif/NL-HaNA_1.01.02/3764/NL-HaNA_1.01.02_3764_0316.jpg/2462,929,1107,2502/full/0/default.jpg", "iiif_url")</f>
        <v/>
      </c>
      <c r="S367" t="s">
        <v>29</v>
      </c>
      <c r="T367" t="s">
        <v>1585</v>
      </c>
      <c r="U367">
        <f>HYPERLINK("https://images.diginfra.net/framed3.html?imagesetuuid=111590de-8f08-498e-8bad-f6a289f87065&amp;uri=https://images.diginfra.net/iiif/NL-HaNA_1.01.02/3764/NL-HaNA_1.01.02_3764_0314.jpg", "prev_meeting_viewer_url")</f>
        <v/>
      </c>
      <c r="V367">
        <f>HYPERLINK("https://images.diginfra.net/iiif/NL-HaNA_1.01.02/3764/NL-HaNA_1.01.02_3764_0314.jpg/221,2239,1052,1043/full/0/default.jpg", "prev_meeting_iiif_url")</f>
        <v/>
      </c>
      <c r="W367" t="s">
        <v>29</v>
      </c>
      <c r="X367" t="s">
        <v>1586</v>
      </c>
      <c r="Y367">
        <f>HYPERLINK("https://images.diginfra.net/framed3.html?imagesetuuid=111590de-8f08-498e-8bad-f6a289f87065&amp;uri=https://images.diginfra.net/iiif/NL-HaNA_1.01.02/3764/NL-HaNA_1.01.02_3764_0319.jpg", "next_meeting_viewer_url")</f>
        <v/>
      </c>
      <c r="Z367">
        <f>HYPERLINK("https://images.diginfra.net/iiif/NL-HaNA_1.01.02/3764/NL-HaNA_1.01.02_3764_0319.jpg/2483,1403,1103,2004/full/0/default.jpg", "next_meeting_iiif_url")</f>
        <v/>
      </c>
    </row>
    <row r="368" spans="1:26">
      <c r="A368" t="s">
        <v>1587</v>
      </c>
      <c r="B368" t="s">
        <v>76</v>
      </c>
      <c r="C368" t="s">
        <v>1588</v>
      </c>
      <c r="D368" t="b">
        <v>1</v>
      </c>
      <c r="E368" t="b">
        <v>1</v>
      </c>
      <c r="I368" t="s">
        <v>1589</v>
      </c>
      <c r="J368" t="n">
        <v>3842</v>
      </c>
      <c r="K368" t="n">
        <v>389</v>
      </c>
      <c r="L368" t="n">
        <v>777</v>
      </c>
      <c r="M368" t="n">
        <v>0</v>
      </c>
      <c r="N368" t="n">
        <v>0</v>
      </c>
      <c r="O368" t="n">
        <v>0</v>
      </c>
      <c r="P368" t="s">
        <v>29</v>
      </c>
      <c r="Q368">
        <f>HYPERLINK("https://images.diginfra.net/framed3.html?imagesetuuid=70f1fd11-1c44-41eb-aebd-1f9cc88be8c8&amp;uri=https://images.diginfra.net/iiif/NL-HaNA_1.01.02/3842/NL-HaNA_1.01.02_3842_0389.jpg", "viewer_url")</f>
        <v/>
      </c>
      <c r="R368">
        <f>HYPERLINK("https://images.diginfra.net/iiif/NL-HaNA_1.01.02/3842/NL-HaNA_1.01.02_3842_0389.jpg/2335,1822,1020,1531/full/0/default.jpg", "iiif_url")</f>
        <v/>
      </c>
      <c r="S368" t="s">
        <v>29</v>
      </c>
      <c r="T368" t="s">
        <v>1590</v>
      </c>
      <c r="U368">
        <f>HYPERLINK("https://images.diginfra.net/framed3.html?imagesetuuid=70f1fd11-1c44-41eb-aebd-1f9cc88be8c8&amp;uri=https://images.diginfra.net/iiif/NL-HaNA_1.01.02/3842/NL-HaNA_1.01.02_3842_0385.jpg", "prev_meeting_viewer_url")</f>
        <v/>
      </c>
      <c r="V368">
        <f>HYPERLINK("https://images.diginfra.net/iiif/NL-HaNA_1.01.02/3842/NL-HaNA_1.01.02_3842_0385.jpg/248,686,1081,2684/full/0/default.jpg", "prev_meeting_iiif_url")</f>
        <v/>
      </c>
      <c r="W368" t="s">
        <v>29</v>
      </c>
      <c r="X368" t="s">
        <v>1591</v>
      </c>
      <c r="Y368">
        <f>HYPERLINK("https://images.diginfra.net/framed3.html?imagesetuuid=70f1fd11-1c44-41eb-aebd-1f9cc88be8c8&amp;uri=https://images.diginfra.net/iiif/NL-HaNA_1.01.02/3842/NL-HaNA_1.01.02_3842_0395.jpg", "next_meeting_viewer_url")</f>
        <v/>
      </c>
      <c r="Z368">
        <f>HYPERLINK("https://images.diginfra.net/iiif/NL-HaNA_1.01.02/3842/NL-HaNA_1.01.02_3842_0395.jpg/317,1510,1073,1942/full/0/default.jpg", "next_meeting_iiif_url")</f>
        <v/>
      </c>
    </row>
    <row r="369" spans="1:26">
      <c r="A369" t="s">
        <v>1592</v>
      </c>
      <c r="B369" t="s">
        <v>76</v>
      </c>
      <c r="C369" t="s">
        <v>1593</v>
      </c>
      <c r="D369" t="b">
        <v>1</v>
      </c>
      <c r="E369" t="b">
        <v>1</v>
      </c>
      <c r="I369" t="s">
        <v>1594</v>
      </c>
      <c r="J369" t="n">
        <v>3792</v>
      </c>
      <c r="K369" t="n">
        <v>10</v>
      </c>
      <c r="L369" t="n">
        <v>18</v>
      </c>
      <c r="M369" t="n">
        <v>0</v>
      </c>
      <c r="N369" t="n">
        <v>3</v>
      </c>
      <c r="O369" t="n">
        <v>0</v>
      </c>
      <c r="P369" t="s">
        <v>29</v>
      </c>
      <c r="Q369">
        <f>HYPERLINK("https://images.diginfra.net/framed3.html?imagesetuuid=507d79a4-2a42-4e84-afa5-a9ccb1e544fe&amp;uri=https://images.diginfra.net/iiif/NL-HaNA_1.01.02/3792/NL-HaNA_1.01.02_3792_0010.jpg", "viewer_url")</f>
        <v/>
      </c>
      <c r="R369">
        <f>HYPERLINK("https://images.diginfra.net/iiif/NL-HaNA_1.01.02/3792/NL-HaNA_1.01.02_3792_0010.jpg/295,1730,1080,1654/full/0/default.jpg", "iiif_url")</f>
        <v/>
      </c>
      <c r="S369" t="s">
        <v>29</v>
      </c>
      <c r="T369" t="s">
        <v>1595</v>
      </c>
      <c r="U369">
        <f>HYPERLINK("https://images.diginfra.net/framed3.html?imagesetuuid=507d79a4-2a42-4e84-afa5-a9ccb1e544fe&amp;uri=https://images.diginfra.net/iiif/NL-HaNA_1.01.02/3792/NL-HaNA_1.01.02_3792_0008.jpg", "prev_meeting_viewer_url")</f>
        <v/>
      </c>
      <c r="V369">
        <f>HYPERLINK("https://images.diginfra.net/iiif/NL-HaNA_1.01.02/3792/NL-HaNA_1.01.02_3792_0008.jpg/2528,2050,1099,1406/full/0/default.jpg", "prev_meeting_iiif_url")</f>
        <v/>
      </c>
      <c r="W369" t="s">
        <v>29</v>
      </c>
      <c r="X369" t="s">
        <v>1596</v>
      </c>
      <c r="Y369">
        <f>HYPERLINK("https://images.diginfra.net/framed3.html?imagesetuuid=507d79a4-2a42-4e84-afa5-a9ccb1e544fe&amp;uri=https://images.diginfra.net/iiif/NL-HaNA_1.01.02/3792/NL-HaNA_1.01.02_3792_0011.jpg", "next_meeting_viewer_url")</f>
        <v/>
      </c>
      <c r="Z369">
        <f>HYPERLINK("https://images.diginfra.net/iiif/NL-HaNA_1.01.02/3792/NL-HaNA_1.01.02_3792_0011.jpg/1225,1839,1109,1608/full/0/default.jpg", "next_meeting_iiif_url")</f>
        <v/>
      </c>
    </row>
    <row r="370" spans="1:26">
      <c r="A370" t="s">
        <v>1597</v>
      </c>
      <c r="B370" t="s">
        <v>63</v>
      </c>
      <c r="C370" t="s">
        <v>1598</v>
      </c>
      <c r="D370" t="b">
        <v>1</v>
      </c>
      <c r="E370" t="b">
        <v>1</v>
      </c>
      <c r="I370" t="s">
        <v>1599</v>
      </c>
      <c r="J370" t="n">
        <v>3840</v>
      </c>
      <c r="K370" t="n">
        <v>12</v>
      </c>
      <c r="L370" t="n">
        <v>22</v>
      </c>
      <c r="M370" t="n">
        <v>1</v>
      </c>
      <c r="N370" t="n">
        <v>1</v>
      </c>
      <c r="O370" t="n">
        <v>0</v>
      </c>
      <c r="P370" t="s">
        <v>29</v>
      </c>
      <c r="Q370">
        <f>HYPERLINK("https://images.diginfra.net/framed3.html?imagesetuuid=139f8e53-59b0-4363-bde8-a631a3d6702a&amp;uri=https://images.diginfra.net/iiif/NL-HaNA_1.01.02/3840/NL-HaNA_1.01.02_3840_0012.jpg", "viewer_url")</f>
        <v/>
      </c>
      <c r="R370">
        <f>HYPERLINK("https://images.diginfra.net/iiif/NL-HaNA_1.01.02/3840/NL-HaNA_1.01.02_3840_0012.jpg/1238,2392,1037,979/full/0/default.jpg", "iiif_url")</f>
        <v/>
      </c>
      <c r="S370" t="s">
        <v>29</v>
      </c>
      <c r="T370" t="s">
        <v>673</v>
      </c>
      <c r="U370">
        <f>HYPERLINK("https://images.diginfra.net/framed3.html?imagesetuuid=139f8e53-59b0-4363-bde8-a631a3d6702a&amp;uri=https://images.diginfra.net/iiif/NL-HaNA_1.01.02/3840/NL-HaNA_1.01.02_3840_0011.jpg", "prev_meeting_viewer_url")</f>
        <v/>
      </c>
      <c r="V370">
        <f>HYPERLINK("https://images.diginfra.net/iiif/NL-HaNA_1.01.02/3840/NL-HaNA_1.01.02_3840_0011.jpg/2447,2229,1030,1184/full/0/default.jpg", "prev_meeting_iiif_url")</f>
        <v/>
      </c>
      <c r="W370" t="s">
        <v>29</v>
      </c>
      <c r="X370" t="s">
        <v>1600</v>
      </c>
      <c r="Y370">
        <f>HYPERLINK("https://images.diginfra.net/framed3.html?imagesetuuid=139f8e53-59b0-4363-bde8-a631a3d6702a&amp;uri=https://images.diginfra.net/iiif/NL-HaNA_1.01.02/3840/NL-HaNA_1.01.02_3840_0012.jpg", "next_meeting_viewer_url")</f>
        <v/>
      </c>
      <c r="Z370">
        <f>HYPERLINK("https://images.diginfra.net/iiif/NL-HaNA_1.01.02/3840/NL-HaNA_1.01.02_3840_0012.jpg/3457,2709,1028,709/full/0/default.jpg", "next_meeting_iiif_url")</f>
        <v/>
      </c>
    </row>
    <row r="371" spans="1:26">
      <c r="A371" t="s">
        <v>1601</v>
      </c>
      <c r="B371" t="s">
        <v>37</v>
      </c>
      <c r="C371" t="s">
        <v>1602</v>
      </c>
      <c r="D371" t="b">
        <v>1</v>
      </c>
      <c r="E371" t="b">
        <v>1</v>
      </c>
      <c r="I371" t="s">
        <v>1603</v>
      </c>
      <c r="J371" t="n">
        <v>3833</v>
      </c>
      <c r="K371" t="n">
        <v>414</v>
      </c>
      <c r="L371" t="n">
        <v>827</v>
      </c>
      <c r="M371" t="n">
        <v>0</v>
      </c>
      <c r="N371" t="n">
        <v>1</v>
      </c>
      <c r="O371" t="n">
        <v>0</v>
      </c>
      <c r="P371" t="s">
        <v>29</v>
      </c>
      <c r="Q371">
        <f>HYPERLINK("https://images.diginfra.net/framed3.html?imagesetuuid=93b95c12-1805-42f5-98c6-c352681b46bb&amp;uri=https://images.diginfra.net/iiif/NL-HaNA_1.01.02/3833/NL-HaNA_1.01.02_3833_0414.jpg", "viewer_url")</f>
        <v/>
      </c>
      <c r="R371">
        <f>HYPERLINK("https://images.diginfra.net/iiif/NL-HaNA_1.01.02/3833/NL-HaNA_1.01.02_3833_0414.jpg/2379,794,1090,2603/full/0/default.jpg", "iiif_url")</f>
        <v/>
      </c>
      <c r="S371" t="s">
        <v>29</v>
      </c>
      <c r="U371">
        <f>HYPERLINK("https://images.diginfra.net/framed3.html?imagesetuuid=93b95c12-1805-42f5-98c6-c352681b46bb&amp;uri=https://images.diginfra.net/iiif/NL-HaNA_1.01.02/3833/NL-HaNA_1.01.02_3833_0410.jpg", "prev_meeting_viewer_url")</f>
        <v/>
      </c>
      <c r="V371">
        <f>HYPERLINK("https://images.diginfra.net/iiif/NL-HaNA_1.01.02/3833/NL-HaNA_1.01.02_3833_0410.jpg/1246,272,1092,3105/full/0/default.jpg", "prev_meeting_iiif_url")</f>
        <v/>
      </c>
      <c r="W371" t="s">
        <v>29</v>
      </c>
      <c r="X371" t="s">
        <v>1604</v>
      </c>
      <c r="Y371">
        <f>HYPERLINK("https://images.diginfra.net/framed3.html?imagesetuuid=93b95c12-1805-42f5-98c6-c352681b46bb&amp;uri=https://images.diginfra.net/iiif/NL-HaNA_1.01.02/3833/NL-HaNA_1.01.02_3833_0415.jpg", "next_meeting_viewer_url")</f>
        <v/>
      </c>
      <c r="Z371">
        <f>HYPERLINK("https://images.diginfra.net/iiif/NL-HaNA_1.01.02/3833/NL-HaNA_1.01.02_3833_0415.jpg/334,1064,1094,2336/full/0/default.jpg", "next_meeting_iiif_url")</f>
        <v/>
      </c>
    </row>
    <row r="372" spans="1:26">
      <c r="A372" t="s">
        <v>1605</v>
      </c>
      <c r="B372" t="s">
        <v>53</v>
      </c>
      <c r="C372" t="s">
        <v>1606</v>
      </c>
      <c r="D372" t="b">
        <v>1</v>
      </c>
      <c r="E372" t="b">
        <v>1</v>
      </c>
      <c r="I372" t="s">
        <v>1607</v>
      </c>
      <c r="J372" t="n">
        <v>3790</v>
      </c>
      <c r="K372" t="n">
        <v>344</v>
      </c>
      <c r="L372" t="n">
        <v>686</v>
      </c>
      <c r="M372" t="n">
        <v>1</v>
      </c>
      <c r="N372" t="n">
        <v>1</v>
      </c>
      <c r="O372" t="n">
        <v>0</v>
      </c>
      <c r="P372" t="s">
        <v>29</v>
      </c>
      <c r="Q372">
        <f>HYPERLINK("https://images.diginfra.net/framed3.html?imagesetuuid=8d608d2f-df2b-437f-936a-e002ab9d5d08&amp;uri=https://images.diginfra.net/iiif/NL-HaNA_1.01.02/3790/NL-HaNA_1.01.02_3790_0344.jpg", "viewer_url")</f>
        <v/>
      </c>
      <c r="R372">
        <f>HYPERLINK("https://images.diginfra.net/iiif/NL-HaNA_1.01.02/3790/NL-HaNA_1.01.02_3790_0344.jpg/1217,1445,1085,1850/full/0/default.jpg", "iiif_url")</f>
        <v/>
      </c>
      <c r="W372" t="s">
        <v>29</v>
      </c>
      <c r="X372" t="s">
        <v>1608</v>
      </c>
      <c r="Y372">
        <f>HYPERLINK("https://images.diginfra.net/framed3.html?imagesetuuid=8d608d2f-df2b-437f-936a-e002ab9d5d08&amp;uri=https://images.diginfra.net/iiif/NL-HaNA_1.01.02/3790/NL-HaNA_1.01.02_3790_0344.jpg", "next_meeting_viewer_url")</f>
        <v/>
      </c>
      <c r="Z372">
        <f>HYPERLINK("https://images.diginfra.net/iiif/NL-HaNA_1.01.02/3790/NL-HaNA_1.01.02_3790_0344.jpg/3167,2256,1089,1224/full/0/default.jpg", "next_meeting_iiif_url")</f>
        <v/>
      </c>
    </row>
    <row r="373" spans="1:26">
      <c r="A373" t="s">
        <v>1609</v>
      </c>
      <c r="B373" t="s">
        <v>27</v>
      </c>
      <c r="D373" t="b">
        <v>0</v>
      </c>
      <c r="E373" t="b">
        <v>0</v>
      </c>
      <c r="I373" t="s">
        <v>1610</v>
      </c>
      <c r="J373" t="n">
        <v>3819</v>
      </c>
      <c r="K373" t="n">
        <v>360</v>
      </c>
      <c r="L373" t="n">
        <v>719</v>
      </c>
      <c r="M373" t="n">
        <v>1</v>
      </c>
      <c r="N373" t="n">
        <v>0</v>
      </c>
      <c r="O373" t="n">
        <v>52</v>
      </c>
      <c r="P373" t="s">
        <v>29</v>
      </c>
      <c r="Q373">
        <f>HYPERLINK("https://images.diginfra.net/framed3.html?imagesetuuid=711b4f86-3dbd-47ca-af9d-52eb1c30bc58&amp;uri=https://images.diginfra.net/iiif/NL-HaNA_1.01.02/3819/NL-HaNA_1.01.02_3819_0360.jpg", "viewer_url")</f>
        <v/>
      </c>
      <c r="R373">
        <f>HYPERLINK("https://images.diginfra.net/iiif/NL-HaNA_1.01.02/3819/NL-HaNA_1.01.02_3819_0360.jpg/3515,2757,821,568/full/0/default.jpg", "iiif_url")</f>
        <v/>
      </c>
      <c r="S373" t="s">
        <v>29</v>
      </c>
      <c r="T373" t="s">
        <v>1611</v>
      </c>
      <c r="U373">
        <f>HYPERLINK("https://images.diginfra.net/framed3.html?imagesetuuid=711b4f86-3dbd-47ca-af9d-52eb1c30bc58&amp;uri=https://images.diginfra.net/iiif/NL-HaNA_1.01.02/3819/NL-HaNA_1.01.02_3819_0358.jpg", "prev_meeting_viewer_url")</f>
        <v/>
      </c>
      <c r="V373">
        <f>HYPERLINK("https://images.diginfra.net/iiif/NL-HaNA_1.01.02/3819/NL-HaNA_1.01.02_3819_0358.jpg/289,2055,1032,1269/full/0/default.jpg", "prev_meeting_iiif_url")</f>
        <v/>
      </c>
      <c r="W373" t="s">
        <v>29</v>
      </c>
      <c r="X373" t="s">
        <v>1281</v>
      </c>
      <c r="Y373">
        <f>HYPERLINK("https://images.diginfra.net/framed3.html?imagesetuuid=711b4f86-3dbd-47ca-af9d-52eb1c30bc58&amp;uri=https://images.diginfra.net/iiif/NL-HaNA_1.01.02/3819/NL-HaNA_1.01.02_3819_0360.jpg", "next_meeting_viewer_url")</f>
        <v/>
      </c>
      <c r="Z373">
        <f>HYPERLINK("https://images.diginfra.net/iiif/NL-HaNA_1.01.02/3819/NL-HaNA_1.01.02_3819_0360.jpg/3515,2757,821,568/full/0/default.jpg", "next_meeting_iiif_url")</f>
        <v/>
      </c>
    </row>
    <row r="374" spans="1:26">
      <c r="A374" t="s">
        <v>1612</v>
      </c>
      <c r="B374" t="s">
        <v>48</v>
      </c>
      <c r="D374" t="b">
        <v>0</v>
      </c>
      <c r="E374" t="b">
        <v>0</v>
      </c>
      <c r="Q374">
        <f>HYPERLINK("None", "viewer_url")</f>
        <v/>
      </c>
      <c r="R374">
        <f>HYPERLINK("None", "iiif_url")</f>
        <v/>
      </c>
    </row>
    <row r="375" spans="1:26">
      <c r="A375" t="s">
        <v>1613</v>
      </c>
      <c r="B375" t="s">
        <v>76</v>
      </c>
      <c r="C375" t="s">
        <v>1614</v>
      </c>
      <c r="D375" t="b">
        <v>1</v>
      </c>
      <c r="E375" t="b">
        <v>1</v>
      </c>
      <c r="I375" t="s">
        <v>1615</v>
      </c>
      <c r="J375" t="n">
        <v>3828</v>
      </c>
      <c r="K375" t="n">
        <v>351</v>
      </c>
      <c r="L375" t="n">
        <v>701</v>
      </c>
      <c r="M375" t="n">
        <v>1</v>
      </c>
      <c r="N375" t="n">
        <v>1</v>
      </c>
      <c r="O375" t="n">
        <v>0</v>
      </c>
      <c r="P375" t="s">
        <v>29</v>
      </c>
      <c r="Q375">
        <f>HYPERLINK("https://images.diginfra.net/framed3.html?imagesetuuid=be73aab8-e683-41ef-8f90-2432e0a35eb8&amp;uri=https://images.diginfra.net/iiif/NL-HaNA_1.01.02/3828/NL-HaNA_1.01.02_3828_0351.jpg", "viewer_url")</f>
        <v/>
      </c>
      <c r="R375">
        <f>HYPERLINK("https://images.diginfra.net/iiif/NL-HaNA_1.01.02/3828/NL-HaNA_1.01.02_3828_0351.jpg/3341,1334,1062,1850/full/0/default.jpg", "iiif_url")</f>
        <v/>
      </c>
      <c r="S375" t="s">
        <v>29</v>
      </c>
      <c r="U375">
        <f>HYPERLINK("https://images.diginfra.net/framed3.html?imagesetuuid=be73aab8-e683-41ef-8f90-2432e0a35eb8&amp;uri=https://images.diginfra.net/iiif/NL-HaNA_1.01.02/3828/NL-HaNA_1.01.02_3828_0351.jpg", "prev_meeting_viewer_url")</f>
        <v/>
      </c>
      <c r="V375">
        <f>HYPERLINK("https://images.diginfra.net/iiif/NL-HaNA_1.01.02/3828/NL-HaNA_1.01.02_3828_0351.jpg/2397,277,1064,2949/full/0/default.jpg", "prev_meeting_iiif_url")</f>
        <v/>
      </c>
      <c r="W375" t="s">
        <v>29</v>
      </c>
      <c r="X375" t="s">
        <v>1616</v>
      </c>
      <c r="Y375">
        <f>HYPERLINK("https://images.diginfra.net/framed3.html?imagesetuuid=be73aab8-e683-41ef-8f90-2432e0a35eb8&amp;uri=https://images.diginfra.net/iiif/NL-HaNA_1.01.02/3828/NL-HaNA_1.01.02_3828_0353.jpg", "next_meeting_viewer_url")</f>
        <v/>
      </c>
      <c r="Z375">
        <f>HYPERLINK("https://images.diginfra.net/iiif/NL-HaNA_1.01.02/3828/NL-HaNA_1.01.02_3828_0353.jpg/2398,1353,1058,2043/full/0/default.jpg", "next_meeting_iiif_url")</f>
        <v/>
      </c>
    </row>
    <row r="376" spans="1:26">
      <c r="A376" t="s">
        <v>1617</v>
      </c>
      <c r="B376" t="s">
        <v>42</v>
      </c>
      <c r="D376" t="b">
        <v>1</v>
      </c>
      <c r="E376" t="b">
        <v>0</v>
      </c>
      <c r="Q376">
        <f>HYPERLINK("None", "viewer_url")</f>
        <v/>
      </c>
      <c r="R376">
        <f>HYPERLINK("None", "iiif_url")</f>
        <v/>
      </c>
      <c r="S376" t="s">
        <v>33</v>
      </c>
      <c r="T376" t="s">
        <v>1618</v>
      </c>
      <c r="U376">
        <f>HYPERLINK("https://images.diginfra.net/framed3.html?imagesetuuid=fbccadee-0831-4262-9b53-6f48467f765a&amp;uri=https://images.diginfra.net/iiif/NL-HaNA_1.01.02/3831/NL-HaNA_1.01.02_3831_0504.jpg", "prev_meeting_viewer_url")</f>
        <v/>
      </c>
      <c r="V376">
        <f>HYPERLINK("https://images.diginfra.net/iiif/NL-HaNA_1.01.02/3831/NL-HaNA_1.01.02_3831_0504.jpg/3221,993,1082,2439/full/0/default.jpg", "prev_meeting_iiif_url")</f>
        <v/>
      </c>
      <c r="W376" t="s">
        <v>29</v>
      </c>
      <c r="X376" t="s">
        <v>1619</v>
      </c>
      <c r="Y376">
        <f>HYPERLINK("https://images.diginfra.net/framed3.html?imagesetuuid=fbccadee-0831-4262-9b53-6f48467f765a&amp;uri=https://images.diginfra.net/iiif/NL-HaNA_1.01.02/3831/NL-HaNA_1.01.02_3831_0507.jpg", "next_meeting_viewer_url")</f>
        <v/>
      </c>
      <c r="Z376">
        <f>HYPERLINK("https://images.diginfra.net/iiif/NL-HaNA_1.01.02/3831/NL-HaNA_1.01.02_3831_0507.jpg/2302,232,1081,3024/full/0/default.jpg", "next_meeting_iiif_url")</f>
        <v/>
      </c>
    </row>
    <row r="377" spans="1:26">
      <c r="A377" t="s">
        <v>1620</v>
      </c>
      <c r="B377" t="s">
        <v>42</v>
      </c>
      <c r="C377" t="s">
        <v>1621</v>
      </c>
      <c r="D377" t="b">
        <v>1</v>
      </c>
      <c r="E377" t="b">
        <v>1</v>
      </c>
      <c r="I377" t="s">
        <v>1622</v>
      </c>
      <c r="J377" t="n">
        <v>3842</v>
      </c>
      <c r="K377" t="n">
        <v>136</v>
      </c>
      <c r="L377" t="n">
        <v>271</v>
      </c>
      <c r="M377" t="n">
        <v>1</v>
      </c>
      <c r="N377" t="n">
        <v>2</v>
      </c>
      <c r="O377" t="n">
        <v>0</v>
      </c>
      <c r="P377" t="s">
        <v>29</v>
      </c>
      <c r="Q377">
        <f>HYPERLINK("https://images.diginfra.net/framed3.html?imagesetuuid=70f1fd11-1c44-41eb-aebd-1f9cc88be8c8&amp;uri=https://images.diginfra.net/iiif/NL-HaNA_1.01.02/3842/NL-HaNA_1.01.02_3842_0136.jpg", "viewer_url")</f>
        <v/>
      </c>
      <c r="R377">
        <f>HYPERLINK("https://images.diginfra.net/iiif/NL-HaNA_1.01.02/3842/NL-HaNA_1.01.02_3842_0136.jpg/3257,651,1075,2668/full/0/default.jpg", "iiif_url")</f>
        <v/>
      </c>
      <c r="S377" t="s">
        <v>29</v>
      </c>
      <c r="T377" t="s">
        <v>1623</v>
      </c>
      <c r="U377">
        <f>HYPERLINK("https://images.diginfra.net/framed3.html?imagesetuuid=70f1fd11-1c44-41eb-aebd-1f9cc88be8c8&amp;uri=https://images.diginfra.net/iiif/NL-HaNA_1.01.02/3842/NL-HaNA_1.01.02_3842_0135.jpg", "prev_meeting_viewer_url")</f>
        <v/>
      </c>
      <c r="V377">
        <f>HYPERLINK("https://images.diginfra.net/iiif/NL-HaNA_1.01.02/3842/NL-HaNA_1.01.02_3842_0135.jpg/2382,1810,1015,1553/full/0/default.jpg", "prev_meeting_iiif_url")</f>
        <v/>
      </c>
      <c r="W377" t="s">
        <v>33</v>
      </c>
      <c r="X377" t="s">
        <v>1624</v>
      </c>
      <c r="Y377">
        <f>HYPERLINK("https://images.diginfra.net/framed3.html?imagesetuuid=70f1fd11-1c44-41eb-aebd-1f9cc88be8c8&amp;uri=https://images.diginfra.net/iiif/NL-HaNA_1.01.02/3842/NL-HaNA_1.01.02_3842_0139.jpg", "next_meeting_viewer_url")</f>
        <v/>
      </c>
      <c r="Z377">
        <f>HYPERLINK("https://images.diginfra.net/iiif/NL-HaNA_1.01.02/3842/NL-HaNA_1.01.02_3842_0139.jpg/316,1090,1073,2239/full/0/default.jpg", "next_meeting_iiif_url")</f>
        <v/>
      </c>
    </row>
    <row r="378" spans="1:26">
      <c r="A378" t="s">
        <v>1625</v>
      </c>
      <c r="B378" t="s">
        <v>27</v>
      </c>
      <c r="D378" t="b">
        <v>0</v>
      </c>
      <c r="E378" t="b">
        <v>0</v>
      </c>
      <c r="I378" t="s">
        <v>1626</v>
      </c>
      <c r="J378" t="n">
        <v>3834</v>
      </c>
      <c r="K378" t="n">
        <v>597</v>
      </c>
      <c r="L378" t="n">
        <v>1192</v>
      </c>
      <c r="M378" t="n">
        <v>0</v>
      </c>
      <c r="N378" t="n">
        <v>2</v>
      </c>
      <c r="O378" t="n">
        <v>0</v>
      </c>
      <c r="P378" t="s">
        <v>29</v>
      </c>
      <c r="Q378">
        <f>HYPERLINK("https://images.diginfra.net/framed3.html?imagesetuuid=bf11cd8e-e3f4-444c-9caa-dcdfd20137d7&amp;uri=https://images.diginfra.net/iiif/NL-HaNA_1.01.02/3834/NL-HaNA_1.01.02_3834_0597.jpg", "viewer_url")</f>
        <v/>
      </c>
      <c r="R378">
        <f>HYPERLINK("https://images.diginfra.net/iiif/NL-HaNA_1.01.02/3834/NL-HaNA_1.01.02_3834_0597.jpg/314,1400,1036,1876/full/0/default.jpg", "iiif_url")</f>
        <v/>
      </c>
      <c r="S378" t="s">
        <v>29</v>
      </c>
      <c r="T378" t="s">
        <v>1627</v>
      </c>
      <c r="U378">
        <f>HYPERLINK("https://images.diginfra.net/framed3.html?imagesetuuid=bf11cd8e-e3f4-444c-9caa-dcdfd20137d7&amp;uri=https://images.diginfra.net/iiif/NL-HaNA_1.01.02/3834/NL-HaNA_1.01.02_3834_0595.jpg", "prev_meeting_viewer_url")</f>
        <v/>
      </c>
      <c r="V378">
        <f>HYPERLINK("https://images.diginfra.net/iiif/NL-HaNA_1.01.02/3834/NL-HaNA_1.01.02_3834_0595.jpg/2359,318,1115,3150/full/0/default.jpg", "prev_meeting_iiif_url")</f>
        <v/>
      </c>
      <c r="W378" t="s">
        <v>29</v>
      </c>
      <c r="X378" t="s">
        <v>1628</v>
      </c>
      <c r="Y378">
        <f>HYPERLINK("https://images.diginfra.net/framed3.html?imagesetuuid=bf11cd8e-e3f4-444c-9caa-dcdfd20137d7&amp;uri=https://images.diginfra.net/iiif/NL-HaNA_1.01.02/3834/NL-HaNA_1.01.02_3834_0597.jpg", "next_meeting_viewer_url")</f>
        <v/>
      </c>
      <c r="Z378">
        <f>HYPERLINK("https://images.diginfra.net/iiif/NL-HaNA_1.01.02/3834/NL-HaNA_1.01.02_3834_0597.jpg/314,1400,1036,1876/full/0/default.jpg", "next_meeting_iiif_url")</f>
        <v/>
      </c>
    </row>
    <row r="379" spans="1:26">
      <c r="A379" t="s">
        <v>1629</v>
      </c>
      <c r="B379" t="s">
        <v>63</v>
      </c>
      <c r="C379" t="s">
        <v>1630</v>
      </c>
      <c r="D379" t="b">
        <v>1</v>
      </c>
      <c r="E379" t="b">
        <v>1</v>
      </c>
      <c r="I379" t="s">
        <v>1631</v>
      </c>
      <c r="J379" t="n">
        <v>3773</v>
      </c>
      <c r="K379" t="n">
        <v>64</v>
      </c>
      <c r="L379" t="n">
        <v>126</v>
      </c>
      <c r="M379" t="n">
        <v>0</v>
      </c>
      <c r="N379" t="n">
        <v>1</v>
      </c>
      <c r="O379" t="n">
        <v>0</v>
      </c>
      <c r="P379" t="s">
        <v>29</v>
      </c>
      <c r="Q379">
        <f>HYPERLINK("https://images.diginfra.net/framed3.html?imagesetuuid=0d0ede5e-a7f6-4a03-b996-493e50528c24&amp;uri=https://images.diginfra.net/iiif/NL-HaNA_1.01.02/3773/NL-HaNA_1.01.02_3773_0064.jpg", "viewer_url")</f>
        <v/>
      </c>
      <c r="R379">
        <f>HYPERLINK("https://images.diginfra.net/iiif/NL-HaNA_1.01.02/3773/NL-HaNA_1.01.02_3773_0064.jpg/283,2592,1033,773/full/0/default.jpg", "iiif_url")</f>
        <v/>
      </c>
      <c r="S379" t="s">
        <v>29</v>
      </c>
      <c r="T379" t="s">
        <v>1632</v>
      </c>
      <c r="U379">
        <f>HYPERLINK("https://images.diginfra.net/framed3.html?imagesetuuid=0d0ede5e-a7f6-4a03-b996-493e50528c24&amp;uri=https://images.diginfra.net/iiif/NL-HaNA_1.01.02/3773/NL-HaNA_1.01.02_3773_0062.jpg", "prev_meeting_viewer_url")</f>
        <v/>
      </c>
      <c r="V379">
        <f>HYPERLINK("https://images.diginfra.net/iiif/NL-HaNA_1.01.02/3773/NL-HaNA_1.01.02_3773_0062.jpg/1323,1936,1051,1468/full/0/default.jpg", "prev_meeting_iiif_url")</f>
        <v/>
      </c>
      <c r="W379" t="s">
        <v>29</v>
      </c>
      <c r="Y379">
        <f>HYPERLINK("https://images.diginfra.net/framed3.html?imagesetuuid=0d0ede5e-a7f6-4a03-b996-493e50528c24&amp;uri=https://images.diginfra.net/iiif/NL-HaNA_1.01.02/3773/NL-HaNA_1.01.02_3773_0065.jpg", "next_meeting_viewer_url")</f>
        <v/>
      </c>
      <c r="Z379">
        <f>HYPERLINK("https://images.diginfra.net/iiif/NL-HaNA_1.01.02/3773/NL-HaNA_1.01.02_3773_0065.jpg/2369,366,1107,2985/full/0/default.jpg", "next_meeting_iiif_url")</f>
        <v/>
      </c>
    </row>
    <row r="380" spans="1:26">
      <c r="A380" t="s">
        <v>1633</v>
      </c>
      <c r="B380" t="s">
        <v>37</v>
      </c>
      <c r="C380" t="s">
        <v>1634</v>
      </c>
      <c r="D380" t="b">
        <v>1</v>
      </c>
      <c r="E380" t="b">
        <v>1</v>
      </c>
      <c r="I380" t="s">
        <v>1635</v>
      </c>
      <c r="J380" t="n">
        <v>3763</v>
      </c>
      <c r="K380" t="n">
        <v>130</v>
      </c>
      <c r="L380" t="n">
        <v>259</v>
      </c>
      <c r="M380" t="n">
        <v>1</v>
      </c>
      <c r="N380" t="n">
        <v>2</v>
      </c>
      <c r="O380" t="n">
        <v>0</v>
      </c>
      <c r="P380" t="s">
        <v>29</v>
      </c>
      <c r="Q380">
        <f>HYPERLINK("https://images.diginfra.net/framed3.html?imagesetuuid=168ac05c-00de-43e1-bb35-d8e406b92363&amp;uri=https://images.diginfra.net/iiif/NL-HaNA_1.01.02/3763/NL-HaNA_1.01.02_3763_0130.jpg", "viewer_url")</f>
        <v/>
      </c>
      <c r="R380">
        <f>HYPERLINK("https://images.diginfra.net/iiif/NL-HaNA_1.01.02/3763/NL-HaNA_1.01.02_3763_0130.jpg/3359,2757,1038,700/full/0/default.jpg", "iiif_url")</f>
        <v/>
      </c>
      <c r="S380" t="s">
        <v>29</v>
      </c>
      <c r="T380" t="s">
        <v>1636</v>
      </c>
      <c r="U380">
        <f>HYPERLINK("https://images.diginfra.net/framed3.html?imagesetuuid=168ac05c-00de-43e1-bb35-d8e406b92363&amp;uri=https://images.diginfra.net/iiif/NL-HaNA_1.01.02/3763/NL-HaNA_1.01.02_3763_0127.jpg", "prev_meeting_viewer_url")</f>
        <v/>
      </c>
      <c r="V380">
        <f>HYPERLINK("https://images.diginfra.net/iiif/NL-HaNA_1.01.02/3763/NL-HaNA_1.01.02_3763_0127.jpg/1227,2480,1033,793/full/0/default.jpg", "prev_meeting_iiif_url")</f>
        <v/>
      </c>
      <c r="W380" t="s">
        <v>29</v>
      </c>
      <c r="X380" t="s">
        <v>1637</v>
      </c>
      <c r="Y380">
        <f>HYPERLINK("https://images.diginfra.net/framed3.html?imagesetuuid=168ac05c-00de-43e1-bb35-d8e406b92363&amp;uri=https://images.diginfra.net/iiif/NL-HaNA_1.01.02/3763/NL-HaNA_1.01.02_3763_0132.jpg", "next_meeting_viewer_url")</f>
        <v/>
      </c>
      <c r="Z380">
        <f>HYPERLINK("https://images.diginfra.net/iiif/NL-HaNA_1.01.02/3763/NL-HaNA_1.01.02_3763_0132.jpg/2397,2538,1031,885/full/0/default.jpg", "next_meeting_iiif_url")</f>
        <v/>
      </c>
    </row>
    <row r="381" spans="1:26">
      <c r="A381" t="s">
        <v>1638</v>
      </c>
      <c r="B381" t="s">
        <v>27</v>
      </c>
      <c r="D381" t="b">
        <v>0</v>
      </c>
      <c r="E381" t="b">
        <v>0</v>
      </c>
      <c r="I381" t="s">
        <v>1639</v>
      </c>
      <c r="J381" t="n">
        <v>3821</v>
      </c>
      <c r="K381" t="n">
        <v>243</v>
      </c>
      <c r="L381" t="n">
        <v>485</v>
      </c>
      <c r="M381" t="n">
        <v>0</v>
      </c>
      <c r="N381" t="n">
        <v>0</v>
      </c>
      <c r="O381" t="n">
        <v>0</v>
      </c>
      <c r="P381" t="s">
        <v>33</v>
      </c>
      <c r="Q381">
        <f>HYPERLINK("https://images.diginfra.net/framed3.html?imagesetuuid=d2997452-8788-4796-912c-2151f3b459f9&amp;uri=https://images.diginfra.net/iiif/NL-HaNA_1.01.02/3821/NL-HaNA_1.01.02_3821_0243.jpg", "viewer_url")</f>
        <v/>
      </c>
      <c r="R381">
        <f>HYPERLINK("https://images.diginfra.net/iiif/NL-HaNA_1.01.02/3821/NL-HaNA_1.01.02_3821_0243.jpg/2349,474,1065,2912/full/0/default.jpg", "iiif_url")</f>
        <v/>
      </c>
      <c r="S381" t="s">
        <v>29</v>
      </c>
      <c r="T381" t="s">
        <v>1640</v>
      </c>
      <c r="U381">
        <f>HYPERLINK("https://images.diginfra.net/framed3.html?imagesetuuid=d2997452-8788-4796-912c-2151f3b459f9&amp;uri=https://images.diginfra.net/iiif/NL-HaNA_1.01.02/3821/NL-HaNA_1.01.02_3821_0242.jpg", "prev_meeting_viewer_url")</f>
        <v/>
      </c>
      <c r="V381">
        <f>HYPERLINK("https://images.diginfra.net/iiif/NL-HaNA_1.01.02/3821/NL-HaNA_1.01.02_3821_0242.jpg/2403,2885,884,499/full/0/default.jpg", "prev_meeting_iiif_url")</f>
        <v/>
      </c>
      <c r="W381" t="s">
        <v>33</v>
      </c>
      <c r="X381" t="s">
        <v>1641</v>
      </c>
      <c r="Y381">
        <f>HYPERLINK("https://images.diginfra.net/framed3.html?imagesetuuid=d2997452-8788-4796-912c-2151f3b459f9&amp;uri=https://images.diginfra.net/iiif/NL-HaNA_1.01.02/3821/NL-HaNA_1.01.02_3821_0243.jpg", "next_meeting_viewer_url")</f>
        <v/>
      </c>
      <c r="Z381">
        <f>HYPERLINK("https://images.diginfra.net/iiif/NL-HaNA_1.01.02/3821/NL-HaNA_1.01.02_3821_0243.jpg/2349,474,1065,2912/full/0/default.jpg", "next_meeting_iiif_url")</f>
        <v/>
      </c>
    </row>
    <row r="382" spans="1:26">
      <c r="A382" t="s">
        <v>1642</v>
      </c>
      <c r="B382" t="s">
        <v>76</v>
      </c>
      <c r="C382" t="s">
        <v>1643</v>
      </c>
      <c r="D382" t="b">
        <v>1</v>
      </c>
      <c r="E382" t="b">
        <v>1</v>
      </c>
      <c r="I382" t="s">
        <v>1644</v>
      </c>
      <c r="J382" t="n">
        <v>3781</v>
      </c>
      <c r="K382" t="n">
        <v>306</v>
      </c>
      <c r="L382" t="n">
        <v>610</v>
      </c>
      <c r="M382" t="n">
        <v>1</v>
      </c>
      <c r="N382" t="n">
        <v>1</v>
      </c>
      <c r="O382" t="n">
        <v>0</v>
      </c>
      <c r="P382" t="s">
        <v>29</v>
      </c>
      <c r="Q382">
        <f>HYPERLINK("https://images.diginfra.net/framed3.html?imagesetuuid=7806433b-7f26-4d4e-8e76-37d108a188de&amp;uri=https://images.diginfra.net/iiif/NL-HaNA_1.01.02/3781/NL-HaNA_1.01.02_3781_0306.jpg", "viewer_url")</f>
        <v/>
      </c>
      <c r="R382">
        <f>HYPERLINK("https://images.diginfra.net/iiif/NL-HaNA_1.01.02/3781/NL-HaNA_1.01.02_3781_0306.jpg/1255,876,1103,2568/full/0/default.jpg", "iiif_url")</f>
        <v/>
      </c>
      <c r="S382" t="s">
        <v>29</v>
      </c>
      <c r="T382" t="s">
        <v>1645</v>
      </c>
      <c r="U382">
        <f>HYPERLINK("https://images.diginfra.net/framed3.html?imagesetuuid=7806433b-7f26-4d4e-8e76-37d108a188de&amp;uri=https://images.diginfra.net/iiif/NL-HaNA_1.01.02/3781/NL-HaNA_1.01.02_3781_0305.jpg", "prev_meeting_viewer_url")</f>
        <v/>
      </c>
      <c r="V382">
        <f>HYPERLINK("https://images.diginfra.net/iiif/NL-HaNA_1.01.02/3781/NL-HaNA_1.01.02_3781_0305.jpg/1309,2085,1101,1378/full/0/default.jpg", "prev_meeting_iiif_url")</f>
        <v/>
      </c>
      <c r="W382" t="s">
        <v>29</v>
      </c>
      <c r="X382" t="s">
        <v>1646</v>
      </c>
      <c r="Y382">
        <f>HYPERLINK("https://images.diginfra.net/framed3.html?imagesetuuid=7806433b-7f26-4d4e-8e76-37d108a188de&amp;uri=https://images.diginfra.net/iiif/NL-HaNA_1.01.02/3781/NL-HaNA_1.01.02_3781_0307.jpg", "next_meeting_viewer_url")</f>
        <v/>
      </c>
      <c r="Z382">
        <f>HYPERLINK("https://images.diginfra.net/iiif/NL-HaNA_1.01.02/3781/NL-HaNA_1.01.02_3781_0307.jpg/3527,2779,1040,640/full/0/default.jpg", "next_meeting_iiif_url")</f>
        <v/>
      </c>
    </row>
    <row r="383" spans="1:26">
      <c r="A383" t="s">
        <v>1647</v>
      </c>
      <c r="B383" t="s">
        <v>63</v>
      </c>
      <c r="C383" t="s">
        <v>1648</v>
      </c>
      <c r="D383" t="b">
        <v>1</v>
      </c>
      <c r="E383" t="b">
        <v>1</v>
      </c>
      <c r="I383" t="s">
        <v>1649</v>
      </c>
      <c r="J383" t="n">
        <v>3774</v>
      </c>
      <c r="K383" t="n">
        <v>384</v>
      </c>
      <c r="L383" t="n">
        <v>767</v>
      </c>
      <c r="M383" t="n">
        <v>1</v>
      </c>
      <c r="N383" t="n">
        <v>2</v>
      </c>
      <c r="O383" t="n">
        <v>0</v>
      </c>
      <c r="P383" t="s">
        <v>29</v>
      </c>
      <c r="Q383">
        <f>HYPERLINK("https://images.diginfra.net/framed3.html?imagesetuuid=a94d24a1-7932-4b81-a3e6-04161d471ec1&amp;uri=https://images.diginfra.net/iiif/NL-HaNA_1.01.02/3774/NL-HaNA_1.01.02_3774_0384.jpg", "viewer_url")</f>
        <v/>
      </c>
      <c r="R383">
        <f>HYPERLINK("https://images.diginfra.net/iiif/NL-HaNA_1.01.02/3774/NL-HaNA_1.01.02_3774_0384.jpg/3254,1750,1090,1659/full/0/default.jpg", "iiif_url")</f>
        <v/>
      </c>
      <c r="S383" t="s">
        <v>29</v>
      </c>
      <c r="T383" t="s">
        <v>1650</v>
      </c>
      <c r="U383">
        <f>HYPERLINK("https://images.diginfra.net/framed3.html?imagesetuuid=a94d24a1-7932-4b81-a3e6-04161d471ec1&amp;uri=https://images.diginfra.net/iiif/NL-HaNA_1.01.02/3774/NL-HaNA_1.01.02_3774_0383.jpg", "prev_meeting_viewer_url")</f>
        <v/>
      </c>
      <c r="V383">
        <f>HYPERLINK("https://images.diginfra.net/iiif/NL-HaNA_1.01.02/3774/NL-HaNA_1.01.02_3774_0383.jpg/3256,491,1151,2967/full/0/default.jpg", "prev_meeting_iiif_url")</f>
        <v/>
      </c>
      <c r="W383" t="s">
        <v>33</v>
      </c>
      <c r="X383" t="s">
        <v>1651</v>
      </c>
      <c r="Y383">
        <f>HYPERLINK("https://images.diginfra.net/framed3.html?imagesetuuid=a94d24a1-7932-4b81-a3e6-04161d471ec1&amp;uri=https://images.diginfra.net/iiif/NL-HaNA_1.01.02/3774/NL-HaNA_1.01.02_3774_0385.jpg", "next_meeting_viewer_url")</f>
        <v/>
      </c>
      <c r="Z383">
        <f>HYPERLINK("https://images.diginfra.net/iiif/NL-HaNA_1.01.02/3774/NL-HaNA_1.01.02_3774_0385.jpg/1402,2973,720,367/full/0/default.jpg", "next_meeting_iiif_url")</f>
        <v/>
      </c>
    </row>
    <row r="384" spans="1:26">
      <c r="A384" t="s">
        <v>1652</v>
      </c>
      <c r="B384" t="s">
        <v>37</v>
      </c>
      <c r="C384" t="s">
        <v>1653</v>
      </c>
      <c r="D384" t="b">
        <v>1</v>
      </c>
      <c r="E384" t="b">
        <v>1</v>
      </c>
      <c r="I384" t="s">
        <v>1654</v>
      </c>
      <c r="J384" t="n">
        <v>3786</v>
      </c>
      <c r="K384" t="n">
        <v>59</v>
      </c>
      <c r="L384" t="n">
        <v>117</v>
      </c>
      <c r="M384" t="n">
        <v>0</v>
      </c>
      <c r="N384" t="n">
        <v>1</v>
      </c>
      <c r="O384" t="n">
        <v>0</v>
      </c>
      <c r="P384" t="s">
        <v>29</v>
      </c>
      <c r="Q384">
        <f>HYPERLINK("https://images.diginfra.net/framed3.html?imagesetuuid=508661ee-474e-44be-a74a-8aac34348aeb&amp;uri=https://images.diginfra.net/iiif/NL-HaNA_1.01.02/3786/NL-HaNA_1.01.02_3786_0059.jpg", "viewer_url")</f>
        <v/>
      </c>
      <c r="R384">
        <f>HYPERLINK("https://images.diginfra.net/iiif/NL-HaNA_1.01.02/3786/NL-HaNA_1.01.02_3786_0059.jpg/2386,535,1086,2887/full/0/default.jpg", "iiif_url")</f>
        <v/>
      </c>
      <c r="S384" t="s">
        <v>29</v>
      </c>
      <c r="T384" t="s">
        <v>1655</v>
      </c>
      <c r="U384">
        <f>HYPERLINK("https://images.diginfra.net/framed3.html?imagesetuuid=508661ee-474e-44be-a74a-8aac34348aeb&amp;uri=https://images.diginfra.net/iiif/NL-HaNA_1.01.02/3786/NL-HaNA_1.01.02_3786_0058.jpg", "prev_meeting_viewer_url")</f>
        <v/>
      </c>
      <c r="V384">
        <f>HYPERLINK("https://images.diginfra.net/iiif/NL-HaNA_1.01.02/3786/NL-HaNA_1.01.02_3786_0058.jpg/259,1224,1108,2157/full/0/default.jpg", "prev_meeting_iiif_url")</f>
        <v/>
      </c>
      <c r="W384" t="s">
        <v>33</v>
      </c>
      <c r="X384" t="s">
        <v>1656</v>
      </c>
      <c r="Y384">
        <f>HYPERLINK("https://images.diginfra.net/framed3.html?imagesetuuid=508661ee-474e-44be-a74a-8aac34348aeb&amp;uri=https://images.diginfra.net/iiif/NL-HaNA_1.01.02/3786/NL-HaNA_1.01.02_3786_0060.jpg", "next_meeting_viewer_url")</f>
        <v/>
      </c>
      <c r="Z384">
        <f>HYPERLINK("https://images.diginfra.net/iiif/NL-HaNA_1.01.02/3786/NL-HaNA_1.01.02_3786_0060.jpg/287,1106,1088,2330/full/0/default.jpg", "next_meeting_iiif_url")</f>
        <v/>
      </c>
    </row>
    <row r="385" spans="1:26">
      <c r="A385" t="s">
        <v>1657</v>
      </c>
      <c r="B385" t="s">
        <v>53</v>
      </c>
      <c r="C385" t="s">
        <v>1658</v>
      </c>
      <c r="D385" t="b">
        <v>1</v>
      </c>
      <c r="E385" t="b">
        <v>1</v>
      </c>
      <c r="I385" t="s">
        <v>1659</v>
      </c>
      <c r="J385" t="n">
        <v>3815</v>
      </c>
      <c r="K385" t="n">
        <v>512</v>
      </c>
      <c r="L385" t="n">
        <v>1023</v>
      </c>
      <c r="M385" t="n">
        <v>0</v>
      </c>
      <c r="N385" t="n">
        <v>1</v>
      </c>
      <c r="O385" t="n">
        <v>51</v>
      </c>
      <c r="P385" t="s">
        <v>29</v>
      </c>
      <c r="Q385">
        <f>HYPERLINK("https://images.diginfra.net/framed3.html?imagesetuuid=c649f39d-5b94-4d9d-8000-33acd4342c36&amp;uri=https://images.diginfra.net/iiif/NL-HaNA_1.01.02/3815/NL-HaNA_1.01.02_3815_0512.jpg", "viewer_url")</f>
        <v/>
      </c>
      <c r="R385">
        <f>HYPERLINK("https://images.diginfra.net/iiif/NL-HaNA_1.01.02/3815/NL-HaNA_1.01.02_3815_0512.jpg/3332,2333,1054,1081/full/0/default.jpg", "iiif_url")</f>
        <v/>
      </c>
      <c r="S385" t="s">
        <v>29</v>
      </c>
      <c r="T385" t="s">
        <v>1660</v>
      </c>
      <c r="U385">
        <f>HYPERLINK("https://images.diginfra.net/framed3.html?imagesetuuid=c649f39d-5b94-4d9d-8000-33acd4342c36&amp;uri=https://images.diginfra.net/iiif/NL-HaNA_1.01.02/3815/NL-HaNA_1.01.02_3815_0511.jpg", "prev_meeting_viewer_url")</f>
        <v/>
      </c>
      <c r="V385">
        <f>HYPERLINK("https://images.diginfra.net/iiif/NL-HaNA_1.01.02/3815/NL-HaNA_1.01.02_3815_0511.jpg/268,2016,1112,1342/full/0/default.jpg", "prev_meeting_iiif_url")</f>
        <v/>
      </c>
      <c r="W385" t="s">
        <v>33</v>
      </c>
      <c r="X385" t="s">
        <v>1661</v>
      </c>
      <c r="Y385">
        <f>HYPERLINK("https://images.diginfra.net/framed3.html?imagesetuuid=c649f39d-5b94-4d9d-8000-33acd4342c36&amp;uri=https://images.diginfra.net/iiif/NL-HaNA_1.01.02/3815/NL-HaNA_1.01.02_3815_0515.jpg", "next_meeting_viewer_url")</f>
        <v/>
      </c>
      <c r="Z385">
        <f>HYPERLINK("https://images.diginfra.net/iiif/NL-HaNA_1.01.02/3815/NL-HaNA_1.01.02_3815_0515.jpg/3270,1190,1099,2214/full/0/default.jpg", "next_meeting_iiif_url")</f>
        <v/>
      </c>
    </row>
    <row r="386" spans="1:26">
      <c r="A386" t="s">
        <v>1662</v>
      </c>
      <c r="B386" t="s">
        <v>76</v>
      </c>
      <c r="D386" t="b">
        <v>1</v>
      </c>
      <c r="E386" t="b">
        <v>0</v>
      </c>
      <c r="Q386">
        <f>HYPERLINK("None", "viewer_url")</f>
        <v/>
      </c>
      <c r="R386">
        <f>HYPERLINK("None", "iiif_url")</f>
        <v/>
      </c>
      <c r="W386" t="s">
        <v>33</v>
      </c>
      <c r="X386" t="s">
        <v>438</v>
      </c>
      <c r="Y386">
        <f>HYPERLINK("https://images.diginfra.net/framed3.html?imagesetuuid=d79a5b0f-25ac-4440-9b23-adc237614d07&amp;uri=https://images.diginfra.net/iiif/NL-HaNA_1.01.02/3777/NL-HaNA_1.01.02_3777_0465.jpg", "next_meeting_viewer_url")</f>
        <v/>
      </c>
      <c r="Z386">
        <f>HYPERLINK("https://images.diginfra.net/iiif/NL-HaNA_1.01.02/3777/NL-HaNA_1.01.02_3777_0465.jpg/3540,2490,1053,901/full/0/default.jpg", "next_meeting_iiif_url")</f>
        <v/>
      </c>
    </row>
    <row r="387" spans="1:26">
      <c r="A387" t="s">
        <v>1663</v>
      </c>
      <c r="B387" t="s">
        <v>37</v>
      </c>
      <c r="C387" t="s">
        <v>1664</v>
      </c>
      <c r="D387" t="b">
        <v>1</v>
      </c>
      <c r="E387" t="b">
        <v>1</v>
      </c>
      <c r="I387" t="s">
        <v>1665</v>
      </c>
      <c r="J387" t="n">
        <v>3777</v>
      </c>
      <c r="K387" t="n">
        <v>72</v>
      </c>
      <c r="L387" t="n">
        <v>143</v>
      </c>
      <c r="M387" t="n">
        <v>1</v>
      </c>
      <c r="N387" t="n">
        <v>2</v>
      </c>
      <c r="O387" t="n">
        <v>0</v>
      </c>
      <c r="P387" t="s">
        <v>29</v>
      </c>
      <c r="Q387">
        <f>HYPERLINK("https://images.diginfra.net/framed3.html?imagesetuuid=d79a5b0f-25ac-4440-9b23-adc237614d07&amp;uri=https://images.diginfra.net/iiif/NL-HaNA_1.01.02/3777/NL-HaNA_1.01.02_3777_0072.jpg", "viewer_url")</f>
        <v/>
      </c>
      <c r="R387">
        <f>HYPERLINK("https://images.diginfra.net/iiif/NL-HaNA_1.01.02/3777/NL-HaNA_1.01.02_3777_0072.jpg/3544,2020,1088,1270/full/0/default.jpg", "iiif_url")</f>
        <v/>
      </c>
      <c r="S387" t="s">
        <v>29</v>
      </c>
      <c r="T387" t="s">
        <v>1666</v>
      </c>
      <c r="U387">
        <f>HYPERLINK("https://images.diginfra.net/framed3.html?imagesetuuid=d79a5b0f-25ac-4440-9b23-adc237614d07&amp;uri=https://images.diginfra.net/iiif/NL-HaNA_1.01.02/3777/NL-HaNA_1.01.02_3777_0071.jpg", "prev_meeting_viewer_url")</f>
        <v/>
      </c>
      <c r="V387">
        <f>HYPERLINK("https://images.diginfra.net/iiif/NL-HaNA_1.01.02/3777/NL-HaNA_1.01.02_3777_0071.jpg/1275,1557,1106,1850/full/0/default.jpg", "prev_meeting_iiif_url")</f>
        <v/>
      </c>
      <c r="W387" t="s">
        <v>29</v>
      </c>
      <c r="X387" t="s">
        <v>1667</v>
      </c>
      <c r="Y387">
        <f>HYPERLINK("https://images.diginfra.net/framed3.html?imagesetuuid=d79a5b0f-25ac-4440-9b23-adc237614d07&amp;uri=https://images.diginfra.net/iiif/NL-HaNA_1.01.02/3777/NL-HaNA_1.01.02_3777_0074.jpg", "next_meeting_viewer_url")</f>
        <v/>
      </c>
      <c r="Z387">
        <f>HYPERLINK("https://images.diginfra.net/iiif/NL-HaNA_1.01.02/3777/NL-HaNA_1.01.02_3777_0074.jpg/302,1388,1098,1916/full/0/default.jpg", "next_meeting_iiif_url")</f>
        <v/>
      </c>
    </row>
    <row r="388" spans="1:26">
      <c r="A388" t="s">
        <v>1668</v>
      </c>
      <c r="B388" t="s">
        <v>48</v>
      </c>
      <c r="D388" t="b">
        <v>0</v>
      </c>
      <c r="E388" t="b">
        <v>0</v>
      </c>
      <c r="I388" t="s">
        <v>1669</v>
      </c>
      <c r="J388" t="n">
        <v>3821</v>
      </c>
      <c r="K388" t="n">
        <v>323</v>
      </c>
      <c r="L388" t="n">
        <v>644</v>
      </c>
      <c r="M388" t="n">
        <v>1</v>
      </c>
      <c r="N388" t="n">
        <v>0</v>
      </c>
      <c r="O388" t="n">
        <v>45</v>
      </c>
      <c r="P388" t="s">
        <v>29</v>
      </c>
      <c r="Q388">
        <f>HYPERLINK("https://images.diginfra.net/framed3.html?imagesetuuid=d2997452-8788-4796-912c-2151f3b459f9&amp;uri=https://images.diginfra.net/iiif/NL-HaNA_1.01.02/3821/NL-HaNA_1.01.02_3821_0323.jpg", "viewer_url")</f>
        <v/>
      </c>
      <c r="R388">
        <f>HYPERLINK("https://images.diginfra.net/iiif/NL-HaNA_1.01.02/3821/NL-HaNA_1.01.02_3821_0323.jpg/1163,2189,1077,1297/full/0/default.jpg", "iiif_url")</f>
        <v/>
      </c>
      <c r="S388" t="s">
        <v>29</v>
      </c>
      <c r="U388">
        <f>HYPERLINK("https://images.diginfra.net/framed3.html?imagesetuuid=d2997452-8788-4796-912c-2151f3b459f9&amp;uri=https://images.diginfra.net/iiif/NL-HaNA_1.01.02/3821/NL-HaNA_1.01.02_3821_0321.jpg", "prev_meeting_viewer_url")</f>
        <v/>
      </c>
      <c r="V388">
        <f>HYPERLINK("https://images.diginfra.net/iiif/NL-HaNA_1.01.02/3821/NL-HaNA_1.01.02_3821_0321.jpg/2311,392,1107,3035/full/0/default.jpg", "prev_meeting_iiif_url")</f>
        <v/>
      </c>
      <c r="W388" t="s">
        <v>29</v>
      </c>
      <c r="X388" t="s">
        <v>357</v>
      </c>
      <c r="Y388">
        <f>HYPERLINK("https://images.diginfra.net/framed3.html?imagesetuuid=d2997452-8788-4796-912c-2151f3b459f9&amp;uri=https://images.diginfra.net/iiif/NL-HaNA_1.01.02/3821/NL-HaNA_1.01.02_3821_0323.jpg", "next_meeting_viewer_url")</f>
        <v/>
      </c>
      <c r="Z388">
        <f>HYPERLINK("https://images.diginfra.net/iiif/NL-HaNA_1.01.02/3821/NL-HaNA_1.01.02_3821_0323.jpg/1163,2189,1077,1297/full/0/default.jpg", "next_meeting_iiif_url")</f>
        <v/>
      </c>
    </row>
    <row r="389" spans="1:26">
      <c r="A389" t="s">
        <v>1670</v>
      </c>
      <c r="B389" t="s">
        <v>37</v>
      </c>
      <c r="C389" t="s">
        <v>529</v>
      </c>
      <c r="D389" t="b">
        <v>1</v>
      </c>
      <c r="E389" t="b">
        <v>1</v>
      </c>
      <c r="I389" t="s">
        <v>1671</v>
      </c>
      <c r="J389" t="n">
        <v>3823</v>
      </c>
      <c r="K389" t="n">
        <v>238</v>
      </c>
      <c r="L389" t="n">
        <v>474</v>
      </c>
      <c r="M389" t="n">
        <v>1</v>
      </c>
      <c r="N389" t="n">
        <v>4</v>
      </c>
      <c r="O389" t="n">
        <v>0</v>
      </c>
      <c r="P389" t="s">
        <v>29</v>
      </c>
      <c r="Q389">
        <f>HYPERLINK("https://images.diginfra.net/framed3.html?imagesetuuid=08f55768-66d4-4560-816c-70f4ea910842&amp;uri=https://images.diginfra.net/iiif/NL-HaNA_1.01.02/3823/NL-HaNA_1.01.02_3823_0238.jpg", "viewer_url")</f>
        <v/>
      </c>
      <c r="R389">
        <f>HYPERLINK("https://images.diginfra.net/iiif/NL-HaNA_1.01.02/3823/NL-HaNA_1.01.02_3823_0238.jpg/1294,2535,1010,760/full/0/default.jpg", "iiif_url")</f>
        <v/>
      </c>
      <c r="S389" t="s">
        <v>29</v>
      </c>
      <c r="T389" t="s">
        <v>1672</v>
      </c>
      <c r="U389">
        <f>HYPERLINK("https://images.diginfra.net/framed3.html?imagesetuuid=08f55768-66d4-4560-816c-70f4ea910842&amp;uri=https://images.diginfra.net/iiif/NL-HaNA_1.01.02/3823/NL-HaNA_1.01.02_3823_0238.jpg", "prev_meeting_viewer_url")</f>
        <v/>
      </c>
      <c r="V389">
        <f>HYPERLINK("https://images.diginfra.net/iiif/NL-HaNA_1.01.02/3823/NL-HaNA_1.01.02_3823_0238.jpg/290,1321,1078,1899/full/0/default.jpg", "prev_meeting_iiif_url")</f>
        <v/>
      </c>
      <c r="W389" t="s">
        <v>29</v>
      </c>
      <c r="X389" t="s">
        <v>1673</v>
      </c>
      <c r="Y389">
        <f>HYPERLINK("https://images.diginfra.net/framed3.html?imagesetuuid=08f55768-66d4-4560-816c-70f4ea910842&amp;uri=https://images.diginfra.net/iiif/NL-HaNA_1.01.02/3823/NL-HaNA_1.01.02_3823_0239.jpg", "next_meeting_viewer_url")</f>
        <v/>
      </c>
      <c r="Z389">
        <f>HYPERLINK("https://images.diginfra.net/iiif/NL-HaNA_1.01.02/3823/NL-HaNA_1.01.02_3823_0239.jpg/2332,1024,1061,2312/full/0/default.jpg", "next_meeting_iiif_url")</f>
        <v/>
      </c>
    </row>
    <row r="390" spans="1:26">
      <c r="A390" t="s">
        <v>1674</v>
      </c>
      <c r="B390" t="s">
        <v>76</v>
      </c>
      <c r="C390" t="s">
        <v>1675</v>
      </c>
      <c r="D390" t="b">
        <v>1</v>
      </c>
      <c r="E390" t="b">
        <v>1</v>
      </c>
      <c r="I390" t="s">
        <v>1676</v>
      </c>
      <c r="J390" t="n">
        <v>3796</v>
      </c>
      <c r="K390" t="n">
        <v>456</v>
      </c>
      <c r="L390" t="n">
        <v>910</v>
      </c>
      <c r="M390" t="n">
        <v>0</v>
      </c>
      <c r="N390" t="n">
        <v>1</v>
      </c>
      <c r="O390" t="n">
        <v>0</v>
      </c>
      <c r="P390" t="s">
        <v>29</v>
      </c>
      <c r="Q390">
        <f>HYPERLINK("https://images.diginfra.net/framed3.html?imagesetuuid=ece8f80b-0549-4e73-82ff-af47ed8525ac&amp;uri=https://images.diginfra.net/iiif/NL-HaNA_1.01.02/3796/NL-HaNA_1.01.02_3796_0456.jpg", "viewer_url")</f>
        <v/>
      </c>
      <c r="R390">
        <f>HYPERLINK("https://images.diginfra.net/iiif/NL-HaNA_1.01.02/3796/NL-HaNA_1.01.02_3796_0456.jpg/281,808,1106,2617/full/0/default.jpg", "iiif_url")</f>
        <v/>
      </c>
      <c r="S390" t="s">
        <v>29</v>
      </c>
      <c r="T390" t="s">
        <v>1677</v>
      </c>
      <c r="U390">
        <f>HYPERLINK("https://images.diginfra.net/framed3.html?imagesetuuid=ece8f80b-0549-4e73-82ff-af47ed8525ac&amp;uri=https://images.diginfra.net/iiif/NL-HaNA_1.01.02/3796/NL-HaNA_1.01.02_3796_0454.jpg", "prev_meeting_viewer_url")</f>
        <v/>
      </c>
      <c r="V390">
        <f>HYPERLINK("https://images.diginfra.net/iiif/NL-HaNA_1.01.02/3796/NL-HaNA_1.01.02_3796_0454.jpg/259,1870,1095,1492/full/0/default.jpg", "prev_meeting_iiif_url")</f>
        <v/>
      </c>
      <c r="W390" t="s">
        <v>29</v>
      </c>
      <c r="X390" t="s">
        <v>1678</v>
      </c>
      <c r="Y390">
        <f>HYPERLINK("https://images.diginfra.net/framed3.html?imagesetuuid=ece8f80b-0549-4e73-82ff-af47ed8525ac&amp;uri=https://images.diginfra.net/iiif/NL-HaNA_1.01.02/3796/NL-HaNA_1.01.02_3796_0457.jpg", "next_meeting_viewer_url")</f>
        <v/>
      </c>
      <c r="Z390">
        <f>HYPERLINK("https://images.diginfra.net/iiif/NL-HaNA_1.01.02/3796/NL-HaNA_1.01.02_3796_0457.jpg/3443,2237,1034,1141/full/0/default.jpg", "next_meeting_iiif_url")</f>
        <v/>
      </c>
    </row>
    <row r="391" spans="1:26">
      <c r="A391" t="s">
        <v>1679</v>
      </c>
      <c r="B391" t="s">
        <v>42</v>
      </c>
      <c r="C391" t="s">
        <v>1680</v>
      </c>
      <c r="D391" t="b">
        <v>1</v>
      </c>
      <c r="E391" t="b">
        <v>1</v>
      </c>
      <c r="I391" t="s">
        <v>1681</v>
      </c>
      <c r="J391" t="n">
        <v>3776</v>
      </c>
      <c r="K391" t="n">
        <v>193</v>
      </c>
      <c r="L391" t="n">
        <v>385</v>
      </c>
      <c r="M391" t="n">
        <v>1</v>
      </c>
      <c r="N391" t="n">
        <v>2</v>
      </c>
      <c r="O391" t="n">
        <v>0</v>
      </c>
      <c r="P391" t="s">
        <v>29</v>
      </c>
      <c r="Q391">
        <f>HYPERLINK("https://images.diginfra.net/framed3.html?imagesetuuid=cce3dc39-04f4-4d57-b3db-fdf0a2653e66&amp;uri=https://images.diginfra.net/iiif/NL-HaNA_1.01.02/3776/NL-HaNA_1.01.02_3776_0193.jpg", "viewer_url")</f>
        <v/>
      </c>
      <c r="R391">
        <f>HYPERLINK("https://images.diginfra.net/iiif/NL-HaNA_1.01.02/3776/NL-HaNA_1.01.02_3776_0193.jpg/3508,2597,1040,750/full/0/default.jpg", "iiif_url")</f>
        <v/>
      </c>
      <c r="W391" t="s">
        <v>29</v>
      </c>
      <c r="X391" t="s">
        <v>1682</v>
      </c>
      <c r="Y391">
        <f>HYPERLINK("https://images.diginfra.net/framed3.html?imagesetuuid=cce3dc39-04f4-4d57-b3db-fdf0a2653e66&amp;uri=https://images.diginfra.net/iiif/NL-HaNA_1.01.02/3776/NL-HaNA_1.01.02_3776_0195.jpg", "next_meeting_viewer_url")</f>
        <v/>
      </c>
      <c r="Z391">
        <f>HYPERLINK("https://images.diginfra.net/iiif/NL-HaNA_1.01.02/3776/NL-HaNA_1.01.02_3776_0195.jpg/3463,1663,1091,1690/full/0/default.jpg", "next_meeting_iiif_url")</f>
        <v/>
      </c>
    </row>
    <row r="392" spans="1:26">
      <c r="A392" t="s">
        <v>1683</v>
      </c>
      <c r="B392" t="s">
        <v>63</v>
      </c>
      <c r="C392" t="s">
        <v>1684</v>
      </c>
      <c r="D392" t="b">
        <v>1</v>
      </c>
      <c r="E392" t="b">
        <v>1</v>
      </c>
      <c r="I392" t="s">
        <v>1685</v>
      </c>
      <c r="J392" t="n">
        <v>3800</v>
      </c>
      <c r="K392" t="n">
        <v>118</v>
      </c>
      <c r="L392" t="n">
        <v>235</v>
      </c>
      <c r="M392" t="n">
        <v>0</v>
      </c>
      <c r="N392" t="n">
        <v>2</v>
      </c>
      <c r="O392" t="n">
        <v>0</v>
      </c>
      <c r="P392" t="s">
        <v>29</v>
      </c>
      <c r="Q392">
        <f>HYPERLINK("https://images.diginfra.net/framed3.html?imagesetuuid=a9adb8ed-3212-4745-a472-51257845b9e2&amp;uri=https://images.diginfra.net/iiif/NL-HaNA_1.01.02/3800/NL-HaNA_1.01.02_3800_0118.jpg", "viewer_url")</f>
        <v/>
      </c>
      <c r="R392">
        <f>HYPERLINK("https://images.diginfra.net/iiif/NL-HaNA_1.01.02/3800/NL-HaNA_1.01.02_3800_0118.jpg/2462,1511,1083,1934/full/0/default.jpg", "iiif_url")</f>
        <v/>
      </c>
      <c r="S392" t="s">
        <v>29</v>
      </c>
      <c r="T392" t="s">
        <v>1686</v>
      </c>
      <c r="U392">
        <f>HYPERLINK("https://images.diginfra.net/framed3.html?imagesetuuid=a9adb8ed-3212-4745-a472-51257845b9e2&amp;uri=https://images.diginfra.net/iiif/NL-HaNA_1.01.02/3800/NL-HaNA_1.01.02_3800_0117.jpg", "prev_meeting_viewer_url")</f>
        <v/>
      </c>
      <c r="V392">
        <f>HYPERLINK("https://images.diginfra.net/iiif/NL-HaNA_1.01.02/3800/NL-HaNA_1.01.02_3800_0117.jpg/3427,2998,880,416/full/0/default.jpg", "prev_meeting_iiif_url")</f>
        <v/>
      </c>
      <c r="W392" t="s">
        <v>29</v>
      </c>
      <c r="X392" t="s">
        <v>1687</v>
      </c>
      <c r="Y392">
        <f>HYPERLINK("https://images.diginfra.net/framed3.html?imagesetuuid=a9adb8ed-3212-4745-a472-51257845b9e2&amp;uri=https://images.diginfra.net/iiif/NL-HaNA_1.01.02/3800/NL-HaNA_1.01.02_3800_0121.jpg", "next_meeting_viewer_url")</f>
        <v/>
      </c>
      <c r="Z392">
        <f>HYPERLINK("https://images.diginfra.net/iiif/NL-HaNA_1.01.02/3800/NL-HaNA_1.01.02_3800_0121.jpg/2626,2960,796,392/full/0/default.jpg", "next_meeting_iiif_url")</f>
        <v/>
      </c>
    </row>
    <row r="393" spans="1:26">
      <c r="A393" t="s">
        <v>1688</v>
      </c>
      <c r="B393" t="s">
        <v>37</v>
      </c>
      <c r="C393" t="s">
        <v>1689</v>
      </c>
      <c r="D393" t="b">
        <v>1</v>
      </c>
      <c r="E393" t="b">
        <v>1</v>
      </c>
      <c r="I393" t="s">
        <v>1690</v>
      </c>
      <c r="J393" t="n">
        <v>3847</v>
      </c>
      <c r="K393" t="n">
        <v>162</v>
      </c>
      <c r="L393" t="n">
        <v>323</v>
      </c>
      <c r="M393" t="n">
        <v>0</v>
      </c>
      <c r="N393" t="n">
        <v>1</v>
      </c>
      <c r="O393" t="n">
        <v>0</v>
      </c>
      <c r="P393" t="s">
        <v>29</v>
      </c>
      <c r="Q393">
        <f>HYPERLINK("https://images.diginfra.net/framed3.html?imagesetuuid=1a032cf9-834a-4330-9619-23e00357d062&amp;uri=https://images.diginfra.net/iiif/NL-HaNA_1.01.02/3847/NL-HaNA_1.01.02_3847_0162.jpg", "viewer_url")</f>
        <v/>
      </c>
      <c r="R393">
        <f>HYPERLINK("https://images.diginfra.net/iiif/NL-HaNA_1.01.02/3847/NL-HaNA_1.01.02_3847_0162.jpg/2404,515,1074,2883/full/0/default.jpg", "iiif_url")</f>
        <v/>
      </c>
      <c r="S393" t="s">
        <v>29</v>
      </c>
      <c r="T393" t="s">
        <v>1691</v>
      </c>
      <c r="U393">
        <f>HYPERLINK("https://images.diginfra.net/framed3.html?imagesetuuid=1a032cf9-834a-4330-9619-23e00357d062&amp;uri=https://images.diginfra.net/iiif/NL-HaNA_1.01.02/3847/NL-HaNA_1.01.02_3847_0162.jpg", "prev_meeting_viewer_url")</f>
        <v/>
      </c>
      <c r="V393">
        <f>HYPERLINK("https://images.diginfra.net/iiif/NL-HaNA_1.01.02/3847/NL-HaNA_1.01.02_3847_0162.jpg/277,295,1087,3094/full/0/default.jpg", "prev_meeting_iiif_url")</f>
        <v/>
      </c>
      <c r="W393" t="s">
        <v>29</v>
      </c>
      <c r="X393" t="s">
        <v>1692</v>
      </c>
      <c r="Y393">
        <f>HYPERLINK("https://images.diginfra.net/framed3.html?imagesetuuid=1a032cf9-834a-4330-9619-23e00357d062&amp;uri=https://images.diginfra.net/iiif/NL-HaNA_1.01.02/3847/NL-HaNA_1.01.02_3847_0167.jpg", "next_meeting_viewer_url")</f>
        <v/>
      </c>
      <c r="Z393">
        <f>HYPERLINK("https://images.diginfra.net/iiif/NL-HaNA_1.01.02/3847/NL-HaNA_1.01.02_3847_0167.jpg/3371,295,1090,3089/full/0/default.jpg", "next_meeting_iiif_url")</f>
        <v/>
      </c>
    </row>
    <row r="394" spans="1:26">
      <c r="A394" t="s">
        <v>1693</v>
      </c>
      <c r="B394" t="s">
        <v>76</v>
      </c>
      <c r="C394" t="s">
        <v>1694</v>
      </c>
      <c r="D394" t="b">
        <v>1</v>
      </c>
      <c r="E394" t="b">
        <v>1</v>
      </c>
      <c r="I394" t="s">
        <v>1695</v>
      </c>
      <c r="J394" t="n">
        <v>3787</v>
      </c>
      <c r="K394" t="n">
        <v>405</v>
      </c>
      <c r="L394" t="n">
        <v>808</v>
      </c>
      <c r="M394" t="n">
        <v>1</v>
      </c>
      <c r="N394" t="n">
        <v>1</v>
      </c>
      <c r="O394" t="n">
        <v>0</v>
      </c>
      <c r="P394" t="s">
        <v>33</v>
      </c>
      <c r="Q394">
        <f>HYPERLINK("https://images.diginfra.net/framed3.html?imagesetuuid=db7b00f7-0cd1-4078-9123-41ccf17bd821&amp;uri=https://images.diginfra.net/iiif/NL-HaNA_1.01.02/3787/NL-HaNA_1.01.02_3787_0405.jpg", "viewer_url")</f>
        <v/>
      </c>
      <c r="R394">
        <f>HYPERLINK("https://images.diginfra.net/iiif/NL-HaNA_1.01.02/3787/NL-HaNA_1.01.02_3787_0405.jpg/1190,2412,1059,981/full/0/default.jpg", "iiif_url")</f>
        <v/>
      </c>
      <c r="S394" t="s">
        <v>29</v>
      </c>
      <c r="T394" t="s">
        <v>1696</v>
      </c>
      <c r="U394">
        <f>HYPERLINK("https://images.diginfra.net/framed3.html?imagesetuuid=db7b00f7-0cd1-4078-9123-41ccf17bd821&amp;uri=https://images.diginfra.net/iiif/NL-HaNA_1.01.02/3787/NL-HaNA_1.01.02_3787_0403.jpg", "prev_meeting_viewer_url")</f>
        <v/>
      </c>
      <c r="V394">
        <f>HYPERLINK("https://images.diginfra.net/iiif/NL-HaNA_1.01.02/3787/NL-HaNA_1.01.02_3787_0403.jpg/2469,1403,1081,2024/full/0/default.jpg", "prev_meeting_iiif_url")</f>
        <v/>
      </c>
    </row>
    <row r="395" spans="1:26">
      <c r="A395" t="s">
        <v>1697</v>
      </c>
      <c r="B395" t="s">
        <v>27</v>
      </c>
      <c r="D395" t="b">
        <v>0</v>
      </c>
      <c r="E395" t="b">
        <v>0</v>
      </c>
      <c r="I395" t="s">
        <v>1698</v>
      </c>
      <c r="J395" t="n">
        <v>3859</v>
      </c>
      <c r="K395" t="n">
        <v>145</v>
      </c>
      <c r="L395" t="n">
        <v>289</v>
      </c>
      <c r="M395" t="n">
        <v>0</v>
      </c>
      <c r="N395" t="n">
        <v>2</v>
      </c>
      <c r="O395" t="n">
        <v>0</v>
      </c>
      <c r="P395" t="s">
        <v>29</v>
      </c>
      <c r="Q395">
        <f>HYPERLINK("https://images.diginfra.net/framed3.html?imagesetuuid=c8e51550-05db-4ad8-9ec0-0ffdaabe4f93&amp;uri=https://images.diginfra.net/iiif/NL-HaNA_1.01.02/3859/NL-HaNA_1.01.02_3859_0145.jpg", "viewer_url")</f>
        <v/>
      </c>
      <c r="R395">
        <f>HYPERLINK("https://images.diginfra.net/iiif/NL-HaNA_1.01.02/3859/NL-HaNA_1.01.02_3859_0145.jpg/3180,894,1067,2527/full/0/default.jpg", "iiif_url")</f>
        <v/>
      </c>
      <c r="S395" t="s">
        <v>29</v>
      </c>
      <c r="T395" t="s">
        <v>1699</v>
      </c>
      <c r="U395">
        <f>HYPERLINK("https://images.diginfra.net/framed3.html?imagesetuuid=c8e51550-05db-4ad8-9ec0-0ffdaabe4f93&amp;uri=https://images.diginfra.net/iiif/NL-HaNA_1.01.02/3859/NL-HaNA_1.01.02_3859_0142.jpg", "prev_meeting_viewer_url")</f>
        <v/>
      </c>
      <c r="V395">
        <f>HYPERLINK("https://images.diginfra.net/iiif/NL-HaNA_1.01.02/3859/NL-HaNA_1.01.02_3859_0142.jpg/3210,283,1070,3015/full/0/default.jpg", "prev_meeting_iiif_url")</f>
        <v/>
      </c>
      <c r="W395" t="s">
        <v>29</v>
      </c>
      <c r="X395" t="s">
        <v>1700</v>
      </c>
      <c r="Y395">
        <f>HYPERLINK("https://images.diginfra.net/framed3.html?imagesetuuid=c8e51550-05db-4ad8-9ec0-0ffdaabe4f93&amp;uri=https://images.diginfra.net/iiif/NL-HaNA_1.01.02/3859/NL-HaNA_1.01.02_3859_0145.jpg", "next_meeting_viewer_url")</f>
        <v/>
      </c>
      <c r="Z395">
        <f>HYPERLINK("https://images.diginfra.net/iiif/NL-HaNA_1.01.02/3859/NL-HaNA_1.01.02_3859_0145.jpg/3180,894,1067,2527/full/0/default.jpg", "next_meeting_iiif_url")</f>
        <v/>
      </c>
    </row>
    <row r="396" spans="1:26">
      <c r="A396" t="s">
        <v>1701</v>
      </c>
      <c r="B396" t="s">
        <v>48</v>
      </c>
      <c r="D396" t="b">
        <v>0</v>
      </c>
      <c r="E396" t="b">
        <v>0</v>
      </c>
      <c r="I396" t="s">
        <v>1702</v>
      </c>
      <c r="J396" t="n">
        <v>3823</v>
      </c>
      <c r="K396" t="n">
        <v>212</v>
      </c>
      <c r="L396" t="n">
        <v>423</v>
      </c>
      <c r="M396" t="n">
        <v>1</v>
      </c>
      <c r="N396" t="n">
        <v>1</v>
      </c>
      <c r="O396" t="n">
        <v>0</v>
      </c>
      <c r="P396" t="s">
        <v>29</v>
      </c>
      <c r="Q396">
        <f>HYPERLINK("https://images.diginfra.net/framed3.html?imagesetuuid=08f55768-66d4-4560-816c-70f4ea910842&amp;uri=https://images.diginfra.net/iiif/NL-HaNA_1.01.02/3823/NL-HaNA_1.01.02_3823_0212.jpg", "viewer_url")</f>
        <v/>
      </c>
      <c r="R396">
        <f>HYPERLINK("https://images.diginfra.net/iiif/NL-HaNA_1.01.02/3823/NL-HaNA_1.01.02_3823_0212.jpg/3273,735,1065,2591/full/0/default.jpg", "iiif_url")</f>
        <v/>
      </c>
      <c r="S396" t="s">
        <v>29</v>
      </c>
      <c r="U396">
        <f>HYPERLINK("https://images.diginfra.net/framed3.html?imagesetuuid=08f55768-66d4-4560-816c-70f4ea910842&amp;uri=https://images.diginfra.net/iiif/NL-HaNA_1.01.02/3823/NL-HaNA_1.01.02_3823_0209.jpg", "prev_meeting_viewer_url")</f>
        <v/>
      </c>
      <c r="V396">
        <f>HYPERLINK("https://images.diginfra.net/iiif/NL-HaNA_1.01.02/3823/NL-HaNA_1.01.02_3823_0209.jpg/3283,1682,1071,1708/full/0/default.jpg", "prev_meeting_iiif_url")</f>
        <v/>
      </c>
      <c r="W396" t="s">
        <v>29</v>
      </c>
      <c r="X396" t="s">
        <v>1703</v>
      </c>
      <c r="Y396">
        <f>HYPERLINK("https://images.diginfra.net/framed3.html?imagesetuuid=08f55768-66d4-4560-816c-70f4ea910842&amp;uri=https://images.diginfra.net/iiif/NL-HaNA_1.01.02/3823/NL-HaNA_1.01.02_3823_0212.jpg", "next_meeting_viewer_url")</f>
        <v/>
      </c>
      <c r="Z396">
        <f>HYPERLINK("https://images.diginfra.net/iiif/NL-HaNA_1.01.02/3823/NL-HaNA_1.01.02_3823_0212.jpg/3273,735,1065,2591/full/0/default.jpg", "next_meeting_iiif_url")</f>
        <v/>
      </c>
    </row>
    <row r="397" spans="1:26">
      <c r="A397" t="s">
        <v>1704</v>
      </c>
      <c r="B397" t="s">
        <v>42</v>
      </c>
      <c r="C397" t="s">
        <v>1705</v>
      </c>
      <c r="D397" t="b">
        <v>1</v>
      </c>
      <c r="E397" t="b">
        <v>1</v>
      </c>
      <c r="I397" t="s">
        <v>1706</v>
      </c>
      <c r="J397" t="n">
        <v>3762</v>
      </c>
      <c r="K397" t="n">
        <v>484</v>
      </c>
      <c r="L397" t="n">
        <v>967</v>
      </c>
      <c r="M397" t="n">
        <v>1</v>
      </c>
      <c r="N397" t="n">
        <v>2</v>
      </c>
      <c r="O397" t="n">
        <v>0</v>
      </c>
      <c r="P397" t="s">
        <v>29</v>
      </c>
      <c r="Q397">
        <f>HYPERLINK("https://images.diginfra.net/framed3.html?imagesetuuid=df3dafee-b161-42ae-8ffe-6d7f9dbb63ed&amp;uri=https://images.diginfra.net/iiif/NL-HaNA_1.01.02/3762/NL-HaNA_1.01.02_3762_0484.jpg", "viewer_url")</f>
        <v/>
      </c>
      <c r="R397">
        <f>HYPERLINK("https://images.diginfra.net/iiif/NL-HaNA_1.01.02/3762/NL-HaNA_1.01.02_3762_0484.jpg/3332,439,1122,2904/full/0/default.jpg", "iiif_url")</f>
        <v/>
      </c>
      <c r="S397" t="s">
        <v>29</v>
      </c>
      <c r="T397" t="s">
        <v>1707</v>
      </c>
      <c r="U397">
        <f>HYPERLINK("https://images.diginfra.net/framed3.html?imagesetuuid=df3dafee-b161-42ae-8ffe-6d7f9dbb63ed&amp;uri=https://images.diginfra.net/iiif/NL-HaNA_1.01.02/3762/NL-HaNA_1.01.02_3762_0482.jpg", "prev_meeting_viewer_url")</f>
        <v/>
      </c>
      <c r="V397">
        <f>HYPERLINK("https://images.diginfra.net/iiif/NL-HaNA_1.01.02/3762/NL-HaNA_1.01.02_3762_0482.jpg/1271,401,1088,2963/full/0/default.jpg", "prev_meeting_iiif_url")</f>
        <v/>
      </c>
      <c r="W397" t="s">
        <v>29</v>
      </c>
      <c r="X397" t="s">
        <v>1708</v>
      </c>
      <c r="Y397">
        <f>HYPERLINK("https://images.diginfra.net/framed3.html?imagesetuuid=df3dafee-b161-42ae-8ffe-6d7f9dbb63ed&amp;uri=https://images.diginfra.net/iiif/NL-HaNA_1.01.02/3762/NL-HaNA_1.01.02_3762_0486.jpg", "next_meeting_viewer_url")</f>
        <v/>
      </c>
      <c r="Z397">
        <f>HYPERLINK("https://images.diginfra.net/iiif/NL-HaNA_1.01.02/3762/NL-HaNA_1.01.02_3762_0486.jpg/2376,1448,1079,1955/full/0/default.jpg", "next_meeting_iiif_url")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2020-04-02T00:13:29Z</dcterms:created>
  <dcterms:modified xmlns:dcterms="http://purl.org/dc/terms/" xmlns:xsi="http://www.w3.org/2001/XMLSchema-instance" xsi:type="dcterms:W3CDTF">2020-04-02T00:13:29Z</dcterms:modified>
</cp:coreProperties>
</file>